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filterPrivacy="1" defaultThemeVersion="124226"/>
  <xr:revisionPtr revIDLastSave="0" documentId="8_{C2448EAB-7C35-4867-A75C-4089E8AF3761}" xr6:coauthVersionLast="36" xr6:coauthVersionMax="36" xr10:uidLastSave="{00000000-0000-0000-0000-000000000000}"/>
  <bookViews>
    <workbookView xWindow="0" yWindow="0" windowWidth="28800" windowHeight="11025" firstSheet="15" activeTab="16" xr2:uid="{00000000-000D-0000-FFFF-FFFF00000000}"/>
  </bookViews>
  <sheets>
    <sheet name="КС Пр. 17-23" sheetId="61" r:id="rId1"/>
    <sheet name="ВМП КС Пр.17-23" sheetId="60" r:id="rId2"/>
    <sheet name="ДС (пр.17-23)" sheetId="62" r:id="rId3"/>
    <sheet name="ВМП ДС (пр.20-22)" sheetId="27" r:id="rId4"/>
    <sheet name="Проф.Свод Пр.17-23  " sheetId="112" r:id="rId5"/>
    <sheet name="Дисп. наблюдение Свод Пр.17-23" sheetId="113" r:id="rId6"/>
    <sheet name="Раз.пос.Пр.17-23  " sheetId="114" r:id="rId7"/>
    <sheet name="Пос с др.целями Пр17-23  " sheetId="115" r:id="rId8"/>
    <sheet name="Посещения СМП Пр.17-23 " sheetId="116" r:id="rId9"/>
    <sheet name="ШСД Пр. 17-23 " sheetId="117" r:id="rId10"/>
    <sheet name="Диспан.набл.взрослых Пр.17-23" sheetId="118" r:id="rId11"/>
    <sheet name="Углуб.дисп.Пр. 16-23" sheetId="108" r:id="rId12"/>
    <sheet name="Центры здоровья Пр.15-23" sheetId="98" r:id="rId13"/>
    <sheet name="ДВН центр.исслед.Пр.11-23" sheetId="74" r:id="rId14"/>
    <sheet name="Посещения неотл. 17-23" sheetId="13" r:id="rId15"/>
    <sheet name="Обращения 17-23 " sheetId="110" r:id="rId16"/>
    <sheet name="Мед.реаб. в АПУ 17-23 " sheetId="111" r:id="rId17"/>
    <sheet name="Долечивание, кибер-нож Пр.20-22" sheetId="22" r:id="rId18"/>
    <sheet name="Венерология Пр. 16-23" sheetId="21" r:id="rId19"/>
    <sheet name="Паллиативная МП Пр. 17-23" sheetId="20" r:id="rId20"/>
    <sheet name="Психотерапия Пр. 9-23" sheetId="19" r:id="rId21"/>
    <sheet name="Наркология Пр. 16-23" sheetId="25" r:id="rId22"/>
    <sheet name="Фтизиатрия Пр.16-23" sheetId="24" r:id="rId23"/>
    <sheet name="КТ, МРТ  Пр. 17-23" sheetId="30" r:id="rId24"/>
    <sheet name="УЗИ ССС 16-23" sheetId="31" r:id="rId25"/>
    <sheet name="ЭИ, ПАИ, МГИ Пр. 16-23" sheetId="32" r:id="rId26"/>
    <sheet name="ПЦР 16-23" sheetId="33" r:id="rId27"/>
    <sheet name="РД, ПЭТ, УЗИ 17-23" sheetId="35" r:id="rId28"/>
    <sheet name="гемодиализ (пр.17-23) " sheetId="56" r:id="rId29"/>
    <sheet name="Объемы ОРВИ, Грипп 13-23" sheetId="44" r:id="rId30"/>
    <sheet name="СМП (17-23)" sheetId="8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Пр.17-23'!$A$5:$AL$93</definedName>
    <definedName name="_xlnm._FilterDatabase" localSheetId="2" hidden="1">'ДС (пр.17-23)'!#REF!</definedName>
    <definedName name="_xlnm._FilterDatabase" localSheetId="0" hidden="1">'КС Пр. 17-23'!$A$4:$WVC$140</definedName>
    <definedName name="_xlnm._FilterDatabase" localSheetId="23" hidden="1">'КТ, МРТ  Пр. 17-23'!$A$7:$M$57</definedName>
    <definedName name="_xlnm._FilterDatabase" localSheetId="16" hidden="1">'Мед.реаб. в АПУ 17-23 '!$A$7:$BB$7</definedName>
    <definedName name="_xlnm._FilterDatabase" localSheetId="29" hidden="1">'Объемы ОРВИ, Грипп 13-23'!$B$6:$D$27</definedName>
    <definedName name="_xlnm._FilterDatabase" localSheetId="4" hidden="1">'Проф.Свод Пр.17-23  '!$A$8:$AJ$8</definedName>
    <definedName name="_xlnm._FilterDatabase" localSheetId="26" hidden="1">'ПЦР 16-23'!$B$6:$D$28</definedName>
    <definedName name="_xlnm._FilterDatabase" localSheetId="27" hidden="1">'РД, ПЭТ, УЗИ 17-23'!$A$5:$S$27</definedName>
    <definedName name="_xlnm._FilterDatabase" localSheetId="30" hidden="1">'СМП (17-23)'!$A$7:$O$22</definedName>
    <definedName name="_xlnm._FilterDatabase" localSheetId="11" hidden="1">'Углуб.дисп.Пр. 16-23'!#REF!</definedName>
    <definedName name="_xlnm._FilterDatabase" localSheetId="24" hidden="1">'УЗИ ССС 16-23'!$A$5:$G$5</definedName>
    <definedName name="_xlnm._FilterDatabase" localSheetId="9" hidden="1">'ШСД Пр. 17-23 '!#REF!</definedName>
    <definedName name="_xlnm._FilterDatabase" localSheetId="25" hidden="1">'ЭИ, ПАИ, МГИ Пр. 16-23'!$A$8:$Y$98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12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8">#REF!</definedName>
    <definedName name="TgDs" localSheetId="4">#REF!</definedName>
    <definedName name="TgDs" localSheetId="6">#REF!</definedName>
    <definedName name="TgDs" localSheetId="11">#REF!</definedName>
    <definedName name="TgDs" localSheetId="12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8">#REF!</definedName>
    <definedName name="TgSMP" localSheetId="4">#REF!</definedName>
    <definedName name="TgSMP" localSheetId="6">#REF!</definedName>
    <definedName name="TgSMP" localSheetId="11">#REF!</definedName>
    <definedName name="TgSMP" localSheetId="12">#REF!</definedName>
    <definedName name="TgSMP" localSheetId="9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10">[3]Данные!$B$1:$EF$178</definedName>
    <definedName name="Д" localSheetId="0">[3]Данные!$B$1:$EF$178</definedName>
    <definedName name="Д" localSheetId="23">[4]Данные!$B$1:$EF$178</definedName>
    <definedName name="Д" localSheetId="16">[3]Данные!$B$1:$EF$178</definedName>
    <definedName name="Д" localSheetId="15">[3]Данные!$B$1:$EF$178</definedName>
    <definedName name="Д" localSheetId="7">[5]Данные!$B$1:$EF$178</definedName>
    <definedName name="Д" localSheetId="8">[3]Данные!$B$1:$EF$178</definedName>
    <definedName name="Д" localSheetId="4">[5]Данные!$B$1:$EF$178</definedName>
    <definedName name="Д" localSheetId="6">[3]Данные!$B$1:$EF$178</definedName>
    <definedName name="Д" localSheetId="27">[3]Данные!$B$1:$EF$178</definedName>
    <definedName name="Д" localSheetId="11">[3]Данные!$B$1:$EF$178</definedName>
    <definedName name="Д" localSheetId="24">[4]Данные!$B$1:$EF$178</definedName>
    <definedName name="Д" localSheetId="12">[5]Данные!$B$1:$EF$178</definedName>
    <definedName name="Д" localSheetId="9">[3]Данные!$B$1:$EF$178</definedName>
    <definedName name="Д" localSheetId="25">[3]Данные!$B$1:$EF$178</definedName>
    <definedName name="Д">[3]Данные!$B$1:$EF$178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12">#REF!</definedName>
    <definedName name="Жен.конс." localSheetId="9">#REF!</definedName>
    <definedName name="Жен.конс.">#REF!</definedName>
    <definedName name="_xlnm.Print_Titles" localSheetId="1">'ВМП КС Пр.17-23'!$B:$C</definedName>
    <definedName name="_xlnm.Print_Titles" localSheetId="5">'Дисп. наблюдение Свод Пр.17-23'!$3:$7</definedName>
    <definedName name="_xlnm.Print_Titles" localSheetId="10">'Диспан.набл.взрослых Пр.17-23'!$6:$10</definedName>
    <definedName name="_xlnm.Print_Titles" localSheetId="2">'ДС (пр.17-23)'!#REF!</definedName>
    <definedName name="_xlnm.Print_Titles" localSheetId="0">'КС Пр. 17-23'!$2:$4</definedName>
    <definedName name="_xlnm.Print_Titles" localSheetId="7">'Пос с др.целями Пр17-23  '!$2:$6</definedName>
    <definedName name="_xlnm.Print_Titles" localSheetId="4">'Проф.Свод Пр.17-23  '!$2:$7</definedName>
    <definedName name="_xlnm.Print_Titles" localSheetId="6">'Раз.пос.Пр.17-23  '!$2:$7</definedName>
    <definedName name="_xlnm.Print_Titles" localSheetId="30">'СМП (17-23)'!$4:$7</definedName>
    <definedName name="_xlnm.Print_Titles" localSheetId="9">'ШСД Пр. 17-23 '!$3:$6</definedName>
    <definedName name="ЗД" localSheetId="13">[3]Данные!$BY$3:$DB$3</definedName>
    <definedName name="ЗД" localSheetId="10">[3]Данные!$BY$3:$DB$3</definedName>
    <definedName name="ЗД" localSheetId="23">[4]Данные!$BY$3:$DB$3</definedName>
    <definedName name="ЗД" localSheetId="16">[3]Данные!$BY$3:$DB$3</definedName>
    <definedName name="ЗД" localSheetId="15">[3]Данные!$BY$3:$DB$3</definedName>
    <definedName name="ЗД" localSheetId="7">[5]Данные!$BY$3:$DB$3</definedName>
    <definedName name="ЗД" localSheetId="8">[3]Данные!$BY$3:$DB$3</definedName>
    <definedName name="ЗД" localSheetId="4">[5]Данные!$BY$3:$DB$3</definedName>
    <definedName name="ЗД" localSheetId="6">[3]Данные!$BY$3:$DB$3</definedName>
    <definedName name="ЗД" localSheetId="27">[3]Данные!$BY$3:$DB$3</definedName>
    <definedName name="ЗД" localSheetId="11">[3]Данные!$BY$3:$DB$3</definedName>
    <definedName name="ЗД" localSheetId="24">[4]Данные!$BY$3:$DB$3</definedName>
    <definedName name="ЗД" localSheetId="12">[5]Данные!$BY$3:$DB$3</definedName>
    <definedName name="ЗД" localSheetId="9">[3]Данные!$BY$3:$DB$3</definedName>
    <definedName name="ЗД" localSheetId="25">[3]Данные!$BY$3:$DB$3</definedName>
    <definedName name="ЗД">[3]Данные!$BY$3:$DB$3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'[6]СВОД КП ПРОЕКТА книж'!$A$4:$DS$109</definedName>
    <definedName name="Нефтекамск" localSheetId="10">'[6]СВОД КП ПРОЕКТА книж'!$A$4:$DS$109</definedName>
    <definedName name="Нефтекамск" localSheetId="16">'[6]СВОД КП ПРОЕКТА книж'!$A$4:$DS$109</definedName>
    <definedName name="Нефтекамск" localSheetId="15">'[6]СВОД КП ПРОЕКТА книж'!$A$4:$DS$109</definedName>
    <definedName name="Нефтекамск" localSheetId="7">'[6]СВОД КП ПРОЕКТА книж'!$A$4:$DS$109</definedName>
    <definedName name="Нефтекамск" localSheetId="8">'[6]СВОД КП ПРОЕКТА книж'!$A$4:$DS$109</definedName>
    <definedName name="Нефтекамск" localSheetId="4">'[6]СВОД КП ПРОЕКТА книж'!$A$4:$DS$109</definedName>
    <definedName name="Нефтекамск" localSheetId="6">'[6]СВОД КП ПРОЕКТА книж'!$A$4:$DS$109</definedName>
    <definedName name="Нефтекамск" localSheetId="11">'[6]СВОД КП ПРОЕКТА книж'!$A$4:$DS$109</definedName>
    <definedName name="Нефтекамск" localSheetId="12">'[6]СВОД КП ПРОЕКТА книж'!$A$4:$DS$109</definedName>
    <definedName name="Нефтекамск" localSheetId="9">'[6]СВОД КП ПРОЕКТА книж'!$A$4:$DS$109</definedName>
    <definedName name="Нефтекамск">'[6]СВОД КП ПРОЕКТА книж'!$A$4:$DS$109</definedName>
    <definedName name="_xlnm.Print_Area" localSheetId="7">'Пос с др.целями Пр17-23  '!#REF!</definedName>
    <definedName name="_xlnm.Print_Area" localSheetId="12">'Центры здоровья Пр.15-23'!$A$1:$L$28</definedName>
    <definedName name="_xlnm.Print_Area" localSheetId="25">'ЭИ, ПАИ, МГИ Пр. 16-23'!$A$1:$Y$97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7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7">#REF!</definedName>
    <definedName name="пра" localSheetId="8">#REF!</definedName>
    <definedName name="пра" localSheetId="4">#REF!</definedName>
    <definedName name="пра" localSheetId="6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8">#REF!</definedName>
    <definedName name="пэт" localSheetId="4">#REF!</definedName>
    <definedName name="пэт" localSheetId="6">#REF!</definedName>
    <definedName name="пэт" localSheetId="11">#REF!</definedName>
    <definedName name="пэт" localSheetId="12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7">#REF!</definedName>
    <definedName name="рд" localSheetId="8">#REF!</definedName>
    <definedName name="рд" localSheetId="4">#REF!</definedName>
    <definedName name="рд" localSheetId="6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7">#REF!</definedName>
    <definedName name="РОБЬ" localSheetId="8">#REF!</definedName>
    <definedName name="РОБЬ" localSheetId="4">#REF!</definedName>
    <definedName name="РОБЬ" localSheetId="6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8">#REF!</definedName>
    <definedName name="смп" localSheetId="4">#REF!</definedName>
    <definedName name="смп" localSheetId="6">#REF!</definedName>
    <definedName name="смп" localSheetId="11">#REF!</definedName>
    <definedName name="смп" localSheetId="12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7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11">#REF!</definedName>
    <definedName name="Список" localSheetId="12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8">#REF!</definedName>
    <definedName name="стер" localSheetId="4">#REF!</definedName>
    <definedName name="стер" localSheetId="6">#REF!</definedName>
    <definedName name="стер" localSheetId="11">#REF!</definedName>
    <definedName name="стер" localSheetId="12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11">#REF!</definedName>
    <definedName name="ттттт" localSheetId="12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10">[3]Данные!$DC$3:$EF$3</definedName>
    <definedName name="ФЗ" localSheetId="23">[4]Данные!$DC$3:$EF$3</definedName>
    <definedName name="ФЗ" localSheetId="16">[3]Данные!$DC$3:$EF$3</definedName>
    <definedName name="ФЗ" localSheetId="15">[3]Данные!$DC$3:$EF$3</definedName>
    <definedName name="ФЗ" localSheetId="7">[5]Данные!$DC$3:$EF$3</definedName>
    <definedName name="ФЗ" localSheetId="8">[3]Данные!$DC$3:$EF$3</definedName>
    <definedName name="ФЗ" localSheetId="4">[5]Данные!$DC$3:$EF$3</definedName>
    <definedName name="ФЗ" localSheetId="6">[3]Данные!$DC$3:$EF$3</definedName>
    <definedName name="ФЗ" localSheetId="27">[3]Данные!$DC$3:$EF$3</definedName>
    <definedName name="ФЗ" localSheetId="11">[3]Данные!$DC$3:$EF$3</definedName>
    <definedName name="ФЗ" localSheetId="24">[4]Данные!$DC$3:$EF$3</definedName>
    <definedName name="ФЗ" localSheetId="12">[5]Данные!$DC$3:$EF$3</definedName>
    <definedName name="ФЗ" localSheetId="9">[3]Данные!$DC$3:$EF$3</definedName>
    <definedName name="ФЗ" localSheetId="25">[3]Данные!$DC$3:$EF$3</definedName>
    <definedName name="ФЗ">[3]Данные!$DC$3:$EF$3</definedName>
    <definedName name="Шт" localSheetId="13">[3]Данные!$AU$3:$BX$3</definedName>
    <definedName name="Шт" localSheetId="10">[3]Данные!$AU$3:$BX$3</definedName>
    <definedName name="Шт" localSheetId="23">[4]Данные!$AU$3:$BX$3</definedName>
    <definedName name="Шт" localSheetId="16">[3]Данные!$AU$3:$BX$3</definedName>
    <definedName name="Шт" localSheetId="15">[3]Данные!$AU$3:$BX$3</definedName>
    <definedName name="Шт" localSheetId="7">[5]Данные!$AU$3:$BX$3</definedName>
    <definedName name="Шт" localSheetId="8">[3]Данные!$AU$3:$BX$3</definedName>
    <definedName name="Шт" localSheetId="4">[5]Данные!$AU$3:$BX$3</definedName>
    <definedName name="Шт" localSheetId="6">[3]Данные!$AU$3:$BX$3</definedName>
    <definedName name="Шт" localSheetId="27">[3]Данные!$AU$3:$BX$3</definedName>
    <definedName name="Шт" localSheetId="11">[3]Данные!$AU$3:$BX$3</definedName>
    <definedName name="Шт" localSheetId="24">[4]Данные!$AU$3:$BX$3</definedName>
    <definedName name="Шт" localSheetId="12">[5]Данные!$AU$3:$BX$3</definedName>
    <definedName name="Шт" localSheetId="9">[3]Данные!$AU$3:$BX$3</definedName>
    <definedName name="Шт" localSheetId="25">[3]Данные!$AU$3:$BX$3</definedName>
    <definedName name="Шт">[3]Данные!$AU$3:$BX$3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J21" i="61" l="1"/>
  <c r="I38" i="20" l="1"/>
  <c r="J38" i="20"/>
  <c r="M136" i="61" l="1"/>
  <c r="K136" i="61"/>
  <c r="AG5" i="60"/>
  <c r="AD5" i="60"/>
  <c r="AD7" i="60"/>
  <c r="AD6" i="60"/>
  <c r="D98" i="13" l="1"/>
  <c r="R155" i="118" l="1"/>
  <c r="Q155" i="118"/>
  <c r="P155" i="118"/>
  <c r="O155" i="118"/>
  <c r="N155" i="118"/>
  <c r="M155" i="118"/>
  <c r="L155" i="118"/>
  <c r="K155" i="118"/>
  <c r="J155" i="118"/>
  <c r="I155" i="118"/>
  <c r="H155" i="118"/>
  <c r="G155" i="118"/>
  <c r="F155" i="118"/>
  <c r="E155" i="118"/>
  <c r="R154" i="118"/>
  <c r="Q154" i="118"/>
  <c r="P154" i="118"/>
  <c r="O154" i="118"/>
  <c r="N154" i="118"/>
  <c r="M154" i="118"/>
  <c r="L154" i="118"/>
  <c r="K154" i="118"/>
  <c r="J154" i="118"/>
  <c r="I154" i="118"/>
  <c r="H154" i="118"/>
  <c r="G154" i="118"/>
  <c r="F154" i="118"/>
  <c r="E154" i="118"/>
  <c r="R153" i="118"/>
  <c r="Q153" i="118"/>
  <c r="P153" i="118"/>
  <c r="O153" i="118"/>
  <c r="N153" i="118"/>
  <c r="M153" i="118"/>
  <c r="L153" i="118"/>
  <c r="K153" i="118"/>
  <c r="J153" i="118"/>
  <c r="I153" i="118"/>
  <c r="H153" i="118"/>
  <c r="G153" i="118"/>
  <c r="F153" i="118"/>
  <c r="E153" i="118"/>
  <c r="R152" i="118"/>
  <c r="Q152" i="118"/>
  <c r="P152" i="118"/>
  <c r="O152" i="118"/>
  <c r="N152" i="118"/>
  <c r="M152" i="118"/>
  <c r="L152" i="118"/>
  <c r="K152" i="118"/>
  <c r="J152" i="118"/>
  <c r="I152" i="118"/>
  <c r="H152" i="118"/>
  <c r="G152" i="118"/>
  <c r="F152" i="118"/>
  <c r="E152" i="118"/>
  <c r="R151" i="118"/>
  <c r="Q151" i="118"/>
  <c r="P151" i="118"/>
  <c r="O151" i="118"/>
  <c r="N151" i="118"/>
  <c r="M151" i="118"/>
  <c r="L151" i="118"/>
  <c r="K151" i="118"/>
  <c r="J151" i="118"/>
  <c r="I151" i="118"/>
  <c r="H151" i="118"/>
  <c r="G151" i="118"/>
  <c r="F151" i="118"/>
  <c r="E151" i="118"/>
  <c r="R150" i="118"/>
  <c r="Q150" i="118"/>
  <c r="P150" i="118"/>
  <c r="O150" i="118"/>
  <c r="N150" i="118"/>
  <c r="M150" i="118"/>
  <c r="L150" i="118"/>
  <c r="K150" i="118"/>
  <c r="J150" i="118"/>
  <c r="I150" i="118"/>
  <c r="H150" i="118"/>
  <c r="G150" i="118"/>
  <c r="F150" i="118"/>
  <c r="E150" i="118"/>
  <c r="R149" i="118"/>
  <c r="Q149" i="118"/>
  <c r="P149" i="118"/>
  <c r="O149" i="118"/>
  <c r="N149" i="118"/>
  <c r="M149" i="118"/>
  <c r="L149" i="118"/>
  <c r="K149" i="118"/>
  <c r="J149" i="118"/>
  <c r="I149" i="118"/>
  <c r="H149" i="118"/>
  <c r="G149" i="118"/>
  <c r="F149" i="118"/>
  <c r="E149" i="118"/>
  <c r="R148" i="118"/>
  <c r="Q148" i="118"/>
  <c r="P148" i="118"/>
  <c r="O148" i="118"/>
  <c r="N148" i="118"/>
  <c r="M148" i="118"/>
  <c r="L148" i="118"/>
  <c r="K148" i="118"/>
  <c r="J148" i="118"/>
  <c r="I148" i="118"/>
  <c r="H148" i="118"/>
  <c r="G148" i="118"/>
  <c r="F148" i="118"/>
  <c r="E148" i="118"/>
  <c r="R147" i="118"/>
  <c r="Q147" i="118"/>
  <c r="P147" i="118"/>
  <c r="O147" i="118"/>
  <c r="N147" i="118"/>
  <c r="M147" i="118"/>
  <c r="L147" i="118"/>
  <c r="K147" i="118"/>
  <c r="J147" i="118"/>
  <c r="I147" i="118"/>
  <c r="H147" i="118"/>
  <c r="G147" i="118"/>
  <c r="F147" i="118"/>
  <c r="E147" i="118"/>
  <c r="R146" i="118"/>
  <c r="Q146" i="118"/>
  <c r="P146" i="118"/>
  <c r="O146" i="118"/>
  <c r="N146" i="118"/>
  <c r="M146" i="118"/>
  <c r="L146" i="118"/>
  <c r="K146" i="118"/>
  <c r="J146" i="118"/>
  <c r="I146" i="118"/>
  <c r="H146" i="118"/>
  <c r="G146" i="118"/>
  <c r="F146" i="118"/>
  <c r="E146" i="118"/>
  <c r="R145" i="118"/>
  <c r="Q145" i="118"/>
  <c r="P145" i="118"/>
  <c r="O145" i="118"/>
  <c r="N145" i="118"/>
  <c r="M145" i="118"/>
  <c r="L145" i="118"/>
  <c r="K145" i="118"/>
  <c r="J145" i="118"/>
  <c r="I145" i="118"/>
  <c r="H145" i="118"/>
  <c r="G145" i="118"/>
  <c r="F145" i="118"/>
  <c r="E145" i="118"/>
  <c r="R144" i="118"/>
  <c r="Q144" i="118"/>
  <c r="P144" i="118"/>
  <c r="O144" i="118"/>
  <c r="N144" i="118"/>
  <c r="M144" i="118"/>
  <c r="L144" i="118"/>
  <c r="K144" i="118"/>
  <c r="J144" i="118"/>
  <c r="I144" i="118"/>
  <c r="H144" i="118"/>
  <c r="G144" i="118"/>
  <c r="F144" i="118"/>
  <c r="E144" i="118"/>
  <c r="R143" i="118"/>
  <c r="Q143" i="118"/>
  <c r="P143" i="118"/>
  <c r="O143" i="118"/>
  <c r="N143" i="118"/>
  <c r="M143" i="118"/>
  <c r="L143" i="118"/>
  <c r="K143" i="118"/>
  <c r="J143" i="118"/>
  <c r="I143" i="118"/>
  <c r="H143" i="118"/>
  <c r="G143" i="118"/>
  <c r="F143" i="118"/>
  <c r="E143" i="118"/>
  <c r="R142" i="118"/>
  <c r="Q142" i="118"/>
  <c r="P142" i="118"/>
  <c r="O142" i="118"/>
  <c r="N142" i="118"/>
  <c r="M142" i="118"/>
  <c r="L142" i="118"/>
  <c r="K142" i="118"/>
  <c r="J142" i="118"/>
  <c r="I142" i="118"/>
  <c r="H142" i="118"/>
  <c r="G142" i="118"/>
  <c r="F142" i="118"/>
  <c r="E142" i="118"/>
  <c r="R141" i="118"/>
  <c r="Q141" i="118"/>
  <c r="P141" i="118"/>
  <c r="O141" i="118"/>
  <c r="N141" i="118"/>
  <c r="M141" i="118"/>
  <c r="L141" i="118"/>
  <c r="K141" i="118"/>
  <c r="J141" i="118"/>
  <c r="I141" i="118"/>
  <c r="H141" i="118"/>
  <c r="G141" i="118"/>
  <c r="F141" i="118"/>
  <c r="E141" i="118"/>
  <c r="R140" i="118"/>
  <c r="Q140" i="118"/>
  <c r="P140" i="118"/>
  <c r="O140" i="118"/>
  <c r="N140" i="118"/>
  <c r="M140" i="118"/>
  <c r="L140" i="118"/>
  <c r="K140" i="118"/>
  <c r="J140" i="118"/>
  <c r="I140" i="118"/>
  <c r="H140" i="118"/>
  <c r="G140" i="118"/>
  <c r="F140" i="118"/>
  <c r="E140" i="118"/>
  <c r="R139" i="118"/>
  <c r="Q139" i="118"/>
  <c r="P139" i="118"/>
  <c r="O139" i="118"/>
  <c r="N139" i="118"/>
  <c r="M139" i="118"/>
  <c r="L139" i="118"/>
  <c r="K139" i="118"/>
  <c r="J139" i="118"/>
  <c r="I139" i="118"/>
  <c r="H139" i="118"/>
  <c r="G139" i="118"/>
  <c r="F139" i="118"/>
  <c r="E139" i="118"/>
  <c r="R138" i="118"/>
  <c r="Q138" i="118"/>
  <c r="P138" i="118"/>
  <c r="O138" i="118"/>
  <c r="N138" i="118"/>
  <c r="M138" i="118"/>
  <c r="L138" i="118"/>
  <c r="K138" i="118"/>
  <c r="J138" i="118"/>
  <c r="I138" i="118"/>
  <c r="H138" i="118"/>
  <c r="G138" i="118"/>
  <c r="F138" i="118"/>
  <c r="E138" i="118"/>
  <c r="R137" i="118"/>
  <c r="Q137" i="118"/>
  <c r="P137" i="118"/>
  <c r="O137" i="118"/>
  <c r="N137" i="118"/>
  <c r="M137" i="118"/>
  <c r="L137" i="118"/>
  <c r="K137" i="118"/>
  <c r="J137" i="118"/>
  <c r="I137" i="118"/>
  <c r="H137" i="118"/>
  <c r="G137" i="118"/>
  <c r="F137" i="118"/>
  <c r="E137" i="118"/>
  <c r="R136" i="118"/>
  <c r="Q136" i="118"/>
  <c r="P136" i="118"/>
  <c r="O136" i="118"/>
  <c r="N136" i="118"/>
  <c r="M136" i="118"/>
  <c r="L136" i="118"/>
  <c r="K136" i="118"/>
  <c r="J136" i="118"/>
  <c r="I136" i="118"/>
  <c r="H136" i="118"/>
  <c r="G136" i="118"/>
  <c r="F136" i="118"/>
  <c r="E136" i="118"/>
  <c r="R135" i="118"/>
  <c r="Q135" i="118"/>
  <c r="P135" i="118"/>
  <c r="O135" i="118"/>
  <c r="N135" i="118"/>
  <c r="M135" i="118"/>
  <c r="L135" i="118"/>
  <c r="K135" i="118"/>
  <c r="J135" i="118"/>
  <c r="I135" i="118"/>
  <c r="H135" i="118"/>
  <c r="G135" i="118"/>
  <c r="F135" i="118"/>
  <c r="E135" i="118"/>
  <c r="R134" i="118"/>
  <c r="Q134" i="118"/>
  <c r="P134" i="118"/>
  <c r="O134" i="118"/>
  <c r="N134" i="118"/>
  <c r="M134" i="118"/>
  <c r="L134" i="118"/>
  <c r="K134" i="118"/>
  <c r="J134" i="118"/>
  <c r="I134" i="118"/>
  <c r="H134" i="118"/>
  <c r="G134" i="118"/>
  <c r="F134" i="118"/>
  <c r="E134" i="118"/>
  <c r="R133" i="118"/>
  <c r="Q133" i="118"/>
  <c r="P133" i="118"/>
  <c r="O133" i="118"/>
  <c r="N133" i="118"/>
  <c r="M133" i="118"/>
  <c r="L133" i="118"/>
  <c r="K133" i="118"/>
  <c r="J133" i="118"/>
  <c r="I133" i="118"/>
  <c r="H133" i="118"/>
  <c r="G133" i="118"/>
  <c r="F133" i="118"/>
  <c r="E133" i="118"/>
  <c r="R132" i="118"/>
  <c r="Q132" i="118"/>
  <c r="P132" i="118"/>
  <c r="O132" i="118"/>
  <c r="N132" i="118"/>
  <c r="M132" i="118"/>
  <c r="L132" i="118"/>
  <c r="K132" i="118"/>
  <c r="J132" i="118"/>
  <c r="I132" i="118"/>
  <c r="H132" i="118"/>
  <c r="G132" i="118"/>
  <c r="F132" i="118"/>
  <c r="E132" i="118"/>
  <c r="R131" i="118"/>
  <c r="Q131" i="118"/>
  <c r="P131" i="118"/>
  <c r="O131" i="118"/>
  <c r="N131" i="118"/>
  <c r="M131" i="118"/>
  <c r="L131" i="118"/>
  <c r="K131" i="118"/>
  <c r="J131" i="118"/>
  <c r="I131" i="118"/>
  <c r="H131" i="118"/>
  <c r="G131" i="118"/>
  <c r="F131" i="118"/>
  <c r="E131" i="118"/>
  <c r="R130" i="118"/>
  <c r="Q130" i="118"/>
  <c r="P130" i="118"/>
  <c r="O130" i="118"/>
  <c r="N130" i="118"/>
  <c r="M130" i="118"/>
  <c r="L130" i="118"/>
  <c r="K130" i="118"/>
  <c r="J130" i="118"/>
  <c r="I130" i="118"/>
  <c r="H130" i="118"/>
  <c r="G130" i="118"/>
  <c r="F130" i="118"/>
  <c r="E130" i="118"/>
  <c r="R129" i="118"/>
  <c r="Q129" i="118"/>
  <c r="P129" i="118"/>
  <c r="O129" i="118"/>
  <c r="N129" i="118"/>
  <c r="M129" i="118"/>
  <c r="L129" i="118"/>
  <c r="K129" i="118"/>
  <c r="J129" i="118"/>
  <c r="I129" i="118"/>
  <c r="H129" i="118"/>
  <c r="G129" i="118"/>
  <c r="F129" i="118"/>
  <c r="E129" i="118"/>
  <c r="R128" i="118"/>
  <c r="Q128" i="118"/>
  <c r="P128" i="118"/>
  <c r="O128" i="118"/>
  <c r="N128" i="118"/>
  <c r="M128" i="118"/>
  <c r="L128" i="118"/>
  <c r="K128" i="118"/>
  <c r="J128" i="118"/>
  <c r="I128" i="118"/>
  <c r="H128" i="118"/>
  <c r="G128" i="118"/>
  <c r="F128" i="118"/>
  <c r="E128" i="118"/>
  <c r="R127" i="118"/>
  <c r="Q127" i="118"/>
  <c r="P127" i="118"/>
  <c r="O127" i="118"/>
  <c r="N127" i="118"/>
  <c r="M127" i="118"/>
  <c r="L127" i="118"/>
  <c r="K127" i="118"/>
  <c r="J127" i="118"/>
  <c r="I127" i="118"/>
  <c r="H127" i="118"/>
  <c r="G127" i="118"/>
  <c r="F127" i="118"/>
  <c r="E127" i="118"/>
  <c r="R126" i="118"/>
  <c r="Q126" i="118"/>
  <c r="P126" i="118"/>
  <c r="O126" i="118"/>
  <c r="N126" i="118"/>
  <c r="M126" i="118"/>
  <c r="L126" i="118"/>
  <c r="K126" i="118"/>
  <c r="J126" i="118"/>
  <c r="I126" i="118"/>
  <c r="H126" i="118"/>
  <c r="G126" i="118"/>
  <c r="F126" i="118"/>
  <c r="E126" i="118"/>
  <c r="R125" i="118"/>
  <c r="Q125" i="118"/>
  <c r="P125" i="118"/>
  <c r="O125" i="118"/>
  <c r="N125" i="118"/>
  <c r="M125" i="118"/>
  <c r="L125" i="118"/>
  <c r="K125" i="118"/>
  <c r="J125" i="118"/>
  <c r="I125" i="118"/>
  <c r="H125" i="118"/>
  <c r="G125" i="118"/>
  <c r="F125" i="118"/>
  <c r="E125" i="118"/>
  <c r="R124" i="118"/>
  <c r="Q124" i="118"/>
  <c r="P124" i="118"/>
  <c r="O124" i="118"/>
  <c r="N124" i="118"/>
  <c r="M124" i="118"/>
  <c r="L124" i="118"/>
  <c r="K124" i="118"/>
  <c r="J124" i="118"/>
  <c r="I124" i="118"/>
  <c r="H124" i="118"/>
  <c r="G124" i="118"/>
  <c r="F124" i="118"/>
  <c r="E124" i="118"/>
  <c r="R123" i="118"/>
  <c r="Q123" i="118"/>
  <c r="P123" i="118"/>
  <c r="O123" i="118"/>
  <c r="N123" i="118"/>
  <c r="M123" i="118"/>
  <c r="L123" i="118"/>
  <c r="K123" i="118"/>
  <c r="J123" i="118"/>
  <c r="I123" i="118"/>
  <c r="H123" i="118"/>
  <c r="G123" i="118"/>
  <c r="F123" i="118"/>
  <c r="E123" i="118"/>
  <c r="R122" i="118"/>
  <c r="Q122" i="118"/>
  <c r="P122" i="118"/>
  <c r="O122" i="118"/>
  <c r="N122" i="118"/>
  <c r="M122" i="118"/>
  <c r="L122" i="118"/>
  <c r="K122" i="118"/>
  <c r="J122" i="118"/>
  <c r="I122" i="118"/>
  <c r="H122" i="118"/>
  <c r="G122" i="118"/>
  <c r="F122" i="118"/>
  <c r="E122" i="118"/>
  <c r="R121" i="118"/>
  <c r="Q121" i="118"/>
  <c r="P121" i="118"/>
  <c r="O121" i="118"/>
  <c r="N121" i="118"/>
  <c r="M121" i="118"/>
  <c r="L121" i="118"/>
  <c r="K121" i="118"/>
  <c r="J121" i="118"/>
  <c r="I121" i="118"/>
  <c r="H121" i="118"/>
  <c r="G121" i="118"/>
  <c r="F121" i="118"/>
  <c r="E121" i="118"/>
  <c r="R120" i="118"/>
  <c r="Q120" i="118"/>
  <c r="P120" i="118"/>
  <c r="O120" i="118"/>
  <c r="N120" i="118"/>
  <c r="M120" i="118"/>
  <c r="L120" i="118"/>
  <c r="K120" i="118"/>
  <c r="J120" i="118"/>
  <c r="I120" i="118"/>
  <c r="H120" i="118"/>
  <c r="G120" i="118"/>
  <c r="F120" i="118"/>
  <c r="E120" i="118"/>
  <c r="R119" i="118"/>
  <c r="Q119" i="118"/>
  <c r="P119" i="118"/>
  <c r="O119" i="118"/>
  <c r="N119" i="118"/>
  <c r="M119" i="118"/>
  <c r="L119" i="118"/>
  <c r="K119" i="118"/>
  <c r="J119" i="118"/>
  <c r="I119" i="118"/>
  <c r="H119" i="118"/>
  <c r="G119" i="118"/>
  <c r="F119" i="118"/>
  <c r="E119" i="118"/>
  <c r="R118" i="118"/>
  <c r="Q118" i="118"/>
  <c r="P118" i="118"/>
  <c r="O118" i="118"/>
  <c r="N118" i="118"/>
  <c r="M118" i="118"/>
  <c r="L118" i="118"/>
  <c r="K118" i="118"/>
  <c r="J118" i="118"/>
  <c r="I118" i="118"/>
  <c r="H118" i="118"/>
  <c r="G118" i="118"/>
  <c r="F118" i="118"/>
  <c r="E118" i="118"/>
  <c r="R117" i="118"/>
  <c r="Q117" i="118"/>
  <c r="P117" i="118"/>
  <c r="O117" i="118"/>
  <c r="N117" i="118"/>
  <c r="M117" i="118"/>
  <c r="L117" i="118"/>
  <c r="K117" i="118"/>
  <c r="J117" i="118"/>
  <c r="I117" i="118"/>
  <c r="H117" i="118"/>
  <c r="G117" i="118"/>
  <c r="F117" i="118"/>
  <c r="E117" i="118"/>
  <c r="R116" i="118"/>
  <c r="Q116" i="118"/>
  <c r="P116" i="118"/>
  <c r="O116" i="118"/>
  <c r="N116" i="118"/>
  <c r="M116" i="118"/>
  <c r="L116" i="118"/>
  <c r="K116" i="118"/>
  <c r="J116" i="118"/>
  <c r="I116" i="118"/>
  <c r="H116" i="118"/>
  <c r="G116" i="118"/>
  <c r="F116" i="118"/>
  <c r="E116" i="118"/>
  <c r="R115" i="118"/>
  <c r="Q115" i="118"/>
  <c r="P115" i="118"/>
  <c r="O115" i="118"/>
  <c r="N115" i="118"/>
  <c r="M115" i="118"/>
  <c r="L115" i="118"/>
  <c r="K115" i="118"/>
  <c r="J115" i="118"/>
  <c r="I115" i="118"/>
  <c r="H115" i="118"/>
  <c r="G115" i="118"/>
  <c r="F115" i="118"/>
  <c r="E115" i="118"/>
  <c r="R114" i="118"/>
  <c r="Q114" i="118"/>
  <c r="P114" i="118"/>
  <c r="O114" i="118"/>
  <c r="N114" i="118"/>
  <c r="M114" i="118"/>
  <c r="L114" i="118"/>
  <c r="K114" i="118"/>
  <c r="J114" i="118"/>
  <c r="I114" i="118"/>
  <c r="H114" i="118"/>
  <c r="G114" i="118"/>
  <c r="F114" i="118"/>
  <c r="E114" i="118"/>
  <c r="R113" i="118"/>
  <c r="Q113" i="118"/>
  <c r="P113" i="118"/>
  <c r="O113" i="118"/>
  <c r="N113" i="118"/>
  <c r="M113" i="118"/>
  <c r="L113" i="118"/>
  <c r="K113" i="118"/>
  <c r="J113" i="118"/>
  <c r="I113" i="118"/>
  <c r="H113" i="118"/>
  <c r="G113" i="118"/>
  <c r="F113" i="118"/>
  <c r="E113" i="118"/>
  <c r="R112" i="118"/>
  <c r="Q112" i="118"/>
  <c r="P112" i="118"/>
  <c r="O112" i="118"/>
  <c r="N112" i="118"/>
  <c r="M112" i="118"/>
  <c r="L112" i="118"/>
  <c r="K112" i="118"/>
  <c r="J112" i="118"/>
  <c r="I112" i="118"/>
  <c r="H112" i="118"/>
  <c r="G112" i="118"/>
  <c r="F112" i="118"/>
  <c r="E112" i="118"/>
  <c r="R111" i="118"/>
  <c r="Q111" i="118"/>
  <c r="P111" i="118"/>
  <c r="O111" i="118"/>
  <c r="N111" i="118"/>
  <c r="M111" i="118"/>
  <c r="L111" i="118"/>
  <c r="K111" i="118"/>
  <c r="J111" i="118"/>
  <c r="I111" i="118"/>
  <c r="H111" i="118"/>
  <c r="G111" i="118"/>
  <c r="F111" i="118"/>
  <c r="E111" i="118"/>
  <c r="R110" i="118"/>
  <c r="Q110" i="118"/>
  <c r="P110" i="118"/>
  <c r="O110" i="118"/>
  <c r="N110" i="118"/>
  <c r="M110" i="118"/>
  <c r="L110" i="118"/>
  <c r="K110" i="118"/>
  <c r="J110" i="118"/>
  <c r="I110" i="118"/>
  <c r="H110" i="118"/>
  <c r="G110" i="118"/>
  <c r="F110" i="118"/>
  <c r="E110" i="118"/>
  <c r="R109" i="118"/>
  <c r="Q109" i="118"/>
  <c r="P109" i="118"/>
  <c r="O109" i="118"/>
  <c r="N109" i="118"/>
  <c r="M109" i="118"/>
  <c r="L109" i="118"/>
  <c r="K109" i="118"/>
  <c r="J109" i="118"/>
  <c r="I109" i="118"/>
  <c r="H109" i="118"/>
  <c r="G109" i="118"/>
  <c r="F109" i="118"/>
  <c r="E109" i="118"/>
  <c r="R108" i="118"/>
  <c r="Q108" i="118"/>
  <c r="P108" i="118"/>
  <c r="O108" i="118"/>
  <c r="N108" i="118"/>
  <c r="M108" i="118"/>
  <c r="L108" i="118"/>
  <c r="K108" i="118"/>
  <c r="J108" i="118"/>
  <c r="I108" i="118"/>
  <c r="H108" i="118"/>
  <c r="G108" i="118"/>
  <c r="F108" i="118"/>
  <c r="E108" i="118"/>
  <c r="R107" i="118"/>
  <c r="Q107" i="118"/>
  <c r="P107" i="118"/>
  <c r="O107" i="118"/>
  <c r="N107" i="118"/>
  <c r="M107" i="118"/>
  <c r="L107" i="118"/>
  <c r="K107" i="118"/>
  <c r="J107" i="118"/>
  <c r="I107" i="118"/>
  <c r="H107" i="118"/>
  <c r="G107" i="118"/>
  <c r="F107" i="118"/>
  <c r="E107" i="118"/>
  <c r="R106" i="118"/>
  <c r="Q106" i="118"/>
  <c r="P106" i="118"/>
  <c r="O106" i="118"/>
  <c r="N106" i="118"/>
  <c r="M106" i="118"/>
  <c r="L106" i="118"/>
  <c r="K106" i="118"/>
  <c r="J106" i="118"/>
  <c r="I106" i="118"/>
  <c r="H106" i="118"/>
  <c r="G106" i="118"/>
  <c r="F106" i="118"/>
  <c r="E106" i="118"/>
  <c r="R105" i="118"/>
  <c r="Q105" i="118"/>
  <c r="P105" i="118"/>
  <c r="O105" i="118"/>
  <c r="N105" i="118"/>
  <c r="M105" i="118"/>
  <c r="L105" i="118"/>
  <c r="K105" i="118"/>
  <c r="J105" i="118"/>
  <c r="I105" i="118"/>
  <c r="H105" i="118"/>
  <c r="G105" i="118"/>
  <c r="F105" i="118"/>
  <c r="E105" i="118"/>
  <c r="R104" i="118"/>
  <c r="Q104" i="118"/>
  <c r="P104" i="118"/>
  <c r="O104" i="118"/>
  <c r="N104" i="118"/>
  <c r="M104" i="118"/>
  <c r="L104" i="118"/>
  <c r="K104" i="118"/>
  <c r="J104" i="118"/>
  <c r="I104" i="118"/>
  <c r="H104" i="118"/>
  <c r="G104" i="118"/>
  <c r="F104" i="118"/>
  <c r="E104" i="118"/>
  <c r="R103" i="118"/>
  <c r="Q103" i="118"/>
  <c r="P103" i="118"/>
  <c r="O103" i="118"/>
  <c r="N103" i="118"/>
  <c r="M103" i="118"/>
  <c r="L103" i="118"/>
  <c r="K103" i="118"/>
  <c r="J103" i="118"/>
  <c r="I103" i="118"/>
  <c r="H103" i="118"/>
  <c r="G103" i="118"/>
  <c r="F103" i="118"/>
  <c r="E103" i="118"/>
  <c r="R102" i="118"/>
  <c r="Q102" i="118"/>
  <c r="P102" i="118"/>
  <c r="O102" i="118"/>
  <c r="N102" i="118"/>
  <c r="M102" i="118"/>
  <c r="L102" i="118"/>
  <c r="K102" i="118"/>
  <c r="J102" i="118"/>
  <c r="I102" i="118"/>
  <c r="H102" i="118"/>
  <c r="G102" i="118"/>
  <c r="F102" i="118"/>
  <c r="E102" i="118"/>
  <c r="R101" i="118"/>
  <c r="Q101" i="118"/>
  <c r="P101" i="118"/>
  <c r="O101" i="118"/>
  <c r="N101" i="118"/>
  <c r="M101" i="118"/>
  <c r="L101" i="118"/>
  <c r="K101" i="118"/>
  <c r="J101" i="118"/>
  <c r="I101" i="118"/>
  <c r="H101" i="118"/>
  <c r="G101" i="118"/>
  <c r="F101" i="118"/>
  <c r="E101" i="118"/>
  <c r="R100" i="118"/>
  <c r="Q100" i="118"/>
  <c r="P100" i="118"/>
  <c r="O100" i="118"/>
  <c r="N100" i="118"/>
  <c r="M100" i="118"/>
  <c r="L100" i="118"/>
  <c r="K100" i="118"/>
  <c r="J100" i="118"/>
  <c r="I100" i="118"/>
  <c r="H100" i="118"/>
  <c r="G100" i="118"/>
  <c r="F100" i="118"/>
  <c r="E100" i="118"/>
  <c r="R99" i="118"/>
  <c r="Q99" i="118"/>
  <c r="P99" i="118"/>
  <c r="O99" i="118"/>
  <c r="N99" i="118"/>
  <c r="M99" i="118"/>
  <c r="L99" i="118"/>
  <c r="K99" i="118"/>
  <c r="J99" i="118"/>
  <c r="I99" i="118"/>
  <c r="H99" i="118"/>
  <c r="G99" i="118"/>
  <c r="F99" i="118"/>
  <c r="E99" i="118"/>
  <c r="R98" i="118"/>
  <c r="Q98" i="118"/>
  <c r="P98" i="118"/>
  <c r="O98" i="118"/>
  <c r="N98" i="118"/>
  <c r="M98" i="118"/>
  <c r="L98" i="118"/>
  <c r="K98" i="118"/>
  <c r="J98" i="118"/>
  <c r="I98" i="118"/>
  <c r="H98" i="118"/>
  <c r="G98" i="118"/>
  <c r="F98" i="118"/>
  <c r="E98" i="118"/>
  <c r="R97" i="118"/>
  <c r="Q97" i="118"/>
  <c r="P97" i="118"/>
  <c r="O97" i="118"/>
  <c r="N97" i="118"/>
  <c r="M97" i="118"/>
  <c r="L97" i="118"/>
  <c r="K97" i="118"/>
  <c r="J97" i="118"/>
  <c r="I97" i="118"/>
  <c r="H97" i="118"/>
  <c r="G97" i="118"/>
  <c r="F97" i="118"/>
  <c r="E97" i="118"/>
  <c r="R96" i="118"/>
  <c r="Q96" i="118"/>
  <c r="P96" i="118"/>
  <c r="O96" i="118"/>
  <c r="N96" i="118"/>
  <c r="M96" i="118"/>
  <c r="L96" i="118"/>
  <c r="K96" i="118"/>
  <c r="J96" i="118"/>
  <c r="I96" i="118"/>
  <c r="H96" i="118"/>
  <c r="G96" i="118"/>
  <c r="F96" i="118"/>
  <c r="E96" i="118"/>
  <c r="R95" i="118"/>
  <c r="Q95" i="118"/>
  <c r="P95" i="118"/>
  <c r="O95" i="118"/>
  <c r="N95" i="118"/>
  <c r="M95" i="118"/>
  <c r="L95" i="118"/>
  <c r="K95" i="118"/>
  <c r="J95" i="118"/>
  <c r="I95" i="118"/>
  <c r="H95" i="118"/>
  <c r="G95" i="118"/>
  <c r="F95" i="118"/>
  <c r="E95" i="118"/>
  <c r="R94" i="118"/>
  <c r="Q94" i="118"/>
  <c r="P94" i="118"/>
  <c r="O94" i="118"/>
  <c r="N94" i="118"/>
  <c r="M94" i="118"/>
  <c r="L94" i="118"/>
  <c r="K94" i="118"/>
  <c r="J94" i="118"/>
  <c r="I94" i="118"/>
  <c r="H94" i="118"/>
  <c r="G94" i="118"/>
  <c r="F94" i="118"/>
  <c r="E94" i="118"/>
  <c r="R93" i="118"/>
  <c r="Q93" i="118"/>
  <c r="P93" i="118"/>
  <c r="O93" i="118"/>
  <c r="N93" i="118"/>
  <c r="M93" i="118"/>
  <c r="L93" i="118"/>
  <c r="K93" i="118"/>
  <c r="J93" i="118"/>
  <c r="I93" i="118"/>
  <c r="H93" i="118"/>
  <c r="G93" i="118"/>
  <c r="F93" i="118"/>
  <c r="E93" i="118"/>
  <c r="R92" i="118"/>
  <c r="Q92" i="118"/>
  <c r="P92" i="118"/>
  <c r="O92" i="118"/>
  <c r="N92" i="118"/>
  <c r="M92" i="118"/>
  <c r="L92" i="118"/>
  <c r="K92" i="118"/>
  <c r="J92" i="118"/>
  <c r="I92" i="118"/>
  <c r="H92" i="118"/>
  <c r="G92" i="118"/>
  <c r="F92" i="118"/>
  <c r="E92" i="118"/>
  <c r="R91" i="118"/>
  <c r="Q91" i="118"/>
  <c r="P91" i="118"/>
  <c r="O91" i="118"/>
  <c r="N91" i="118"/>
  <c r="M91" i="118"/>
  <c r="L91" i="118"/>
  <c r="K91" i="118"/>
  <c r="J91" i="118"/>
  <c r="I91" i="118"/>
  <c r="H91" i="118"/>
  <c r="G91" i="118"/>
  <c r="F91" i="118"/>
  <c r="E91" i="118"/>
  <c r="R90" i="118"/>
  <c r="Q90" i="118"/>
  <c r="P90" i="118"/>
  <c r="O90" i="118"/>
  <c r="N90" i="118"/>
  <c r="M90" i="118"/>
  <c r="L90" i="118"/>
  <c r="K90" i="118"/>
  <c r="J90" i="118"/>
  <c r="I90" i="118"/>
  <c r="H90" i="118"/>
  <c r="G90" i="118"/>
  <c r="F90" i="118"/>
  <c r="E90" i="118"/>
  <c r="R89" i="118"/>
  <c r="Q89" i="118"/>
  <c r="P89" i="118"/>
  <c r="O89" i="118"/>
  <c r="N89" i="118"/>
  <c r="M89" i="118"/>
  <c r="L89" i="118"/>
  <c r="K89" i="118"/>
  <c r="J89" i="118"/>
  <c r="I89" i="118"/>
  <c r="H89" i="118"/>
  <c r="G89" i="118"/>
  <c r="F89" i="118"/>
  <c r="E89" i="118"/>
  <c r="R88" i="118"/>
  <c r="Q88" i="118"/>
  <c r="P88" i="118"/>
  <c r="O88" i="118"/>
  <c r="N88" i="118"/>
  <c r="M88" i="118"/>
  <c r="L88" i="118"/>
  <c r="K88" i="118"/>
  <c r="J88" i="118"/>
  <c r="I88" i="118"/>
  <c r="H88" i="118"/>
  <c r="G88" i="118"/>
  <c r="F88" i="118"/>
  <c r="E88" i="118"/>
  <c r="R87" i="118"/>
  <c r="Q87" i="118"/>
  <c r="P87" i="118"/>
  <c r="O87" i="118"/>
  <c r="N87" i="118"/>
  <c r="M87" i="118"/>
  <c r="L87" i="118"/>
  <c r="K87" i="118"/>
  <c r="J87" i="118"/>
  <c r="I87" i="118"/>
  <c r="H87" i="118"/>
  <c r="G87" i="118"/>
  <c r="F87" i="118"/>
  <c r="E87" i="118"/>
  <c r="R86" i="118"/>
  <c r="Q86" i="118"/>
  <c r="P86" i="118"/>
  <c r="O86" i="118"/>
  <c r="N86" i="118"/>
  <c r="M86" i="118"/>
  <c r="L86" i="118"/>
  <c r="K86" i="118"/>
  <c r="J86" i="118"/>
  <c r="I86" i="118"/>
  <c r="H86" i="118"/>
  <c r="G86" i="118"/>
  <c r="F86" i="118"/>
  <c r="E86" i="118"/>
  <c r="R85" i="118"/>
  <c r="Q85" i="118"/>
  <c r="P85" i="118"/>
  <c r="O85" i="118"/>
  <c r="N85" i="118"/>
  <c r="M85" i="118"/>
  <c r="L85" i="118"/>
  <c r="K85" i="118"/>
  <c r="J85" i="118"/>
  <c r="I85" i="118"/>
  <c r="H85" i="118"/>
  <c r="G85" i="118"/>
  <c r="F85" i="118"/>
  <c r="E85" i="118"/>
  <c r="R84" i="118"/>
  <c r="Q84" i="118"/>
  <c r="P84" i="118"/>
  <c r="O84" i="118"/>
  <c r="N84" i="118"/>
  <c r="M84" i="118"/>
  <c r="L84" i="118"/>
  <c r="K84" i="118"/>
  <c r="J84" i="118"/>
  <c r="I84" i="118"/>
  <c r="H84" i="118"/>
  <c r="G84" i="118"/>
  <c r="F84" i="118"/>
  <c r="E84" i="118"/>
  <c r="R83" i="118"/>
  <c r="Q83" i="118"/>
  <c r="P83" i="118"/>
  <c r="O83" i="118"/>
  <c r="N83" i="118"/>
  <c r="M83" i="118"/>
  <c r="L83" i="118"/>
  <c r="K83" i="118"/>
  <c r="J83" i="118"/>
  <c r="I83" i="118"/>
  <c r="H83" i="118"/>
  <c r="G83" i="118"/>
  <c r="F83" i="118"/>
  <c r="E83" i="118"/>
  <c r="R82" i="118"/>
  <c r="Q82" i="118"/>
  <c r="P82" i="118"/>
  <c r="O82" i="118"/>
  <c r="N82" i="118"/>
  <c r="M82" i="118"/>
  <c r="L82" i="118"/>
  <c r="K82" i="118"/>
  <c r="J82" i="118"/>
  <c r="I82" i="118"/>
  <c r="H82" i="118"/>
  <c r="G82" i="118"/>
  <c r="F82" i="118"/>
  <c r="E82" i="118"/>
  <c r="R81" i="118"/>
  <c r="Q81" i="118"/>
  <c r="P81" i="118"/>
  <c r="O81" i="118"/>
  <c r="N81" i="118"/>
  <c r="M81" i="118"/>
  <c r="L81" i="118"/>
  <c r="K81" i="118"/>
  <c r="J81" i="118"/>
  <c r="I81" i="118"/>
  <c r="H81" i="118"/>
  <c r="G81" i="118"/>
  <c r="F81" i="118"/>
  <c r="E81" i="118"/>
  <c r="R80" i="118"/>
  <c r="Q80" i="118"/>
  <c r="P80" i="118"/>
  <c r="O80" i="118"/>
  <c r="N80" i="118"/>
  <c r="M80" i="118"/>
  <c r="L80" i="118"/>
  <c r="K80" i="118"/>
  <c r="J80" i="118"/>
  <c r="I80" i="118"/>
  <c r="H80" i="118"/>
  <c r="G80" i="118"/>
  <c r="F80" i="118"/>
  <c r="E80" i="118"/>
  <c r="R79" i="118"/>
  <c r="Q79" i="118"/>
  <c r="P79" i="118"/>
  <c r="O79" i="118"/>
  <c r="N79" i="118"/>
  <c r="M79" i="118"/>
  <c r="L79" i="118"/>
  <c r="K79" i="118"/>
  <c r="J79" i="118"/>
  <c r="I79" i="118"/>
  <c r="H79" i="118"/>
  <c r="G79" i="118"/>
  <c r="F79" i="118"/>
  <c r="E79" i="118"/>
  <c r="R78" i="118"/>
  <c r="Q78" i="118"/>
  <c r="P78" i="118"/>
  <c r="O78" i="118"/>
  <c r="N78" i="118"/>
  <c r="M78" i="118"/>
  <c r="L78" i="118"/>
  <c r="K78" i="118"/>
  <c r="J78" i="118"/>
  <c r="I78" i="118"/>
  <c r="H78" i="118"/>
  <c r="G78" i="118"/>
  <c r="F78" i="118"/>
  <c r="E78" i="118"/>
  <c r="R77" i="118"/>
  <c r="Q77" i="118"/>
  <c r="P77" i="118"/>
  <c r="O77" i="118"/>
  <c r="N77" i="118"/>
  <c r="M77" i="118"/>
  <c r="L77" i="118"/>
  <c r="K77" i="118"/>
  <c r="J77" i="118"/>
  <c r="I77" i="118"/>
  <c r="H77" i="118"/>
  <c r="G77" i="118"/>
  <c r="F77" i="118"/>
  <c r="E77" i="118"/>
  <c r="R76" i="118"/>
  <c r="Q76" i="118"/>
  <c r="P76" i="118"/>
  <c r="O76" i="118"/>
  <c r="N76" i="118"/>
  <c r="M76" i="118"/>
  <c r="L76" i="118"/>
  <c r="K76" i="118"/>
  <c r="J76" i="118"/>
  <c r="I76" i="118"/>
  <c r="H76" i="118"/>
  <c r="G76" i="118"/>
  <c r="F76" i="118"/>
  <c r="E76" i="118"/>
  <c r="R75" i="118"/>
  <c r="Q75" i="118"/>
  <c r="P75" i="118"/>
  <c r="O75" i="118"/>
  <c r="N75" i="118"/>
  <c r="M75" i="118"/>
  <c r="L75" i="118"/>
  <c r="K75" i="118"/>
  <c r="J75" i="118"/>
  <c r="I75" i="118"/>
  <c r="H75" i="118"/>
  <c r="G75" i="118"/>
  <c r="F75" i="118"/>
  <c r="E75" i="118"/>
  <c r="R74" i="118"/>
  <c r="Q74" i="118"/>
  <c r="P74" i="118"/>
  <c r="O74" i="118"/>
  <c r="N74" i="118"/>
  <c r="M74" i="118"/>
  <c r="L74" i="118"/>
  <c r="K74" i="118"/>
  <c r="J74" i="118"/>
  <c r="I74" i="118"/>
  <c r="H74" i="118"/>
  <c r="G74" i="118"/>
  <c r="F74" i="118"/>
  <c r="E74" i="118"/>
  <c r="R73" i="118"/>
  <c r="Q73" i="118"/>
  <c r="P73" i="118"/>
  <c r="O73" i="118"/>
  <c r="N73" i="118"/>
  <c r="M73" i="118"/>
  <c r="L73" i="118"/>
  <c r="K73" i="118"/>
  <c r="J73" i="118"/>
  <c r="I73" i="118"/>
  <c r="H73" i="118"/>
  <c r="G73" i="118"/>
  <c r="F73" i="118"/>
  <c r="E73" i="118"/>
  <c r="R72" i="118"/>
  <c r="Q72" i="118"/>
  <c r="P72" i="118"/>
  <c r="O72" i="118"/>
  <c r="N72" i="118"/>
  <c r="M72" i="118"/>
  <c r="L72" i="118"/>
  <c r="K72" i="118"/>
  <c r="J72" i="118"/>
  <c r="I72" i="118"/>
  <c r="H72" i="118"/>
  <c r="G72" i="118"/>
  <c r="F72" i="118"/>
  <c r="E72" i="118"/>
  <c r="R71" i="118"/>
  <c r="Q71" i="118"/>
  <c r="P71" i="118"/>
  <c r="O71" i="118"/>
  <c r="N71" i="118"/>
  <c r="M71" i="118"/>
  <c r="L71" i="118"/>
  <c r="K71" i="118"/>
  <c r="J71" i="118"/>
  <c r="I71" i="118"/>
  <c r="H71" i="118"/>
  <c r="G71" i="118"/>
  <c r="F71" i="118"/>
  <c r="E71" i="118"/>
  <c r="R70" i="118"/>
  <c r="Q70" i="118"/>
  <c r="P70" i="118"/>
  <c r="O70" i="118"/>
  <c r="N70" i="118"/>
  <c r="M70" i="118"/>
  <c r="L70" i="118"/>
  <c r="K70" i="118"/>
  <c r="J70" i="118"/>
  <c r="I70" i="118"/>
  <c r="H70" i="118"/>
  <c r="G70" i="118"/>
  <c r="F70" i="118"/>
  <c r="E70" i="118"/>
  <c r="R69" i="118"/>
  <c r="Q69" i="118"/>
  <c r="P69" i="118"/>
  <c r="O69" i="118"/>
  <c r="N69" i="118"/>
  <c r="M69" i="118"/>
  <c r="L69" i="118"/>
  <c r="K69" i="118"/>
  <c r="J69" i="118"/>
  <c r="I69" i="118"/>
  <c r="H69" i="118"/>
  <c r="G69" i="118"/>
  <c r="F69" i="118"/>
  <c r="E69" i="118"/>
  <c r="R68" i="118"/>
  <c r="Q68" i="118"/>
  <c r="P68" i="118"/>
  <c r="O68" i="118"/>
  <c r="N68" i="118"/>
  <c r="M68" i="118"/>
  <c r="L68" i="118"/>
  <c r="K68" i="118"/>
  <c r="J68" i="118"/>
  <c r="I68" i="118"/>
  <c r="H68" i="118"/>
  <c r="G68" i="118"/>
  <c r="F68" i="118"/>
  <c r="E68" i="118"/>
  <c r="R67" i="118"/>
  <c r="Q67" i="118"/>
  <c r="P67" i="118"/>
  <c r="O67" i="118"/>
  <c r="N67" i="118"/>
  <c r="M67" i="118"/>
  <c r="L67" i="118"/>
  <c r="K67" i="118"/>
  <c r="J67" i="118"/>
  <c r="I67" i="118"/>
  <c r="H67" i="118"/>
  <c r="G67" i="118"/>
  <c r="F67" i="118"/>
  <c r="E67" i="118"/>
  <c r="R66" i="118"/>
  <c r="Q66" i="118"/>
  <c r="P66" i="118"/>
  <c r="O66" i="118"/>
  <c r="N66" i="118"/>
  <c r="M66" i="118"/>
  <c r="L66" i="118"/>
  <c r="K66" i="118"/>
  <c r="J66" i="118"/>
  <c r="I66" i="118"/>
  <c r="H66" i="118"/>
  <c r="G66" i="118"/>
  <c r="F66" i="118"/>
  <c r="E66" i="118"/>
  <c r="R65" i="118"/>
  <c r="Q65" i="118"/>
  <c r="P65" i="118"/>
  <c r="O65" i="118"/>
  <c r="N65" i="118"/>
  <c r="M65" i="118"/>
  <c r="L65" i="118"/>
  <c r="K65" i="118"/>
  <c r="J65" i="118"/>
  <c r="I65" i="118"/>
  <c r="H65" i="118"/>
  <c r="G65" i="118"/>
  <c r="F65" i="118"/>
  <c r="E65" i="118"/>
  <c r="R64" i="118"/>
  <c r="Q64" i="118"/>
  <c r="P64" i="118"/>
  <c r="O64" i="118"/>
  <c r="N64" i="118"/>
  <c r="M64" i="118"/>
  <c r="L64" i="118"/>
  <c r="K64" i="118"/>
  <c r="J64" i="118"/>
  <c r="I64" i="118"/>
  <c r="H64" i="118"/>
  <c r="G64" i="118"/>
  <c r="F64" i="118"/>
  <c r="E64" i="118"/>
  <c r="R63" i="118"/>
  <c r="Q63" i="118"/>
  <c r="P63" i="118"/>
  <c r="O63" i="118"/>
  <c r="N63" i="118"/>
  <c r="M63" i="118"/>
  <c r="L63" i="118"/>
  <c r="K63" i="118"/>
  <c r="J63" i="118"/>
  <c r="I63" i="118"/>
  <c r="H63" i="118"/>
  <c r="G63" i="118"/>
  <c r="F63" i="118"/>
  <c r="E63" i="118"/>
  <c r="R62" i="118"/>
  <c r="Q62" i="118"/>
  <c r="P62" i="118"/>
  <c r="O62" i="118"/>
  <c r="N62" i="118"/>
  <c r="M62" i="118"/>
  <c r="L62" i="118"/>
  <c r="K62" i="118"/>
  <c r="J62" i="118"/>
  <c r="I62" i="118"/>
  <c r="H62" i="118"/>
  <c r="G62" i="118"/>
  <c r="F62" i="118"/>
  <c r="E62" i="118"/>
  <c r="R61" i="118"/>
  <c r="Q61" i="118"/>
  <c r="P61" i="118"/>
  <c r="O61" i="118"/>
  <c r="N61" i="118"/>
  <c r="M61" i="118"/>
  <c r="L61" i="118"/>
  <c r="K61" i="118"/>
  <c r="J61" i="118"/>
  <c r="I61" i="118"/>
  <c r="H61" i="118"/>
  <c r="G61" i="118"/>
  <c r="F61" i="118"/>
  <c r="E61" i="118"/>
  <c r="R60" i="118"/>
  <c r="Q60" i="118"/>
  <c r="P60" i="118"/>
  <c r="O60" i="118"/>
  <c r="N60" i="118"/>
  <c r="M60" i="118"/>
  <c r="L60" i="118"/>
  <c r="K60" i="118"/>
  <c r="J60" i="118"/>
  <c r="I60" i="118"/>
  <c r="H60" i="118"/>
  <c r="G60" i="118"/>
  <c r="F60" i="118"/>
  <c r="E60" i="118"/>
  <c r="R59" i="118"/>
  <c r="Q59" i="118"/>
  <c r="P59" i="118"/>
  <c r="O59" i="118"/>
  <c r="N59" i="118"/>
  <c r="M59" i="118"/>
  <c r="L59" i="118"/>
  <c r="K59" i="118"/>
  <c r="J59" i="118"/>
  <c r="I59" i="118"/>
  <c r="H59" i="118"/>
  <c r="G59" i="118"/>
  <c r="F59" i="118"/>
  <c r="E59" i="118"/>
  <c r="R58" i="118"/>
  <c r="Q58" i="118"/>
  <c r="P58" i="118"/>
  <c r="O58" i="118"/>
  <c r="N58" i="118"/>
  <c r="M58" i="118"/>
  <c r="L58" i="118"/>
  <c r="K58" i="118"/>
  <c r="J58" i="118"/>
  <c r="I58" i="118"/>
  <c r="H58" i="118"/>
  <c r="G58" i="118"/>
  <c r="F58" i="118"/>
  <c r="E58" i="118"/>
  <c r="R57" i="118"/>
  <c r="Q57" i="118"/>
  <c r="P57" i="118"/>
  <c r="O57" i="118"/>
  <c r="N57" i="118"/>
  <c r="M57" i="118"/>
  <c r="L57" i="118"/>
  <c r="K57" i="118"/>
  <c r="J57" i="118"/>
  <c r="I57" i="118"/>
  <c r="H57" i="118"/>
  <c r="G57" i="118"/>
  <c r="F57" i="118"/>
  <c r="E57" i="118"/>
  <c r="R56" i="118"/>
  <c r="Q56" i="118"/>
  <c r="P56" i="118"/>
  <c r="O56" i="118"/>
  <c r="N56" i="118"/>
  <c r="M56" i="118"/>
  <c r="L56" i="118"/>
  <c r="K56" i="118"/>
  <c r="J56" i="118"/>
  <c r="I56" i="118"/>
  <c r="H56" i="118"/>
  <c r="G56" i="118"/>
  <c r="F56" i="118"/>
  <c r="E56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R54" i="118"/>
  <c r="Q54" i="118"/>
  <c r="P54" i="118"/>
  <c r="O54" i="118"/>
  <c r="N54" i="118"/>
  <c r="M54" i="118"/>
  <c r="L54" i="118"/>
  <c r="K54" i="118"/>
  <c r="J54" i="118"/>
  <c r="I54" i="118"/>
  <c r="H54" i="118"/>
  <c r="G54" i="118"/>
  <c r="F54" i="118"/>
  <c r="E54" i="118"/>
  <c r="R53" i="118"/>
  <c r="Q53" i="118"/>
  <c r="P53" i="118"/>
  <c r="O53" i="118"/>
  <c r="N53" i="118"/>
  <c r="M53" i="118"/>
  <c r="L53" i="118"/>
  <c r="K53" i="118"/>
  <c r="J53" i="118"/>
  <c r="I53" i="118"/>
  <c r="H53" i="118"/>
  <c r="G53" i="118"/>
  <c r="F53" i="118"/>
  <c r="E53" i="118"/>
  <c r="R52" i="118"/>
  <c r="Q52" i="118"/>
  <c r="P52" i="118"/>
  <c r="O52" i="118"/>
  <c r="N52" i="118"/>
  <c r="M52" i="118"/>
  <c r="L52" i="118"/>
  <c r="K52" i="118"/>
  <c r="J52" i="118"/>
  <c r="I52" i="118"/>
  <c r="H52" i="118"/>
  <c r="G52" i="118"/>
  <c r="F52" i="118"/>
  <c r="E52" i="118"/>
  <c r="R51" i="118"/>
  <c r="Q51" i="118"/>
  <c r="P51" i="118"/>
  <c r="O51" i="118"/>
  <c r="N51" i="118"/>
  <c r="M51" i="118"/>
  <c r="L51" i="118"/>
  <c r="K51" i="118"/>
  <c r="J51" i="118"/>
  <c r="I51" i="118"/>
  <c r="H51" i="118"/>
  <c r="G51" i="118"/>
  <c r="F51" i="118"/>
  <c r="E51" i="118"/>
  <c r="R50" i="118"/>
  <c r="Q50" i="118"/>
  <c r="P50" i="118"/>
  <c r="O50" i="118"/>
  <c r="N50" i="118"/>
  <c r="M50" i="118"/>
  <c r="L50" i="118"/>
  <c r="K50" i="118"/>
  <c r="J50" i="118"/>
  <c r="I50" i="118"/>
  <c r="H50" i="118"/>
  <c r="G50" i="118"/>
  <c r="F50" i="118"/>
  <c r="E50" i="118"/>
  <c r="R49" i="118"/>
  <c r="Q49" i="118"/>
  <c r="P49" i="118"/>
  <c r="O49" i="118"/>
  <c r="N49" i="118"/>
  <c r="M49" i="118"/>
  <c r="L49" i="118"/>
  <c r="K49" i="118"/>
  <c r="J49" i="118"/>
  <c r="I49" i="118"/>
  <c r="H49" i="118"/>
  <c r="G49" i="118"/>
  <c r="F49" i="118"/>
  <c r="E49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E48" i="118"/>
  <c r="R47" i="118"/>
  <c r="Q47" i="118"/>
  <c r="P47" i="118"/>
  <c r="O47" i="118"/>
  <c r="N47" i="118"/>
  <c r="M47" i="118"/>
  <c r="L47" i="118"/>
  <c r="K47" i="118"/>
  <c r="J47" i="118"/>
  <c r="I47" i="118"/>
  <c r="H47" i="118"/>
  <c r="G47" i="118"/>
  <c r="F47" i="118"/>
  <c r="E47" i="118"/>
  <c r="R46" i="118"/>
  <c r="Q46" i="118"/>
  <c r="P46" i="118"/>
  <c r="O46" i="118"/>
  <c r="N46" i="118"/>
  <c r="M46" i="118"/>
  <c r="L46" i="118"/>
  <c r="K46" i="118"/>
  <c r="J46" i="118"/>
  <c r="I46" i="118"/>
  <c r="H46" i="118"/>
  <c r="G46" i="118"/>
  <c r="F46" i="118"/>
  <c r="E46" i="118"/>
  <c r="R45" i="118"/>
  <c r="Q45" i="118"/>
  <c r="P45" i="118"/>
  <c r="O45" i="118"/>
  <c r="N45" i="118"/>
  <c r="M45" i="118"/>
  <c r="L45" i="118"/>
  <c r="K45" i="118"/>
  <c r="J45" i="118"/>
  <c r="I45" i="118"/>
  <c r="H45" i="118"/>
  <c r="G45" i="118"/>
  <c r="F45" i="118"/>
  <c r="E45" i="118"/>
  <c r="R44" i="118"/>
  <c r="Q44" i="118"/>
  <c r="P44" i="118"/>
  <c r="O44" i="118"/>
  <c r="N44" i="118"/>
  <c r="M44" i="118"/>
  <c r="L44" i="118"/>
  <c r="K44" i="118"/>
  <c r="J44" i="118"/>
  <c r="I44" i="118"/>
  <c r="H44" i="118"/>
  <c r="G44" i="118"/>
  <c r="F44" i="118"/>
  <c r="E44" i="118"/>
  <c r="R43" i="118"/>
  <c r="Q43" i="118"/>
  <c r="P43" i="118"/>
  <c r="O43" i="118"/>
  <c r="N43" i="118"/>
  <c r="M43" i="118"/>
  <c r="L43" i="118"/>
  <c r="K43" i="118"/>
  <c r="J43" i="118"/>
  <c r="I43" i="118"/>
  <c r="H43" i="118"/>
  <c r="G43" i="118"/>
  <c r="F43" i="118"/>
  <c r="E43" i="118"/>
  <c r="R42" i="118"/>
  <c r="Q42" i="118"/>
  <c r="P42" i="118"/>
  <c r="O42" i="118"/>
  <c r="N42" i="118"/>
  <c r="M42" i="118"/>
  <c r="L42" i="118"/>
  <c r="K42" i="118"/>
  <c r="J42" i="118"/>
  <c r="I42" i="118"/>
  <c r="H42" i="118"/>
  <c r="G42" i="118"/>
  <c r="F42" i="118"/>
  <c r="E42" i="118"/>
  <c r="R41" i="118"/>
  <c r="Q41" i="118"/>
  <c r="P41" i="118"/>
  <c r="O41" i="118"/>
  <c r="N41" i="118"/>
  <c r="M41" i="118"/>
  <c r="L41" i="118"/>
  <c r="K41" i="118"/>
  <c r="J41" i="118"/>
  <c r="I41" i="118"/>
  <c r="H41" i="118"/>
  <c r="G41" i="118"/>
  <c r="F41" i="118"/>
  <c r="E41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E39" i="118"/>
  <c r="R38" i="118"/>
  <c r="Q38" i="118"/>
  <c r="P38" i="118"/>
  <c r="O38" i="118"/>
  <c r="N38" i="118"/>
  <c r="M38" i="118"/>
  <c r="L38" i="118"/>
  <c r="K38" i="118"/>
  <c r="J38" i="118"/>
  <c r="I38" i="118"/>
  <c r="H38" i="118"/>
  <c r="G38" i="118"/>
  <c r="F38" i="118"/>
  <c r="E38" i="118"/>
  <c r="R37" i="118"/>
  <c r="Q37" i="118"/>
  <c r="P37" i="118"/>
  <c r="O37" i="118"/>
  <c r="N37" i="118"/>
  <c r="M37" i="118"/>
  <c r="L37" i="118"/>
  <c r="K37" i="118"/>
  <c r="J37" i="118"/>
  <c r="I37" i="118"/>
  <c r="H37" i="118"/>
  <c r="G37" i="118"/>
  <c r="F37" i="118"/>
  <c r="E37" i="118"/>
  <c r="R36" i="118"/>
  <c r="Q36" i="118"/>
  <c r="P36" i="118"/>
  <c r="O36" i="118"/>
  <c r="N36" i="118"/>
  <c r="M36" i="118"/>
  <c r="L36" i="118"/>
  <c r="K36" i="118"/>
  <c r="J36" i="118"/>
  <c r="I36" i="118"/>
  <c r="H36" i="118"/>
  <c r="G36" i="118"/>
  <c r="F36" i="118"/>
  <c r="E36" i="118"/>
  <c r="R35" i="118"/>
  <c r="Q35" i="118"/>
  <c r="P35" i="118"/>
  <c r="O35" i="118"/>
  <c r="N35" i="118"/>
  <c r="M35" i="118"/>
  <c r="L35" i="118"/>
  <c r="K35" i="118"/>
  <c r="J35" i="118"/>
  <c r="I35" i="118"/>
  <c r="H35" i="118"/>
  <c r="G35" i="118"/>
  <c r="F35" i="118"/>
  <c r="E35" i="118"/>
  <c r="R34" i="118"/>
  <c r="Q34" i="118"/>
  <c r="P34" i="118"/>
  <c r="O34" i="118"/>
  <c r="N34" i="118"/>
  <c r="M34" i="118"/>
  <c r="L34" i="118"/>
  <c r="K34" i="118"/>
  <c r="J34" i="118"/>
  <c r="I34" i="118"/>
  <c r="H34" i="118"/>
  <c r="G34" i="118"/>
  <c r="F34" i="118"/>
  <c r="E34" i="118"/>
  <c r="R33" i="118"/>
  <c r="Q33" i="118"/>
  <c r="P33" i="118"/>
  <c r="O33" i="118"/>
  <c r="N33" i="118"/>
  <c r="M33" i="118"/>
  <c r="L33" i="118"/>
  <c r="K33" i="118"/>
  <c r="J33" i="118"/>
  <c r="I33" i="118"/>
  <c r="H33" i="118"/>
  <c r="G33" i="118"/>
  <c r="F33" i="118"/>
  <c r="E33" i="118"/>
  <c r="R32" i="118"/>
  <c r="Q32" i="118"/>
  <c r="P32" i="118"/>
  <c r="O32" i="118"/>
  <c r="N32" i="118"/>
  <c r="M32" i="118"/>
  <c r="L32" i="118"/>
  <c r="K32" i="118"/>
  <c r="J32" i="118"/>
  <c r="I32" i="118"/>
  <c r="H32" i="118"/>
  <c r="G32" i="118"/>
  <c r="F32" i="118"/>
  <c r="E32" i="118"/>
  <c r="R31" i="118"/>
  <c r="Q31" i="118"/>
  <c r="P31" i="118"/>
  <c r="O31" i="118"/>
  <c r="N31" i="118"/>
  <c r="M31" i="118"/>
  <c r="L31" i="118"/>
  <c r="K31" i="118"/>
  <c r="J31" i="118"/>
  <c r="I31" i="118"/>
  <c r="H31" i="118"/>
  <c r="G31" i="118"/>
  <c r="F31" i="118"/>
  <c r="E31" i="118"/>
  <c r="R30" i="118"/>
  <c r="Q30" i="118"/>
  <c r="P30" i="118"/>
  <c r="O30" i="118"/>
  <c r="N30" i="118"/>
  <c r="M30" i="118"/>
  <c r="L30" i="118"/>
  <c r="K30" i="118"/>
  <c r="J30" i="118"/>
  <c r="I30" i="118"/>
  <c r="H30" i="118"/>
  <c r="G30" i="118"/>
  <c r="F30" i="118"/>
  <c r="E30" i="118"/>
  <c r="R29" i="118"/>
  <c r="Q29" i="118"/>
  <c r="P29" i="118"/>
  <c r="O29" i="118"/>
  <c r="N29" i="118"/>
  <c r="M29" i="118"/>
  <c r="L29" i="118"/>
  <c r="K29" i="118"/>
  <c r="J29" i="118"/>
  <c r="I29" i="118"/>
  <c r="H29" i="118"/>
  <c r="G29" i="118"/>
  <c r="F29" i="118"/>
  <c r="E29" i="118"/>
  <c r="R28" i="118"/>
  <c r="Q28" i="118"/>
  <c r="P28" i="118"/>
  <c r="O28" i="118"/>
  <c r="N28" i="118"/>
  <c r="M28" i="118"/>
  <c r="L28" i="118"/>
  <c r="K28" i="118"/>
  <c r="J28" i="118"/>
  <c r="I28" i="118"/>
  <c r="H28" i="118"/>
  <c r="G28" i="118"/>
  <c r="F28" i="118"/>
  <c r="E28" i="118"/>
  <c r="R27" i="118"/>
  <c r="Q27" i="118"/>
  <c r="P27" i="118"/>
  <c r="O27" i="118"/>
  <c r="N27" i="118"/>
  <c r="M27" i="118"/>
  <c r="L27" i="118"/>
  <c r="K27" i="118"/>
  <c r="J27" i="118"/>
  <c r="I27" i="118"/>
  <c r="H27" i="118"/>
  <c r="G27" i="118"/>
  <c r="F27" i="118"/>
  <c r="E27" i="118"/>
  <c r="R26" i="118"/>
  <c r="Q26" i="118"/>
  <c r="P26" i="118"/>
  <c r="O26" i="118"/>
  <c r="N26" i="118"/>
  <c r="M26" i="118"/>
  <c r="L26" i="118"/>
  <c r="K26" i="118"/>
  <c r="J26" i="118"/>
  <c r="I26" i="118"/>
  <c r="H26" i="118"/>
  <c r="G26" i="118"/>
  <c r="F26" i="118"/>
  <c r="E26" i="118"/>
  <c r="R25" i="118"/>
  <c r="Q25" i="118"/>
  <c r="P25" i="118"/>
  <c r="O25" i="118"/>
  <c r="N25" i="118"/>
  <c r="M25" i="118"/>
  <c r="L25" i="118"/>
  <c r="K25" i="118"/>
  <c r="J25" i="118"/>
  <c r="I25" i="118"/>
  <c r="H25" i="118"/>
  <c r="G25" i="118"/>
  <c r="F25" i="118"/>
  <c r="E25" i="118"/>
  <c r="R24" i="118"/>
  <c r="Q24" i="118"/>
  <c r="P24" i="118"/>
  <c r="O24" i="118"/>
  <c r="N24" i="118"/>
  <c r="M24" i="118"/>
  <c r="L24" i="118"/>
  <c r="K24" i="118"/>
  <c r="J24" i="118"/>
  <c r="I24" i="118"/>
  <c r="H24" i="118"/>
  <c r="G24" i="118"/>
  <c r="F24" i="118"/>
  <c r="E24" i="118"/>
  <c r="R23" i="118"/>
  <c r="Q23" i="118"/>
  <c r="P23" i="118"/>
  <c r="O23" i="118"/>
  <c r="N23" i="118"/>
  <c r="M23" i="118"/>
  <c r="L23" i="118"/>
  <c r="K23" i="118"/>
  <c r="J23" i="118"/>
  <c r="I23" i="118"/>
  <c r="H23" i="118"/>
  <c r="G23" i="118"/>
  <c r="F23" i="118"/>
  <c r="E23" i="118"/>
  <c r="R22" i="118"/>
  <c r="Q22" i="118"/>
  <c r="P22" i="118"/>
  <c r="O22" i="118"/>
  <c r="N22" i="118"/>
  <c r="M22" i="118"/>
  <c r="L22" i="118"/>
  <c r="K22" i="118"/>
  <c r="J22" i="118"/>
  <c r="I22" i="118"/>
  <c r="H22" i="118"/>
  <c r="G22" i="118"/>
  <c r="F22" i="118"/>
  <c r="E22" i="118"/>
  <c r="R21" i="118"/>
  <c r="Q21" i="118"/>
  <c r="P21" i="118"/>
  <c r="O21" i="118"/>
  <c r="N21" i="118"/>
  <c r="M21" i="118"/>
  <c r="L21" i="118"/>
  <c r="K21" i="118"/>
  <c r="J21" i="118"/>
  <c r="I21" i="118"/>
  <c r="H21" i="118"/>
  <c r="G21" i="118"/>
  <c r="F21" i="118"/>
  <c r="E21" i="118"/>
  <c r="R20" i="118"/>
  <c r="Q20" i="118"/>
  <c r="P20" i="118"/>
  <c r="O20" i="118"/>
  <c r="N20" i="118"/>
  <c r="M20" i="118"/>
  <c r="L20" i="118"/>
  <c r="K20" i="118"/>
  <c r="J20" i="118"/>
  <c r="I20" i="118"/>
  <c r="H20" i="118"/>
  <c r="G20" i="118"/>
  <c r="F20" i="118"/>
  <c r="E20" i="118"/>
  <c r="R19" i="118"/>
  <c r="Q19" i="118"/>
  <c r="P19" i="118"/>
  <c r="O19" i="118"/>
  <c r="N19" i="118"/>
  <c r="M19" i="118"/>
  <c r="L19" i="118"/>
  <c r="K19" i="118"/>
  <c r="J19" i="118"/>
  <c r="I19" i="118"/>
  <c r="H19" i="118"/>
  <c r="G19" i="118"/>
  <c r="F19" i="118"/>
  <c r="E19" i="118"/>
  <c r="R18" i="118"/>
  <c r="Q18" i="118"/>
  <c r="P18" i="118"/>
  <c r="O18" i="118"/>
  <c r="N18" i="118"/>
  <c r="M18" i="118"/>
  <c r="L18" i="118"/>
  <c r="K18" i="118"/>
  <c r="J18" i="118"/>
  <c r="I18" i="118"/>
  <c r="H18" i="118"/>
  <c r="G18" i="118"/>
  <c r="F18" i="118"/>
  <c r="E18" i="118"/>
  <c r="R17" i="118"/>
  <c r="Q17" i="118"/>
  <c r="P17" i="118"/>
  <c r="O17" i="118"/>
  <c r="N17" i="118"/>
  <c r="M17" i="118"/>
  <c r="L17" i="118"/>
  <c r="K17" i="118"/>
  <c r="J17" i="118"/>
  <c r="I17" i="118"/>
  <c r="H17" i="118"/>
  <c r="G17" i="118"/>
  <c r="F17" i="118"/>
  <c r="E17" i="118"/>
  <c r="R16" i="118"/>
  <c r="Q16" i="118"/>
  <c r="P16" i="118"/>
  <c r="O16" i="118"/>
  <c r="N16" i="118"/>
  <c r="M16" i="118"/>
  <c r="L16" i="118"/>
  <c r="K16" i="118"/>
  <c r="J16" i="118"/>
  <c r="I16" i="118"/>
  <c r="H16" i="118"/>
  <c r="G16" i="118"/>
  <c r="F16" i="118"/>
  <c r="E16" i="118"/>
  <c r="R15" i="118"/>
  <c r="Q15" i="118"/>
  <c r="P15" i="118"/>
  <c r="O15" i="118"/>
  <c r="N15" i="118"/>
  <c r="M15" i="118"/>
  <c r="L15" i="118"/>
  <c r="K15" i="118"/>
  <c r="J15" i="118"/>
  <c r="I15" i="118"/>
  <c r="H15" i="118"/>
  <c r="G15" i="118"/>
  <c r="F15" i="118"/>
  <c r="E15" i="118"/>
  <c r="R14" i="118"/>
  <c r="Q14" i="118"/>
  <c r="P14" i="118"/>
  <c r="O14" i="118"/>
  <c r="N14" i="118"/>
  <c r="N13" i="118" s="1"/>
  <c r="N11" i="118" s="1"/>
  <c r="M14" i="118"/>
  <c r="L14" i="118"/>
  <c r="K14" i="118"/>
  <c r="J14" i="118"/>
  <c r="I14" i="118"/>
  <c r="H14" i="118"/>
  <c r="G14" i="118"/>
  <c r="F14" i="118"/>
  <c r="E14" i="118"/>
  <c r="R12" i="118"/>
  <c r="Q12" i="118"/>
  <c r="P12" i="118"/>
  <c r="O12" i="118"/>
  <c r="N12" i="118"/>
  <c r="M12" i="118"/>
  <c r="L12" i="118"/>
  <c r="K12" i="118"/>
  <c r="J12" i="118"/>
  <c r="I12" i="118"/>
  <c r="H12" i="118"/>
  <c r="G12" i="118"/>
  <c r="F12" i="118"/>
  <c r="E12" i="118"/>
  <c r="D99" i="118" l="1"/>
  <c r="T99" i="118" s="1"/>
  <c r="D111" i="118"/>
  <c r="T111" i="118" s="1"/>
  <c r="D15" i="118"/>
  <c r="T15" i="118" s="1"/>
  <c r="M13" i="118"/>
  <c r="M11" i="118" s="1"/>
  <c r="D22" i="118"/>
  <c r="T22" i="118" s="1"/>
  <c r="D75" i="118"/>
  <c r="T75" i="118" s="1"/>
  <c r="D135" i="118"/>
  <c r="T135" i="118" s="1"/>
  <c r="D155" i="118"/>
  <c r="T155" i="118" s="1"/>
  <c r="D63" i="118"/>
  <c r="T63" i="118" s="1"/>
  <c r="D132" i="118"/>
  <c r="T132" i="118" s="1"/>
  <c r="D51" i="118"/>
  <c r="T51" i="118" s="1"/>
  <c r="D39" i="118"/>
  <c r="T39" i="118" s="1"/>
  <c r="D27" i="118"/>
  <c r="T27" i="118" s="1"/>
  <c r="D147" i="118"/>
  <c r="T147" i="118" s="1"/>
  <c r="D144" i="118"/>
  <c r="T144" i="118" s="1"/>
  <c r="Q13" i="118"/>
  <c r="Q11" i="118" s="1"/>
  <c r="D17" i="118"/>
  <c r="T17" i="118" s="1"/>
  <c r="D46" i="118"/>
  <c r="T46" i="118" s="1"/>
  <c r="D128" i="118"/>
  <c r="T128" i="118" s="1"/>
  <c r="F13" i="118"/>
  <c r="F11" i="118" s="1"/>
  <c r="R13" i="118"/>
  <c r="R11" i="118" s="1"/>
  <c r="J13" i="118"/>
  <c r="J11" i="118" s="1"/>
  <c r="D29" i="118"/>
  <c r="T29" i="118" s="1"/>
  <c r="D58" i="118"/>
  <c r="T58" i="118" s="1"/>
  <c r="D70" i="118"/>
  <c r="T70" i="118" s="1"/>
  <c r="D123" i="118"/>
  <c r="T123" i="118" s="1"/>
  <c r="D126" i="118"/>
  <c r="T126" i="118" s="1"/>
  <c r="D140" i="118"/>
  <c r="T140" i="118" s="1"/>
  <c r="D150" i="118"/>
  <c r="T150" i="118" s="1"/>
  <c r="D87" i="118"/>
  <c r="T87" i="118" s="1"/>
  <c r="D24" i="118"/>
  <c r="T24" i="118" s="1"/>
  <c r="D41" i="118"/>
  <c r="T41" i="118" s="1"/>
  <c r="D78" i="118"/>
  <c r="T78" i="118" s="1"/>
  <c r="D82" i="118"/>
  <c r="T82" i="118" s="1"/>
  <c r="D94" i="118"/>
  <c r="T94" i="118" s="1"/>
  <c r="D152" i="118"/>
  <c r="T152" i="118" s="1"/>
  <c r="D12" i="118"/>
  <c r="T12" i="118" s="1"/>
  <c r="D45" i="118"/>
  <c r="T45" i="118" s="1"/>
  <c r="D53" i="118"/>
  <c r="T53" i="118" s="1"/>
  <c r="D65" i="118"/>
  <c r="T65" i="118" s="1"/>
  <c r="D106" i="118"/>
  <c r="T106" i="118" s="1"/>
  <c r="D34" i="118"/>
  <c r="T34" i="118" s="1"/>
  <c r="K13" i="118"/>
  <c r="K11" i="118" s="1"/>
  <c r="O13" i="118"/>
  <c r="O11" i="118" s="1"/>
  <c r="G13" i="118"/>
  <c r="G11" i="118" s="1"/>
  <c r="D48" i="118"/>
  <c r="T48" i="118" s="1"/>
  <c r="D69" i="118"/>
  <c r="T69" i="118" s="1"/>
  <c r="D77" i="118"/>
  <c r="T77" i="118" s="1"/>
  <c r="D89" i="118"/>
  <c r="T89" i="118" s="1"/>
  <c r="D118" i="118"/>
  <c r="T118" i="118" s="1"/>
  <c r="D130" i="118"/>
  <c r="T130" i="118" s="1"/>
  <c r="D32" i="118"/>
  <c r="T32" i="118" s="1"/>
  <c r="D36" i="118"/>
  <c r="T36" i="118" s="1"/>
  <c r="D60" i="118"/>
  <c r="T60" i="118" s="1"/>
  <c r="D72" i="118"/>
  <c r="T72" i="118" s="1"/>
  <c r="D101" i="118"/>
  <c r="T101" i="118" s="1"/>
  <c r="D136" i="118"/>
  <c r="T136" i="118" s="1"/>
  <c r="D142" i="118"/>
  <c r="T142" i="118" s="1"/>
  <c r="D84" i="118"/>
  <c r="T84" i="118" s="1"/>
  <c r="D96" i="118"/>
  <c r="T96" i="118" s="1"/>
  <c r="D113" i="118"/>
  <c r="T113" i="118" s="1"/>
  <c r="D125" i="118"/>
  <c r="T125" i="118" s="1"/>
  <c r="D148" i="118"/>
  <c r="T148" i="118" s="1"/>
  <c r="D154" i="118"/>
  <c r="T154" i="118" s="1"/>
  <c r="P13" i="118"/>
  <c r="P11" i="118" s="1"/>
  <c r="D108" i="118"/>
  <c r="T108" i="118" s="1"/>
  <c r="D117" i="118"/>
  <c r="T117" i="118" s="1"/>
  <c r="D120" i="118"/>
  <c r="T120" i="118" s="1"/>
  <c r="D131" i="118"/>
  <c r="T131" i="118" s="1"/>
  <c r="D137" i="118"/>
  <c r="T137" i="118" s="1"/>
  <c r="H13" i="118"/>
  <c r="H11" i="118" s="1"/>
  <c r="L13" i="118"/>
  <c r="L11" i="118" s="1"/>
  <c r="I13" i="118"/>
  <c r="I11" i="118" s="1"/>
  <c r="D143" i="118"/>
  <c r="T143" i="118" s="1"/>
  <c r="D149" i="118"/>
  <c r="T149" i="118" s="1"/>
  <c r="D20" i="118"/>
  <c r="T20" i="118" s="1"/>
  <c r="D44" i="118"/>
  <c r="T44" i="118" s="1"/>
  <c r="D56" i="118"/>
  <c r="T56" i="118" s="1"/>
  <c r="D68" i="118"/>
  <c r="T68" i="118" s="1"/>
  <c r="D80" i="118"/>
  <c r="T80" i="118" s="1"/>
  <c r="D92" i="118"/>
  <c r="T92" i="118" s="1"/>
  <c r="D104" i="118"/>
  <c r="T104" i="118" s="1"/>
  <c r="D116" i="118"/>
  <c r="T116" i="118" s="1"/>
  <c r="D25" i="118"/>
  <c r="T25" i="118" s="1"/>
  <c r="D37" i="118"/>
  <c r="T37" i="118" s="1"/>
  <c r="D49" i="118"/>
  <c r="T49" i="118" s="1"/>
  <c r="D61" i="118"/>
  <c r="T61" i="118" s="1"/>
  <c r="D73" i="118"/>
  <c r="T73" i="118" s="1"/>
  <c r="D85" i="118"/>
  <c r="T85" i="118" s="1"/>
  <c r="D97" i="118"/>
  <c r="T97" i="118" s="1"/>
  <c r="D109" i="118"/>
  <c r="T109" i="118" s="1"/>
  <c r="D121" i="118"/>
  <c r="T121" i="118" s="1"/>
  <c r="D133" i="118"/>
  <c r="T133" i="118" s="1"/>
  <c r="D145" i="118"/>
  <c r="T145" i="118" s="1"/>
  <c r="E13" i="118"/>
  <c r="D18" i="118"/>
  <c r="T18" i="118" s="1"/>
  <c r="D30" i="118"/>
  <c r="T30" i="118" s="1"/>
  <c r="D42" i="118"/>
  <c r="T42" i="118" s="1"/>
  <c r="D54" i="118"/>
  <c r="T54" i="118" s="1"/>
  <c r="D66" i="118"/>
  <c r="T66" i="118" s="1"/>
  <c r="D90" i="118"/>
  <c r="T90" i="118" s="1"/>
  <c r="D102" i="118"/>
  <c r="T102" i="118" s="1"/>
  <c r="D114" i="118"/>
  <c r="T114" i="118" s="1"/>
  <c r="D138" i="118"/>
  <c r="T138" i="118" s="1"/>
  <c r="D23" i="118"/>
  <c r="T23" i="118" s="1"/>
  <c r="D35" i="118"/>
  <c r="T35" i="118" s="1"/>
  <c r="D47" i="118"/>
  <c r="T47" i="118" s="1"/>
  <c r="D59" i="118"/>
  <c r="T59" i="118" s="1"/>
  <c r="D71" i="118"/>
  <c r="T71" i="118" s="1"/>
  <c r="D83" i="118"/>
  <c r="T83" i="118" s="1"/>
  <c r="D95" i="118"/>
  <c r="T95" i="118" s="1"/>
  <c r="D107" i="118"/>
  <c r="T107" i="118" s="1"/>
  <c r="D119" i="118"/>
  <c r="T119" i="118" s="1"/>
  <c r="D16" i="118"/>
  <c r="T16" i="118" s="1"/>
  <c r="D28" i="118"/>
  <c r="T28" i="118" s="1"/>
  <c r="D40" i="118"/>
  <c r="T40" i="118" s="1"/>
  <c r="D52" i="118"/>
  <c r="T52" i="118" s="1"/>
  <c r="D64" i="118"/>
  <c r="T64" i="118" s="1"/>
  <c r="D76" i="118"/>
  <c r="T76" i="118" s="1"/>
  <c r="D88" i="118"/>
  <c r="T88" i="118" s="1"/>
  <c r="D100" i="118"/>
  <c r="T100" i="118" s="1"/>
  <c r="D112" i="118"/>
  <c r="T112" i="118" s="1"/>
  <c r="D124" i="118"/>
  <c r="T124" i="118" s="1"/>
  <c r="D21" i="118"/>
  <c r="T21" i="118" s="1"/>
  <c r="D33" i="118"/>
  <c r="T33" i="118" s="1"/>
  <c r="D57" i="118"/>
  <c r="T57" i="118" s="1"/>
  <c r="D81" i="118"/>
  <c r="T81" i="118" s="1"/>
  <c r="D93" i="118"/>
  <c r="T93" i="118" s="1"/>
  <c r="D105" i="118"/>
  <c r="T105" i="118" s="1"/>
  <c r="D129" i="118"/>
  <c r="T129" i="118" s="1"/>
  <c r="D141" i="118"/>
  <c r="T141" i="118" s="1"/>
  <c r="D153" i="118"/>
  <c r="T153" i="118" s="1"/>
  <c r="D14" i="118"/>
  <c r="D26" i="118"/>
  <c r="T26" i="118" s="1"/>
  <c r="D38" i="118"/>
  <c r="T38" i="118" s="1"/>
  <c r="D50" i="118"/>
  <c r="T50" i="118" s="1"/>
  <c r="D62" i="118"/>
  <c r="T62" i="118" s="1"/>
  <c r="D74" i="118"/>
  <c r="T74" i="118" s="1"/>
  <c r="D86" i="118"/>
  <c r="T86" i="118" s="1"/>
  <c r="D98" i="118"/>
  <c r="T98" i="118" s="1"/>
  <c r="D110" i="118"/>
  <c r="T110" i="118" s="1"/>
  <c r="D122" i="118"/>
  <c r="T122" i="118" s="1"/>
  <c r="D134" i="118"/>
  <c r="T134" i="118" s="1"/>
  <c r="D146" i="118"/>
  <c r="T146" i="118" s="1"/>
  <c r="D19" i="118"/>
  <c r="T19" i="118" s="1"/>
  <c r="D31" i="118"/>
  <c r="T31" i="118" s="1"/>
  <c r="D43" i="118"/>
  <c r="T43" i="118" s="1"/>
  <c r="D55" i="118"/>
  <c r="T55" i="118" s="1"/>
  <c r="D67" i="118"/>
  <c r="T67" i="118" s="1"/>
  <c r="D79" i="118"/>
  <c r="T79" i="118" s="1"/>
  <c r="D91" i="118"/>
  <c r="T91" i="118" s="1"/>
  <c r="D103" i="118"/>
  <c r="T103" i="118" s="1"/>
  <c r="D115" i="118"/>
  <c r="T115" i="118" s="1"/>
  <c r="D127" i="118"/>
  <c r="T127" i="118" s="1"/>
  <c r="D139" i="118"/>
  <c r="T139" i="118" s="1"/>
  <c r="D151" i="118"/>
  <c r="T151" i="118" s="1"/>
  <c r="S8" i="118" l="1"/>
  <c r="T14" i="118"/>
  <c r="T13" i="118" s="1"/>
  <c r="T11" i="118" s="1"/>
  <c r="D13" i="118"/>
  <c r="D11" i="118" s="1"/>
  <c r="E11" i="118"/>
  <c r="S21" i="118" l="1"/>
  <c r="S80" i="118"/>
  <c r="S25" i="118"/>
  <c r="S126" i="118"/>
  <c r="S142" i="118"/>
  <c r="S130" i="118"/>
  <c r="S104" i="118"/>
  <c r="S54" i="118"/>
  <c r="S62" i="118"/>
  <c r="S154" i="118"/>
  <c r="S79" i="118"/>
  <c r="S75" i="118"/>
  <c r="S93" i="118"/>
  <c r="S135" i="118"/>
  <c r="S136" i="118"/>
  <c r="S145" i="118"/>
  <c r="S40" i="118"/>
  <c r="S112" i="118"/>
  <c r="S35" i="118"/>
  <c r="S27" i="118"/>
  <c r="S64" i="118"/>
  <c r="S61" i="118"/>
  <c r="S99" i="118"/>
  <c r="S120" i="118"/>
  <c r="S24" i="118"/>
  <c r="S121" i="118"/>
  <c r="S47" i="118"/>
  <c r="S28" i="118"/>
  <c r="S111" i="118"/>
  <c r="S70" i="118"/>
  <c r="S87" i="118"/>
  <c r="S147" i="118"/>
  <c r="S148" i="118"/>
  <c r="S146" i="118"/>
  <c r="S150" i="118"/>
  <c r="S88" i="118"/>
  <c r="S26" i="118"/>
  <c r="S123" i="118"/>
  <c r="S41" i="118"/>
  <c r="S20" i="118"/>
  <c r="S17" i="118"/>
  <c r="S55" i="118"/>
  <c r="S66" i="118"/>
  <c r="S144" i="118"/>
  <c r="S108" i="118"/>
  <c r="S23" i="118"/>
  <c r="S30" i="118"/>
  <c r="S45" i="118"/>
  <c r="S100" i="118"/>
  <c r="S113" i="118"/>
  <c r="S68" i="118"/>
  <c r="S22" i="118"/>
  <c r="S63" i="118"/>
  <c r="S67" i="118"/>
  <c r="S128" i="118"/>
  <c r="S48" i="118"/>
  <c r="S76" i="118"/>
  <c r="S95" i="118"/>
  <c r="S57" i="118"/>
  <c r="S153" i="118"/>
  <c r="S19" i="118"/>
  <c r="S82" i="118"/>
  <c r="S73" i="118"/>
  <c r="S56" i="118"/>
  <c r="S140" i="118"/>
  <c r="S132" i="118"/>
  <c r="S50" i="118"/>
  <c r="S83" i="118"/>
  <c r="S119" i="118"/>
  <c r="S116" i="118"/>
  <c r="S38" i="118"/>
  <c r="S31" i="118"/>
  <c r="S97" i="118"/>
  <c r="S106" i="118"/>
  <c r="S53" i="118"/>
  <c r="S152" i="118"/>
  <c r="S115" i="118"/>
  <c r="S127" i="118"/>
  <c r="S90" i="118"/>
  <c r="S149" i="118"/>
  <c r="S117" i="118"/>
  <c r="S86" i="118"/>
  <c r="S65" i="118"/>
  <c r="S49" i="118"/>
  <c r="S102" i="118"/>
  <c r="S125" i="118"/>
  <c r="S60" i="118"/>
  <c r="S139" i="118"/>
  <c r="S151" i="118"/>
  <c r="S114" i="118"/>
  <c r="S138" i="118"/>
  <c r="S71" i="118"/>
  <c r="S69" i="118"/>
  <c r="S58" i="118"/>
  <c r="S74" i="118"/>
  <c r="S29" i="118"/>
  <c r="S36" i="118"/>
  <c r="S105" i="118"/>
  <c r="S18" i="118"/>
  <c r="S109" i="118"/>
  <c r="S89" i="118"/>
  <c r="S124" i="118"/>
  <c r="S52" i="118"/>
  <c r="S92" i="118"/>
  <c r="S122" i="118"/>
  <c r="S34" i="118"/>
  <c r="S15" i="118"/>
  <c r="S84" i="118"/>
  <c r="S131" i="118"/>
  <c r="S134" i="118"/>
  <c r="S91" i="118"/>
  <c r="S46" i="118"/>
  <c r="S39" i="118"/>
  <c r="S32" i="118"/>
  <c r="S129" i="118"/>
  <c r="S42" i="118"/>
  <c r="S78" i="118"/>
  <c r="S59" i="118"/>
  <c r="S98" i="118"/>
  <c r="S96" i="118"/>
  <c r="S143" i="118"/>
  <c r="S107" i="118"/>
  <c r="S133" i="118"/>
  <c r="S118" i="118"/>
  <c r="S51" i="118"/>
  <c r="S85" i="118"/>
  <c r="S141" i="118"/>
  <c r="S33" i="118"/>
  <c r="S103" i="118"/>
  <c r="S137" i="118"/>
  <c r="S110" i="118"/>
  <c r="S72" i="118"/>
  <c r="S155" i="118"/>
  <c r="S44" i="118"/>
  <c r="S14" i="118"/>
  <c r="S16" i="118"/>
  <c r="S81" i="118"/>
  <c r="S101" i="118"/>
  <c r="S37" i="118"/>
  <c r="S77" i="118"/>
  <c r="S94" i="118"/>
  <c r="S43" i="118"/>
  <c r="S13" i="118" l="1"/>
  <c r="D149" i="117"/>
  <c r="D148" i="117"/>
  <c r="D147" i="117"/>
  <c r="D146" i="117"/>
  <c r="D145" i="117"/>
  <c r="D144" i="117"/>
  <c r="D143" i="117"/>
  <c r="D142" i="117"/>
  <c r="D141" i="117"/>
  <c r="D140" i="117"/>
  <c r="D139" i="117"/>
  <c r="D138" i="117"/>
  <c r="D137" i="117"/>
  <c r="D136" i="117"/>
  <c r="D135" i="117"/>
  <c r="D134" i="117"/>
  <c r="D133" i="117"/>
  <c r="D132" i="117"/>
  <c r="D131" i="117"/>
  <c r="D130" i="117"/>
  <c r="D129" i="117"/>
  <c r="D128" i="117"/>
  <c r="D127" i="117"/>
  <c r="D126" i="117"/>
  <c r="D125" i="117"/>
  <c r="D124" i="117"/>
  <c r="D123" i="117"/>
  <c r="D122" i="117"/>
  <c r="D121" i="117"/>
  <c r="D120" i="117"/>
  <c r="D119" i="117"/>
  <c r="D118" i="117"/>
  <c r="D117" i="117"/>
  <c r="D116" i="117"/>
  <c r="D115" i="117"/>
  <c r="D114" i="117"/>
  <c r="D113" i="117"/>
  <c r="D112" i="117"/>
  <c r="D111" i="117"/>
  <c r="D110" i="117"/>
  <c r="D109" i="117"/>
  <c r="D108" i="117"/>
  <c r="D107" i="117"/>
  <c r="D106" i="117"/>
  <c r="D105" i="117"/>
  <c r="D104" i="117"/>
  <c r="D103" i="117"/>
  <c r="D102" i="117"/>
  <c r="D101" i="117"/>
  <c r="D100" i="117"/>
  <c r="D99" i="117"/>
  <c r="D98" i="117"/>
  <c r="D97" i="117"/>
  <c r="D96" i="117"/>
  <c r="D95" i="117"/>
  <c r="D94" i="117"/>
  <c r="D93" i="117"/>
  <c r="D92" i="117"/>
  <c r="D91" i="117"/>
  <c r="D90" i="117"/>
  <c r="D89" i="117"/>
  <c r="D88" i="117"/>
  <c r="D87" i="117"/>
  <c r="D86" i="117"/>
  <c r="D85" i="117"/>
  <c r="D84" i="117"/>
  <c r="D83" i="117"/>
  <c r="D82" i="117"/>
  <c r="D81" i="117"/>
  <c r="D80" i="117"/>
  <c r="D79" i="117"/>
  <c r="D78" i="117"/>
  <c r="D77" i="117"/>
  <c r="D76" i="117"/>
  <c r="D75" i="117"/>
  <c r="D74" i="117"/>
  <c r="D73" i="117"/>
  <c r="D72" i="117"/>
  <c r="D71" i="117"/>
  <c r="D70" i="117"/>
  <c r="D69" i="117"/>
  <c r="D68" i="117"/>
  <c r="D67" i="117"/>
  <c r="D66" i="117"/>
  <c r="D65" i="117"/>
  <c r="D64" i="117"/>
  <c r="D63" i="117"/>
  <c r="D62" i="117"/>
  <c r="D61" i="117"/>
  <c r="D60" i="117"/>
  <c r="D59" i="117"/>
  <c r="D58" i="117"/>
  <c r="D57" i="117"/>
  <c r="D56" i="117"/>
  <c r="D55" i="117"/>
  <c r="D54" i="117"/>
  <c r="D53" i="117"/>
  <c r="D52" i="117"/>
  <c r="D51" i="117"/>
  <c r="D50" i="117"/>
  <c r="D49" i="117"/>
  <c r="D48" i="117"/>
  <c r="D47" i="117"/>
  <c r="D46" i="117"/>
  <c r="D45" i="117"/>
  <c r="D44" i="117"/>
  <c r="D43" i="117"/>
  <c r="D42" i="117"/>
  <c r="D41" i="117"/>
  <c r="D40" i="117"/>
  <c r="D39" i="117"/>
  <c r="D38" i="117"/>
  <c r="D37" i="117"/>
  <c r="D36" i="117"/>
  <c r="D35" i="117"/>
  <c r="G34" i="117"/>
  <c r="F34" i="117"/>
  <c r="E34" i="117"/>
  <c r="G33" i="117"/>
  <c r="F33" i="117"/>
  <c r="E33" i="117"/>
  <c r="D32" i="117"/>
  <c r="D31" i="117"/>
  <c r="D30" i="117"/>
  <c r="D29" i="117"/>
  <c r="D28" i="117"/>
  <c r="D27" i="117"/>
  <c r="D26" i="117"/>
  <c r="D25" i="117"/>
  <c r="D24" i="117"/>
  <c r="D23" i="117"/>
  <c r="D22" i="117"/>
  <c r="D21" i="117"/>
  <c r="D20" i="117"/>
  <c r="D19" i="117"/>
  <c r="D18" i="117"/>
  <c r="D17" i="117"/>
  <c r="D16" i="117"/>
  <c r="D15" i="117"/>
  <c r="D14" i="117"/>
  <c r="F13" i="117"/>
  <c r="F7" i="117" s="1"/>
  <c r="E13" i="117"/>
  <c r="D13" i="117" s="1"/>
  <c r="D12" i="117"/>
  <c r="D11" i="117"/>
  <c r="D10" i="117"/>
  <c r="D9" i="117"/>
  <c r="D8" i="117"/>
  <c r="D34" i="117" l="1"/>
  <c r="G7" i="117"/>
  <c r="E7" i="117"/>
  <c r="D33" i="117"/>
  <c r="D7" i="117" s="1"/>
  <c r="F151" i="116" l="1"/>
  <c r="D151" i="116" s="1"/>
  <c r="F150" i="116"/>
  <c r="D150" i="116" s="1"/>
  <c r="F149" i="116"/>
  <c r="D149" i="116" s="1"/>
  <c r="F148" i="116"/>
  <c r="D148" i="116" s="1"/>
  <c r="F147" i="116"/>
  <c r="D147" i="116" s="1"/>
  <c r="F146" i="116"/>
  <c r="D146" i="116" s="1"/>
  <c r="F145" i="116"/>
  <c r="D145" i="116" s="1"/>
  <c r="F144" i="116"/>
  <c r="D144" i="116" s="1"/>
  <c r="F143" i="116"/>
  <c r="D143" i="116" s="1"/>
  <c r="F142" i="116"/>
  <c r="D142" i="116" s="1"/>
  <c r="F141" i="116"/>
  <c r="D141" i="116" s="1"/>
  <c r="F140" i="116"/>
  <c r="D140" i="116" s="1"/>
  <c r="F139" i="116"/>
  <c r="D139" i="116" s="1"/>
  <c r="F138" i="116"/>
  <c r="D138" i="116" s="1"/>
  <c r="F137" i="116"/>
  <c r="D137" i="116"/>
  <c r="F136" i="116"/>
  <c r="D136" i="116" s="1"/>
  <c r="F135" i="116"/>
  <c r="D135" i="116" s="1"/>
  <c r="F134" i="116"/>
  <c r="D134" i="116" s="1"/>
  <c r="F133" i="116"/>
  <c r="D133" i="116" s="1"/>
  <c r="F132" i="116"/>
  <c r="D132" i="116"/>
  <c r="F131" i="116"/>
  <c r="D131" i="116" s="1"/>
  <c r="F130" i="116"/>
  <c r="D130" i="116" s="1"/>
  <c r="F129" i="116"/>
  <c r="D129" i="116" s="1"/>
  <c r="F128" i="116"/>
  <c r="D128" i="116" s="1"/>
  <c r="F127" i="116"/>
  <c r="D127" i="116" s="1"/>
  <c r="F126" i="116"/>
  <c r="D126" i="116" s="1"/>
  <c r="F125" i="116"/>
  <c r="D125" i="116" s="1"/>
  <c r="F124" i="116"/>
  <c r="D124" i="116" s="1"/>
  <c r="F123" i="116"/>
  <c r="D123" i="116" s="1"/>
  <c r="F122" i="116"/>
  <c r="D122" i="116" s="1"/>
  <c r="F121" i="116"/>
  <c r="D121" i="116" s="1"/>
  <c r="F120" i="116"/>
  <c r="D120" i="116" s="1"/>
  <c r="F119" i="116"/>
  <c r="D119" i="116"/>
  <c r="F118" i="116"/>
  <c r="D118" i="116" s="1"/>
  <c r="F117" i="116"/>
  <c r="D117" i="116" s="1"/>
  <c r="F116" i="116"/>
  <c r="D116" i="116" s="1"/>
  <c r="F115" i="116"/>
  <c r="D115" i="116" s="1"/>
  <c r="F114" i="116"/>
  <c r="D114" i="116" s="1"/>
  <c r="F113" i="116"/>
  <c r="D113" i="116" s="1"/>
  <c r="F112" i="116"/>
  <c r="D112" i="116" s="1"/>
  <c r="F111" i="116"/>
  <c r="D111" i="116" s="1"/>
  <c r="F110" i="116"/>
  <c r="D110" i="116" s="1"/>
  <c r="F109" i="116"/>
  <c r="D109" i="116" s="1"/>
  <c r="F108" i="116"/>
  <c r="D108" i="116" s="1"/>
  <c r="F107" i="116"/>
  <c r="D107" i="116" s="1"/>
  <c r="F106" i="116"/>
  <c r="D106" i="116" s="1"/>
  <c r="F105" i="116"/>
  <c r="D105" i="116" s="1"/>
  <c r="F104" i="116"/>
  <c r="D104" i="116" s="1"/>
  <c r="F103" i="116"/>
  <c r="D103" i="116" s="1"/>
  <c r="F102" i="116"/>
  <c r="D102" i="116" s="1"/>
  <c r="F101" i="116"/>
  <c r="D101" i="116"/>
  <c r="F100" i="116"/>
  <c r="D100" i="116" s="1"/>
  <c r="F99" i="116"/>
  <c r="D99" i="116" s="1"/>
  <c r="F98" i="116"/>
  <c r="D98" i="116" s="1"/>
  <c r="F97" i="116"/>
  <c r="D97" i="116" s="1"/>
  <c r="F96" i="116"/>
  <c r="D96" i="116" s="1"/>
  <c r="F95" i="116"/>
  <c r="D95" i="116" s="1"/>
  <c r="F94" i="116"/>
  <c r="D94" i="116" s="1"/>
  <c r="F93" i="116"/>
  <c r="D93" i="116"/>
  <c r="F92" i="116"/>
  <c r="D92" i="116" s="1"/>
  <c r="F91" i="116"/>
  <c r="D91" i="116" s="1"/>
  <c r="F90" i="116"/>
  <c r="D90" i="116"/>
  <c r="F89" i="116"/>
  <c r="D89" i="116" s="1"/>
  <c r="F88" i="116"/>
  <c r="D88" i="116" s="1"/>
  <c r="F87" i="116"/>
  <c r="D87" i="116" s="1"/>
  <c r="F86" i="116"/>
  <c r="D86" i="116" s="1"/>
  <c r="F85" i="116"/>
  <c r="D85" i="116" s="1"/>
  <c r="F84" i="116"/>
  <c r="D84" i="116" s="1"/>
  <c r="F83" i="116"/>
  <c r="D83" i="116" s="1"/>
  <c r="F82" i="116"/>
  <c r="D82" i="116" s="1"/>
  <c r="F81" i="116"/>
  <c r="D81" i="116" s="1"/>
  <c r="F80" i="116"/>
  <c r="D80" i="116" s="1"/>
  <c r="F79" i="116"/>
  <c r="D79" i="116" s="1"/>
  <c r="F78" i="116"/>
  <c r="D78" i="116" s="1"/>
  <c r="F77" i="116"/>
  <c r="D77" i="116"/>
  <c r="F76" i="116"/>
  <c r="D76" i="116" s="1"/>
  <c r="F75" i="116"/>
  <c r="D75" i="116" s="1"/>
  <c r="F74" i="116"/>
  <c r="D74" i="116" s="1"/>
  <c r="F73" i="116"/>
  <c r="D73" i="116" s="1"/>
  <c r="F72" i="116"/>
  <c r="E72" i="116"/>
  <c r="E9" i="116" s="1"/>
  <c r="D9" i="116" s="1"/>
  <c r="F71" i="116"/>
  <c r="D71" i="116" s="1"/>
  <c r="F70" i="116"/>
  <c r="D70" i="116" s="1"/>
  <c r="F69" i="116"/>
  <c r="D69" i="116"/>
  <c r="F68" i="116"/>
  <c r="D68" i="116" s="1"/>
  <c r="F67" i="116"/>
  <c r="D67" i="116" s="1"/>
  <c r="F66" i="116"/>
  <c r="D66" i="116" s="1"/>
  <c r="F65" i="116"/>
  <c r="D65" i="116"/>
  <c r="F64" i="116"/>
  <c r="D64" i="116" s="1"/>
  <c r="F63" i="116"/>
  <c r="D63" i="116"/>
  <c r="F62" i="116"/>
  <c r="D62" i="116" s="1"/>
  <c r="F61" i="116"/>
  <c r="D61" i="116" s="1"/>
  <c r="F60" i="116"/>
  <c r="D60" i="116" s="1"/>
  <c r="F59" i="116"/>
  <c r="D59" i="116" s="1"/>
  <c r="F58" i="116"/>
  <c r="D58" i="116" s="1"/>
  <c r="F57" i="116"/>
  <c r="D57" i="116" s="1"/>
  <c r="F56" i="116"/>
  <c r="D56" i="116" s="1"/>
  <c r="F55" i="116"/>
  <c r="D55" i="116" s="1"/>
  <c r="F54" i="116"/>
  <c r="D54" i="116" s="1"/>
  <c r="F53" i="116"/>
  <c r="D53" i="116" s="1"/>
  <c r="F52" i="116"/>
  <c r="D52" i="116" s="1"/>
  <c r="F51" i="116"/>
  <c r="D51" i="116" s="1"/>
  <c r="F50" i="116"/>
  <c r="D50" i="116" s="1"/>
  <c r="F49" i="116"/>
  <c r="D49" i="116" s="1"/>
  <c r="F48" i="116"/>
  <c r="D48" i="116" s="1"/>
  <c r="F47" i="116"/>
  <c r="D47" i="116" s="1"/>
  <c r="F46" i="116"/>
  <c r="D46" i="116" s="1"/>
  <c r="F45" i="116"/>
  <c r="D45" i="116"/>
  <c r="F44" i="116"/>
  <c r="D44" i="116" s="1"/>
  <c r="F43" i="116"/>
  <c r="D43" i="116" s="1"/>
  <c r="F42" i="116"/>
  <c r="D42" i="116" s="1"/>
  <c r="F41" i="116"/>
  <c r="D41" i="116" s="1"/>
  <c r="F40" i="116"/>
  <c r="D40" i="116" s="1"/>
  <c r="F39" i="116"/>
  <c r="D39" i="116" s="1"/>
  <c r="F38" i="116"/>
  <c r="D38" i="116" s="1"/>
  <c r="F37" i="116"/>
  <c r="D37" i="116" s="1"/>
  <c r="F36" i="116"/>
  <c r="D36" i="116" s="1"/>
  <c r="F35" i="116"/>
  <c r="D35" i="116" s="1"/>
  <c r="F34" i="116"/>
  <c r="D34" i="116" s="1"/>
  <c r="F33" i="116"/>
  <c r="D33" i="116" s="1"/>
  <c r="F32" i="116"/>
  <c r="D32" i="116" s="1"/>
  <c r="F31" i="116"/>
  <c r="D31" i="116" s="1"/>
  <c r="F30" i="116"/>
  <c r="D30" i="116" s="1"/>
  <c r="F29" i="116"/>
  <c r="D29" i="116"/>
  <c r="F28" i="116"/>
  <c r="D28" i="116" s="1"/>
  <c r="F27" i="116"/>
  <c r="D27" i="116" s="1"/>
  <c r="F26" i="116"/>
  <c r="D26" i="116"/>
  <c r="F25" i="116"/>
  <c r="D25" i="116" s="1"/>
  <c r="F24" i="116"/>
  <c r="D24" i="116" s="1"/>
  <c r="F23" i="116"/>
  <c r="D23" i="116" s="1"/>
  <c r="F22" i="116"/>
  <c r="D22" i="116" s="1"/>
  <c r="F21" i="116"/>
  <c r="D21" i="116" s="1"/>
  <c r="F20" i="116"/>
  <c r="D20" i="116" s="1"/>
  <c r="F19" i="116"/>
  <c r="D19" i="116" s="1"/>
  <c r="F18" i="116"/>
  <c r="D18" i="116" s="1"/>
  <c r="F17" i="116"/>
  <c r="D17" i="116" s="1"/>
  <c r="F16" i="116"/>
  <c r="D16" i="116" s="1"/>
  <c r="F15" i="116"/>
  <c r="D15" i="116" s="1"/>
  <c r="F14" i="116"/>
  <c r="D14" i="116" s="1"/>
  <c r="F13" i="116"/>
  <c r="D13" i="116" s="1"/>
  <c r="F12" i="116"/>
  <c r="D12" i="116" s="1"/>
  <c r="F11" i="116"/>
  <c r="D11" i="116" s="1"/>
  <c r="F10" i="116"/>
  <c r="D10" i="116" s="1"/>
  <c r="H9" i="116"/>
  <c r="G9" i="116"/>
  <c r="F9" i="116" s="1"/>
  <c r="F7" i="116" s="1"/>
  <c r="D8" i="116"/>
  <c r="H7" i="116"/>
  <c r="D72" i="116" l="1"/>
  <c r="D7" i="116"/>
  <c r="E7" i="116"/>
  <c r="G7" i="116"/>
  <c r="D151" i="115" l="1"/>
  <c r="D150" i="115"/>
  <c r="D149" i="115"/>
  <c r="D148" i="115"/>
  <c r="D147" i="115"/>
  <c r="D146" i="115"/>
  <c r="D145" i="115"/>
  <c r="D144" i="115"/>
  <c r="D143" i="115"/>
  <c r="D142" i="115"/>
  <c r="H141" i="115"/>
  <c r="D141" i="115"/>
  <c r="D140" i="115"/>
  <c r="D139" i="115"/>
  <c r="D138" i="115"/>
  <c r="D137" i="115"/>
  <c r="D136" i="115"/>
  <c r="D135" i="115"/>
  <c r="D134" i="115"/>
  <c r="D133" i="115"/>
  <c r="D132" i="115"/>
  <c r="D131" i="115"/>
  <c r="D130" i="115"/>
  <c r="D129" i="115"/>
  <c r="D128" i="115"/>
  <c r="D127" i="115"/>
  <c r="D126" i="115"/>
  <c r="D125" i="115"/>
  <c r="D124" i="115"/>
  <c r="D123" i="115"/>
  <c r="D122" i="115"/>
  <c r="D121" i="115"/>
  <c r="D120" i="115"/>
  <c r="D119" i="115"/>
  <c r="D118" i="115"/>
  <c r="D117" i="115"/>
  <c r="D116" i="115"/>
  <c r="D115" i="115"/>
  <c r="D114" i="115"/>
  <c r="D113" i="115"/>
  <c r="D112" i="115"/>
  <c r="D111" i="115"/>
  <c r="D110" i="115"/>
  <c r="D109" i="115"/>
  <c r="D108" i="115"/>
  <c r="D107" i="115"/>
  <c r="D106" i="115"/>
  <c r="D105" i="115"/>
  <c r="D104" i="115"/>
  <c r="D103" i="115"/>
  <c r="D102" i="115"/>
  <c r="D101" i="115"/>
  <c r="D100" i="115"/>
  <c r="D99" i="115"/>
  <c r="D98" i="115"/>
  <c r="D97" i="115"/>
  <c r="D96" i="115"/>
  <c r="D95" i="115"/>
  <c r="D94" i="115"/>
  <c r="D93" i="115"/>
  <c r="D92" i="115"/>
  <c r="D91" i="115"/>
  <c r="D90" i="115"/>
  <c r="D89" i="115"/>
  <c r="D88" i="115"/>
  <c r="D87" i="115"/>
  <c r="D86" i="115"/>
  <c r="H85" i="115"/>
  <c r="D85" i="115" s="1"/>
  <c r="D84" i="115"/>
  <c r="H83" i="115"/>
  <c r="D83" i="115"/>
  <c r="D82" i="115"/>
  <c r="D81" i="115"/>
  <c r="D80" i="115"/>
  <c r="D79" i="115"/>
  <c r="D78" i="115"/>
  <c r="D77" i="115"/>
  <c r="D76" i="115"/>
  <c r="D75" i="115"/>
  <c r="D74" i="115"/>
  <c r="D73" i="115"/>
  <c r="D72" i="115"/>
  <c r="D71" i="115"/>
  <c r="D70" i="115"/>
  <c r="D69" i="115"/>
  <c r="D68" i="115"/>
  <c r="D67" i="115"/>
  <c r="D66" i="115"/>
  <c r="D65" i="115"/>
  <c r="D64" i="115"/>
  <c r="D63" i="115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H44" i="115"/>
  <c r="D44" i="115" s="1"/>
  <c r="D43" i="115"/>
  <c r="D42" i="115"/>
  <c r="D41" i="115"/>
  <c r="D40" i="115"/>
  <c r="D39" i="115"/>
  <c r="D38" i="115"/>
  <c r="D37" i="115"/>
  <c r="D36" i="115"/>
  <c r="H35" i="115"/>
  <c r="D35" i="115" s="1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H16" i="115"/>
  <c r="D16" i="115" s="1"/>
  <c r="D15" i="115"/>
  <c r="D14" i="115"/>
  <c r="D13" i="115"/>
  <c r="D12" i="115"/>
  <c r="D11" i="115"/>
  <c r="D10" i="115"/>
  <c r="G9" i="115"/>
  <c r="G7" i="115" s="1"/>
  <c r="F9" i="115"/>
  <c r="F7" i="115" s="1"/>
  <c r="E9" i="115"/>
  <c r="E7" i="115" s="1"/>
  <c r="D8" i="115"/>
  <c r="H9" i="115" l="1"/>
  <c r="H7" i="115" s="1"/>
  <c r="D9" i="115"/>
  <c r="D7" i="115" s="1"/>
  <c r="K152" i="114" l="1"/>
  <c r="D152" i="114" s="1"/>
  <c r="K151" i="114"/>
  <c r="D151" i="114" s="1"/>
  <c r="K150" i="114"/>
  <c r="D150" i="114" s="1"/>
  <c r="K149" i="114"/>
  <c r="D149" i="114"/>
  <c r="K148" i="114"/>
  <c r="D148" i="114"/>
  <c r="K147" i="114"/>
  <c r="D147" i="114" s="1"/>
  <c r="L146" i="114"/>
  <c r="K146" i="114" s="1"/>
  <c r="D146" i="114" s="1"/>
  <c r="K145" i="114"/>
  <c r="D145" i="114"/>
  <c r="K144" i="114"/>
  <c r="D144" i="114" s="1"/>
  <c r="K143" i="114"/>
  <c r="D143" i="114" s="1"/>
  <c r="K142" i="114"/>
  <c r="D142" i="114" s="1"/>
  <c r="K141" i="114"/>
  <c r="D141" i="114"/>
  <c r="K140" i="114"/>
  <c r="D140" i="114" s="1"/>
  <c r="K139" i="114"/>
  <c r="D139" i="114" s="1"/>
  <c r="K138" i="114"/>
  <c r="D138" i="114" s="1"/>
  <c r="M137" i="114"/>
  <c r="K137" i="114" s="1"/>
  <c r="D137" i="114" s="1"/>
  <c r="K136" i="114"/>
  <c r="D136" i="114" s="1"/>
  <c r="K135" i="114"/>
  <c r="D135" i="114" s="1"/>
  <c r="K134" i="114"/>
  <c r="D134" i="114" s="1"/>
  <c r="K133" i="114"/>
  <c r="D133" i="114" s="1"/>
  <c r="K132" i="114"/>
  <c r="D132" i="114" s="1"/>
  <c r="K131" i="114"/>
  <c r="D131" i="114" s="1"/>
  <c r="K130" i="114"/>
  <c r="D130" i="114" s="1"/>
  <c r="K129" i="114"/>
  <c r="D129" i="114" s="1"/>
  <c r="K128" i="114"/>
  <c r="D128" i="114" s="1"/>
  <c r="K127" i="114"/>
  <c r="D127" i="114" s="1"/>
  <c r="K126" i="114"/>
  <c r="D126" i="114"/>
  <c r="K125" i="114"/>
  <c r="D125" i="114" s="1"/>
  <c r="K124" i="114"/>
  <c r="D124" i="114" s="1"/>
  <c r="K123" i="114"/>
  <c r="D123" i="114" s="1"/>
  <c r="K122" i="114"/>
  <c r="D122" i="114" s="1"/>
  <c r="K121" i="114"/>
  <c r="D121" i="114" s="1"/>
  <c r="K120" i="114"/>
  <c r="D120" i="114" s="1"/>
  <c r="K119" i="114"/>
  <c r="D119" i="114" s="1"/>
  <c r="K118" i="114"/>
  <c r="D118" i="114" s="1"/>
  <c r="K117" i="114"/>
  <c r="D117" i="114" s="1"/>
  <c r="K116" i="114"/>
  <c r="D116" i="114" s="1"/>
  <c r="K115" i="114"/>
  <c r="D115" i="114" s="1"/>
  <c r="K114" i="114"/>
  <c r="D114" i="114" s="1"/>
  <c r="K113" i="114"/>
  <c r="D113" i="114"/>
  <c r="K112" i="114"/>
  <c r="D112" i="114" s="1"/>
  <c r="K111" i="114"/>
  <c r="D111" i="114" s="1"/>
  <c r="K110" i="114"/>
  <c r="D110" i="114"/>
  <c r="K109" i="114"/>
  <c r="D109" i="114" s="1"/>
  <c r="K108" i="114"/>
  <c r="D108" i="114" s="1"/>
  <c r="K107" i="114"/>
  <c r="D107" i="114" s="1"/>
  <c r="K106" i="114"/>
  <c r="D106" i="114" s="1"/>
  <c r="K105" i="114"/>
  <c r="D105" i="114" s="1"/>
  <c r="K104" i="114"/>
  <c r="D104" i="114" s="1"/>
  <c r="K103" i="114"/>
  <c r="D103" i="114" s="1"/>
  <c r="K102" i="114"/>
  <c r="D102" i="114" s="1"/>
  <c r="K101" i="114"/>
  <c r="D101" i="114"/>
  <c r="K100" i="114"/>
  <c r="D100" i="114" s="1"/>
  <c r="K99" i="114"/>
  <c r="D99" i="114" s="1"/>
  <c r="K98" i="114"/>
  <c r="D98" i="114" s="1"/>
  <c r="K97" i="114"/>
  <c r="D97" i="114" s="1"/>
  <c r="K96" i="114"/>
  <c r="D96" i="114" s="1"/>
  <c r="K95" i="114"/>
  <c r="D95" i="114" s="1"/>
  <c r="K94" i="114"/>
  <c r="D94" i="114" s="1"/>
  <c r="K93" i="114"/>
  <c r="D93" i="114" s="1"/>
  <c r="K92" i="114"/>
  <c r="D92" i="114" s="1"/>
  <c r="K91" i="114"/>
  <c r="D91" i="114" s="1"/>
  <c r="K90" i="114"/>
  <c r="D90" i="114" s="1"/>
  <c r="K89" i="114"/>
  <c r="D89" i="114" s="1"/>
  <c r="L88" i="114"/>
  <c r="K87" i="114"/>
  <c r="D87" i="114" s="1"/>
  <c r="K86" i="114"/>
  <c r="D86" i="114"/>
  <c r="K85" i="114"/>
  <c r="D85" i="114" s="1"/>
  <c r="K84" i="114"/>
  <c r="D84" i="114" s="1"/>
  <c r="K83" i="114"/>
  <c r="E83" i="114"/>
  <c r="D83" i="114" s="1"/>
  <c r="K82" i="114"/>
  <c r="D82" i="114" s="1"/>
  <c r="K81" i="114"/>
  <c r="E81" i="114"/>
  <c r="D81" i="114" s="1"/>
  <c r="K80" i="114"/>
  <c r="D80" i="114"/>
  <c r="K79" i="114"/>
  <c r="D79" i="114" s="1"/>
  <c r="K78" i="114"/>
  <c r="D78" i="114" s="1"/>
  <c r="K77" i="114"/>
  <c r="D77" i="114" s="1"/>
  <c r="K76" i="114"/>
  <c r="D76" i="114" s="1"/>
  <c r="K75" i="114"/>
  <c r="D75" i="114" s="1"/>
  <c r="K74" i="114"/>
  <c r="D74" i="114" s="1"/>
  <c r="K73" i="114"/>
  <c r="E73" i="114"/>
  <c r="D73" i="114"/>
  <c r="K72" i="114"/>
  <c r="E72" i="114"/>
  <c r="E10" i="114" s="1"/>
  <c r="K71" i="114"/>
  <c r="D71" i="114" s="1"/>
  <c r="K70" i="114"/>
  <c r="D70" i="114"/>
  <c r="K69" i="114"/>
  <c r="D69" i="114" s="1"/>
  <c r="K68" i="114"/>
  <c r="D68" i="114" s="1"/>
  <c r="K67" i="114"/>
  <c r="D67" i="114" s="1"/>
  <c r="K66" i="114"/>
  <c r="D66" i="114" s="1"/>
  <c r="K65" i="114"/>
  <c r="D65" i="114" s="1"/>
  <c r="K64" i="114"/>
  <c r="D64" i="114" s="1"/>
  <c r="K63" i="114"/>
  <c r="D63" i="114"/>
  <c r="K62" i="114"/>
  <c r="D62" i="114" s="1"/>
  <c r="K61" i="114"/>
  <c r="D61" i="114" s="1"/>
  <c r="K60" i="114"/>
  <c r="D60" i="114"/>
  <c r="K59" i="114"/>
  <c r="D59" i="114"/>
  <c r="K58" i="114"/>
  <c r="D58" i="114"/>
  <c r="K57" i="114"/>
  <c r="D57" i="114" s="1"/>
  <c r="K56" i="114"/>
  <c r="D56" i="114" s="1"/>
  <c r="K55" i="114"/>
  <c r="D55" i="114" s="1"/>
  <c r="K54" i="114"/>
  <c r="D54" i="114" s="1"/>
  <c r="K53" i="114"/>
  <c r="D53" i="114" s="1"/>
  <c r="K52" i="114"/>
  <c r="D52" i="114" s="1"/>
  <c r="K51" i="114"/>
  <c r="D51" i="114"/>
  <c r="K50" i="114"/>
  <c r="D50" i="114" s="1"/>
  <c r="K49" i="114"/>
  <c r="D49" i="114" s="1"/>
  <c r="K48" i="114"/>
  <c r="D48" i="114"/>
  <c r="K47" i="114"/>
  <c r="D47" i="114" s="1"/>
  <c r="K46" i="114"/>
  <c r="D46" i="114" s="1"/>
  <c r="K45" i="114"/>
  <c r="D45" i="114"/>
  <c r="K44" i="114"/>
  <c r="D44" i="114" s="1"/>
  <c r="K43" i="114"/>
  <c r="D43" i="114" s="1"/>
  <c r="K42" i="114"/>
  <c r="D42" i="114" s="1"/>
  <c r="K41" i="114"/>
  <c r="D41" i="114" s="1"/>
  <c r="K40" i="114"/>
  <c r="D40" i="114" s="1"/>
  <c r="K39" i="114"/>
  <c r="D39" i="114"/>
  <c r="K38" i="114"/>
  <c r="D38" i="114" s="1"/>
  <c r="K37" i="114"/>
  <c r="D37" i="114" s="1"/>
  <c r="K36" i="114"/>
  <c r="D36" i="114" s="1"/>
  <c r="K35" i="114"/>
  <c r="D35" i="114"/>
  <c r="K34" i="114"/>
  <c r="D34" i="114" s="1"/>
  <c r="K33" i="114"/>
  <c r="D33" i="114" s="1"/>
  <c r="K32" i="114"/>
  <c r="D32" i="114" s="1"/>
  <c r="K31" i="114"/>
  <c r="D31" i="114" s="1"/>
  <c r="K30" i="114"/>
  <c r="D30" i="114" s="1"/>
  <c r="K29" i="114"/>
  <c r="D29" i="114"/>
  <c r="K28" i="114"/>
  <c r="D28" i="114"/>
  <c r="K27" i="114"/>
  <c r="D27" i="114" s="1"/>
  <c r="K26" i="114"/>
  <c r="D26" i="114" s="1"/>
  <c r="K25" i="114"/>
  <c r="D25" i="114" s="1"/>
  <c r="K24" i="114"/>
  <c r="D24" i="114" s="1"/>
  <c r="K23" i="114"/>
  <c r="D23" i="114" s="1"/>
  <c r="K22" i="114"/>
  <c r="D22" i="114"/>
  <c r="K21" i="114"/>
  <c r="D21" i="114" s="1"/>
  <c r="K20" i="114"/>
  <c r="D20" i="114" s="1"/>
  <c r="K19" i="114"/>
  <c r="D19" i="114" s="1"/>
  <c r="K18" i="114"/>
  <c r="D18" i="114" s="1"/>
  <c r="K17" i="114"/>
  <c r="D17" i="114" s="1"/>
  <c r="K16" i="114"/>
  <c r="D16" i="114" s="1"/>
  <c r="K15" i="114"/>
  <c r="D15" i="114" s="1"/>
  <c r="K14" i="114"/>
  <c r="D14" i="114" s="1"/>
  <c r="K13" i="114"/>
  <c r="D13" i="114" s="1"/>
  <c r="K12" i="114"/>
  <c r="D12" i="114" s="1"/>
  <c r="K11" i="114"/>
  <c r="D11" i="114" s="1"/>
  <c r="N10" i="114"/>
  <c r="N8" i="114" s="1"/>
  <c r="J10" i="114"/>
  <c r="J8" i="114" s="1"/>
  <c r="I10" i="114"/>
  <c r="I8" i="114" s="1"/>
  <c r="H10" i="114"/>
  <c r="H8" i="114" s="1"/>
  <c r="G10" i="114"/>
  <c r="F10" i="114"/>
  <c r="F8" i="114" s="1"/>
  <c r="K9" i="114"/>
  <c r="G9" i="114"/>
  <c r="D9" i="114" s="1"/>
  <c r="D72" i="114" l="1"/>
  <c r="G8" i="114"/>
  <c r="L10" i="114"/>
  <c r="M10" i="114"/>
  <c r="M8" i="114" s="1"/>
  <c r="L8" i="114"/>
  <c r="K88" i="114"/>
  <c r="D88" i="114" s="1"/>
  <c r="E8" i="114"/>
  <c r="K10" i="114" l="1"/>
  <c r="K8" i="114" s="1"/>
  <c r="D8" i="114" s="1"/>
  <c r="D10" i="114" l="1"/>
  <c r="I153" i="113"/>
  <c r="F153" i="113"/>
  <c r="D153" i="113"/>
  <c r="I152" i="113"/>
  <c r="F152" i="113"/>
  <c r="D152" i="113" s="1"/>
  <c r="I151" i="113"/>
  <c r="F151" i="113"/>
  <c r="I150" i="113"/>
  <c r="F150" i="113"/>
  <c r="D150" i="113" s="1"/>
  <c r="I149" i="113"/>
  <c r="F149" i="113"/>
  <c r="I148" i="113"/>
  <c r="F148" i="113"/>
  <c r="I147" i="113"/>
  <c r="F147" i="113"/>
  <c r="D147" i="113" s="1"/>
  <c r="I146" i="113"/>
  <c r="F146" i="113"/>
  <c r="D146" i="113"/>
  <c r="I145" i="113"/>
  <c r="F145" i="113"/>
  <c r="D145" i="113" s="1"/>
  <c r="I144" i="113"/>
  <c r="F144" i="113"/>
  <c r="I143" i="113"/>
  <c r="F143" i="113"/>
  <c r="I142" i="113"/>
  <c r="F142" i="113"/>
  <c r="I141" i="113"/>
  <c r="D141" i="113" s="1"/>
  <c r="F141" i="113"/>
  <c r="I140" i="113"/>
  <c r="F140" i="113"/>
  <c r="I139" i="113"/>
  <c r="F139" i="113"/>
  <c r="I138" i="113"/>
  <c r="F138" i="113"/>
  <c r="I137" i="113"/>
  <c r="F137" i="113"/>
  <c r="D137" i="113" s="1"/>
  <c r="I136" i="113"/>
  <c r="F136" i="113"/>
  <c r="I135" i="113"/>
  <c r="F135" i="113"/>
  <c r="D135" i="113" s="1"/>
  <c r="I134" i="113"/>
  <c r="F134" i="113"/>
  <c r="D134" i="113" s="1"/>
  <c r="I133" i="113"/>
  <c r="F133" i="113"/>
  <c r="D133" i="113" s="1"/>
  <c r="I132" i="113"/>
  <c r="F132" i="113"/>
  <c r="I131" i="113"/>
  <c r="F131" i="113"/>
  <c r="D131" i="113" s="1"/>
  <c r="I130" i="113"/>
  <c r="F130" i="113"/>
  <c r="D130" i="113" s="1"/>
  <c r="I129" i="113"/>
  <c r="F129" i="113"/>
  <c r="D129" i="113" s="1"/>
  <c r="I128" i="113"/>
  <c r="F128" i="113"/>
  <c r="I127" i="113"/>
  <c r="F127" i="113"/>
  <c r="I126" i="113"/>
  <c r="F126" i="113"/>
  <c r="D126" i="113"/>
  <c r="I125" i="113"/>
  <c r="F125" i="113"/>
  <c r="I124" i="113"/>
  <c r="F124" i="113"/>
  <c r="I123" i="113"/>
  <c r="F123" i="113"/>
  <c r="I122" i="113"/>
  <c r="F122" i="113"/>
  <c r="I121" i="113"/>
  <c r="F121" i="113"/>
  <c r="D121" i="113"/>
  <c r="I120" i="113"/>
  <c r="F120" i="113"/>
  <c r="I119" i="113"/>
  <c r="F119" i="113"/>
  <c r="D119" i="113" s="1"/>
  <c r="I118" i="113"/>
  <c r="F118" i="113"/>
  <c r="I117" i="113"/>
  <c r="F117" i="113"/>
  <c r="D117" i="113" s="1"/>
  <c r="I116" i="113"/>
  <c r="F116" i="113"/>
  <c r="D116" i="113" s="1"/>
  <c r="I115" i="113"/>
  <c r="F115" i="113"/>
  <c r="I114" i="113"/>
  <c r="F114" i="113"/>
  <c r="D114" i="113" s="1"/>
  <c r="I113" i="113"/>
  <c r="F113" i="113"/>
  <c r="I112" i="113"/>
  <c r="F112" i="113"/>
  <c r="I111" i="113"/>
  <c r="F111" i="113"/>
  <c r="D111" i="113" s="1"/>
  <c r="I110" i="113"/>
  <c r="F110" i="113"/>
  <c r="I109" i="113"/>
  <c r="F109" i="113"/>
  <c r="D109" i="113"/>
  <c r="I108" i="113"/>
  <c r="F108" i="113"/>
  <c r="I107" i="113"/>
  <c r="F107" i="113"/>
  <c r="I106" i="113"/>
  <c r="F106" i="113"/>
  <c r="D106" i="113" s="1"/>
  <c r="I105" i="113"/>
  <c r="D105" i="113" s="1"/>
  <c r="F105" i="113"/>
  <c r="I104" i="113"/>
  <c r="F104" i="113"/>
  <c r="I103" i="113"/>
  <c r="F103" i="113"/>
  <c r="I102" i="113"/>
  <c r="F102" i="113"/>
  <c r="D102" i="113" s="1"/>
  <c r="I101" i="113"/>
  <c r="F101" i="113"/>
  <c r="D101" i="113" s="1"/>
  <c r="I100" i="113"/>
  <c r="F100" i="113"/>
  <c r="I99" i="113"/>
  <c r="F99" i="113"/>
  <c r="D99" i="113" s="1"/>
  <c r="I98" i="113"/>
  <c r="F98" i="113"/>
  <c r="D98" i="113" s="1"/>
  <c r="I97" i="113"/>
  <c r="F97" i="113"/>
  <c r="D97" i="113" s="1"/>
  <c r="I96" i="113"/>
  <c r="F96" i="113"/>
  <c r="I95" i="113"/>
  <c r="F95" i="113"/>
  <c r="I94" i="113"/>
  <c r="F94" i="113"/>
  <c r="I93" i="113"/>
  <c r="F93" i="113"/>
  <c r="D93" i="113" s="1"/>
  <c r="I92" i="113"/>
  <c r="F92" i="113"/>
  <c r="D92" i="113" s="1"/>
  <c r="I91" i="113"/>
  <c r="F91" i="113"/>
  <c r="I90" i="113"/>
  <c r="F90" i="113"/>
  <c r="D90" i="113" s="1"/>
  <c r="I89" i="113"/>
  <c r="F89" i="113"/>
  <c r="I88" i="113"/>
  <c r="F88" i="113"/>
  <c r="D88" i="113" s="1"/>
  <c r="I87" i="113"/>
  <c r="F87" i="113"/>
  <c r="D87" i="113" s="1"/>
  <c r="I86" i="113"/>
  <c r="F86" i="113"/>
  <c r="I85" i="113"/>
  <c r="F85" i="113"/>
  <c r="D85" i="113" s="1"/>
  <c r="I84" i="113"/>
  <c r="F84" i="113"/>
  <c r="I83" i="113"/>
  <c r="F83" i="113"/>
  <c r="I82" i="113"/>
  <c r="F82" i="113"/>
  <c r="D82" i="113" s="1"/>
  <c r="I81" i="113"/>
  <c r="F81" i="113"/>
  <c r="D81" i="113" s="1"/>
  <c r="I80" i="113"/>
  <c r="F80" i="113"/>
  <c r="D80" i="113" s="1"/>
  <c r="I79" i="113"/>
  <c r="F79" i="113"/>
  <c r="I78" i="113"/>
  <c r="F78" i="113"/>
  <c r="D78" i="113" s="1"/>
  <c r="I77" i="113"/>
  <c r="F77" i="113"/>
  <c r="I76" i="113"/>
  <c r="F76" i="113"/>
  <c r="I75" i="113"/>
  <c r="F75" i="113"/>
  <c r="D75" i="113" s="1"/>
  <c r="I74" i="113"/>
  <c r="F74" i="113"/>
  <c r="D74" i="113"/>
  <c r="I73" i="113"/>
  <c r="F73" i="113"/>
  <c r="D73" i="113" s="1"/>
  <c r="I72" i="113"/>
  <c r="F72" i="113"/>
  <c r="I71" i="113"/>
  <c r="F71" i="113"/>
  <c r="I70" i="113"/>
  <c r="F70" i="113"/>
  <c r="I69" i="113"/>
  <c r="F69" i="113"/>
  <c r="I68" i="113"/>
  <c r="F68" i="113"/>
  <c r="D68" i="113" s="1"/>
  <c r="I67" i="113"/>
  <c r="F67" i="113"/>
  <c r="I66" i="113"/>
  <c r="F66" i="113"/>
  <c r="I65" i="113"/>
  <c r="F65" i="113"/>
  <c r="I64" i="113"/>
  <c r="F64" i="113"/>
  <c r="D64" i="113" s="1"/>
  <c r="I63" i="113"/>
  <c r="F63" i="113"/>
  <c r="I62" i="113"/>
  <c r="F62" i="113"/>
  <c r="I61" i="113"/>
  <c r="D61" i="113" s="1"/>
  <c r="F61" i="113"/>
  <c r="I60" i="113"/>
  <c r="F60" i="113"/>
  <c r="I59" i="113"/>
  <c r="F59" i="113"/>
  <c r="D59" i="113" s="1"/>
  <c r="I58" i="113"/>
  <c r="F58" i="113"/>
  <c r="D58" i="113" s="1"/>
  <c r="I57" i="113"/>
  <c r="F57" i="113"/>
  <c r="D57" i="113"/>
  <c r="I56" i="113"/>
  <c r="F56" i="113"/>
  <c r="I55" i="113"/>
  <c r="F55" i="113"/>
  <c r="I54" i="113"/>
  <c r="F54" i="113"/>
  <c r="I53" i="113"/>
  <c r="F53" i="113"/>
  <c r="D53" i="113" s="1"/>
  <c r="I52" i="113"/>
  <c r="F52" i="113"/>
  <c r="D52" i="113" s="1"/>
  <c r="I51" i="113"/>
  <c r="F51" i="113"/>
  <c r="I50" i="113"/>
  <c r="F50" i="113"/>
  <c r="I49" i="113"/>
  <c r="F49" i="113"/>
  <c r="D49" i="113" s="1"/>
  <c r="I48" i="113"/>
  <c r="F48" i="113"/>
  <c r="I47" i="113"/>
  <c r="F47" i="113"/>
  <c r="I46" i="113"/>
  <c r="F46" i="113"/>
  <c r="I45" i="113"/>
  <c r="F45" i="113"/>
  <c r="D45" i="113" s="1"/>
  <c r="I44" i="113"/>
  <c r="F44" i="113"/>
  <c r="D44" i="113" s="1"/>
  <c r="I43" i="113"/>
  <c r="F43" i="113"/>
  <c r="I42" i="113"/>
  <c r="F42" i="113"/>
  <c r="I41" i="113"/>
  <c r="F41" i="113"/>
  <c r="D41" i="113" s="1"/>
  <c r="I40" i="113"/>
  <c r="F40" i="113"/>
  <c r="D40" i="113" s="1"/>
  <c r="I39" i="113"/>
  <c r="F39" i="113"/>
  <c r="I38" i="113"/>
  <c r="F38" i="113"/>
  <c r="I37" i="113"/>
  <c r="F37" i="113"/>
  <c r="D37" i="113" s="1"/>
  <c r="I36" i="113"/>
  <c r="F36" i="113"/>
  <c r="I35" i="113"/>
  <c r="F35" i="113"/>
  <c r="D35" i="113" s="1"/>
  <c r="I34" i="113"/>
  <c r="F34" i="113"/>
  <c r="I33" i="113"/>
  <c r="F33" i="113"/>
  <c r="I32" i="113"/>
  <c r="F32" i="113"/>
  <c r="D32" i="113" s="1"/>
  <c r="I31" i="113"/>
  <c r="F31" i="113"/>
  <c r="I30" i="113"/>
  <c r="F30" i="113"/>
  <c r="D30" i="113"/>
  <c r="I29" i="113"/>
  <c r="F29" i="113"/>
  <c r="D29" i="113" s="1"/>
  <c r="I28" i="113"/>
  <c r="F28" i="113"/>
  <c r="I27" i="113"/>
  <c r="F27" i="113"/>
  <c r="I26" i="113"/>
  <c r="F26" i="113"/>
  <c r="D26" i="113" s="1"/>
  <c r="I25" i="113"/>
  <c r="F25" i="113"/>
  <c r="D25" i="113"/>
  <c r="I24" i="113"/>
  <c r="F24" i="113"/>
  <c r="I23" i="113"/>
  <c r="F23" i="113"/>
  <c r="I22" i="113"/>
  <c r="F22" i="113"/>
  <c r="I21" i="113"/>
  <c r="F21" i="113"/>
  <c r="D21" i="113" s="1"/>
  <c r="I20" i="113"/>
  <c r="F20" i="113"/>
  <c r="I19" i="113"/>
  <c r="F19" i="113"/>
  <c r="I18" i="113"/>
  <c r="F18" i="113"/>
  <c r="I17" i="113"/>
  <c r="F17" i="113"/>
  <c r="I16" i="113"/>
  <c r="F16" i="113"/>
  <c r="I15" i="113"/>
  <c r="F15" i="113"/>
  <c r="D15" i="113" s="1"/>
  <c r="I14" i="113"/>
  <c r="F14" i="113"/>
  <c r="D14" i="113" s="1"/>
  <c r="I13" i="113"/>
  <c r="F13" i="113"/>
  <c r="D13" i="113"/>
  <c r="I12" i="113"/>
  <c r="F12" i="113"/>
  <c r="L11" i="113"/>
  <c r="L9" i="113" s="1"/>
  <c r="K11" i="113"/>
  <c r="K9" i="113" s="1"/>
  <c r="J11" i="113"/>
  <c r="J9" i="113" s="1"/>
  <c r="H11" i="113"/>
  <c r="H9" i="113" s="1"/>
  <c r="G11" i="113"/>
  <c r="G9" i="113" s="1"/>
  <c r="E11" i="113"/>
  <c r="E9" i="113" s="1"/>
  <c r="D23" i="113" l="1"/>
  <c r="D34" i="113"/>
  <c r="D122" i="113"/>
  <c r="D16" i="113"/>
  <c r="D20" i="113"/>
  <c r="D27" i="113"/>
  <c r="D42" i="113"/>
  <c r="D46" i="113"/>
  <c r="D50" i="113"/>
  <c r="D54" i="113"/>
  <c r="D65" i="113"/>
  <c r="D69" i="113"/>
  <c r="D83" i="113"/>
  <c r="D94" i="113"/>
  <c r="D123" i="113"/>
  <c r="D148" i="113"/>
  <c r="D17" i="113"/>
  <c r="D28" i="113"/>
  <c r="D39" i="113"/>
  <c r="D47" i="113"/>
  <c r="D51" i="113"/>
  <c r="D62" i="113"/>
  <c r="D66" i="113"/>
  <c r="D70" i="113"/>
  <c r="D77" i="113"/>
  <c r="D95" i="113"/>
  <c r="D113" i="113"/>
  <c r="D124" i="113"/>
  <c r="D138" i="113"/>
  <c r="D142" i="113"/>
  <c r="D149" i="113"/>
  <c r="D56" i="113"/>
  <c r="D63" i="113"/>
  <c r="D110" i="113"/>
  <c r="D125" i="113"/>
  <c r="D143" i="113"/>
  <c r="D18" i="113"/>
  <c r="D22" i="113"/>
  <c r="D33" i="113"/>
  <c r="D89" i="113"/>
  <c r="D100" i="113"/>
  <c r="D104" i="113"/>
  <c r="D107" i="113"/>
  <c r="D118" i="113"/>
  <c r="D136" i="113"/>
  <c r="D140" i="113"/>
  <c r="D38" i="113"/>
  <c r="D71" i="113"/>
  <c r="D76" i="113"/>
  <c r="D86" i="113"/>
  <c r="D112" i="113"/>
  <c r="D128" i="113"/>
  <c r="D12" i="113"/>
  <c r="D31" i="113"/>
  <c r="D36" i="113"/>
  <c r="D55" i="113"/>
  <c r="D60" i="113"/>
  <c r="D79" i="113"/>
  <c r="D84" i="113"/>
  <c r="D103" i="113"/>
  <c r="D108" i="113"/>
  <c r="D127" i="113"/>
  <c r="D132" i="113"/>
  <c r="D151" i="113"/>
  <c r="D19" i="113"/>
  <c r="D24" i="113"/>
  <c r="D43" i="113"/>
  <c r="D48" i="113"/>
  <c r="D67" i="113"/>
  <c r="D72" i="113"/>
  <c r="D91" i="113"/>
  <c r="D96" i="113"/>
  <c r="D115" i="113"/>
  <c r="D120" i="113"/>
  <c r="D139" i="113"/>
  <c r="D144" i="113"/>
  <c r="F11" i="113"/>
  <c r="I11" i="113"/>
  <c r="I9" i="113" s="1"/>
  <c r="F9" i="113" l="1"/>
  <c r="D11" i="113"/>
  <c r="D9" i="113" s="1"/>
  <c r="K152" i="112" l="1"/>
  <c r="H152" i="112"/>
  <c r="E152" i="112"/>
  <c r="K151" i="112"/>
  <c r="H151" i="112"/>
  <c r="E151" i="112"/>
  <c r="K150" i="112"/>
  <c r="H150" i="112"/>
  <c r="E150" i="112"/>
  <c r="K149" i="112"/>
  <c r="H149" i="112"/>
  <c r="E149" i="112"/>
  <c r="K148" i="112"/>
  <c r="H148" i="112"/>
  <c r="E148" i="112"/>
  <c r="K147" i="112"/>
  <c r="H147" i="112"/>
  <c r="E147" i="112"/>
  <c r="K146" i="112"/>
  <c r="H146" i="112"/>
  <c r="E146" i="112"/>
  <c r="K145" i="112"/>
  <c r="H145" i="112"/>
  <c r="E145" i="112"/>
  <c r="K144" i="112"/>
  <c r="H144" i="112"/>
  <c r="E144" i="112"/>
  <c r="K143" i="112"/>
  <c r="H143" i="112"/>
  <c r="E143" i="112"/>
  <c r="K142" i="112"/>
  <c r="H142" i="112"/>
  <c r="E142" i="112"/>
  <c r="K141" i="112"/>
  <c r="H141" i="112"/>
  <c r="E141" i="112"/>
  <c r="K140" i="112"/>
  <c r="H140" i="112"/>
  <c r="E140" i="112"/>
  <c r="K139" i="112"/>
  <c r="H139" i="112"/>
  <c r="E139" i="112"/>
  <c r="K138" i="112"/>
  <c r="H138" i="112"/>
  <c r="E138" i="112"/>
  <c r="K137" i="112"/>
  <c r="H137" i="112"/>
  <c r="E137" i="112"/>
  <c r="K136" i="112"/>
  <c r="H136" i="112"/>
  <c r="E136" i="112"/>
  <c r="K135" i="112"/>
  <c r="H135" i="112"/>
  <c r="E135" i="112"/>
  <c r="K134" i="112"/>
  <c r="H134" i="112"/>
  <c r="E134" i="112"/>
  <c r="K133" i="112"/>
  <c r="H133" i="112"/>
  <c r="E133" i="112"/>
  <c r="K132" i="112"/>
  <c r="H132" i="112"/>
  <c r="E132" i="112"/>
  <c r="K131" i="112"/>
  <c r="H131" i="112"/>
  <c r="E131" i="112"/>
  <c r="K130" i="112"/>
  <c r="H130" i="112"/>
  <c r="E130" i="112"/>
  <c r="K129" i="112"/>
  <c r="H129" i="112"/>
  <c r="E129" i="112"/>
  <c r="K128" i="112"/>
  <c r="H128" i="112"/>
  <c r="E128" i="112"/>
  <c r="K127" i="112"/>
  <c r="H127" i="112"/>
  <c r="E127" i="112"/>
  <c r="K126" i="112"/>
  <c r="H126" i="112"/>
  <c r="E126" i="112"/>
  <c r="K125" i="112"/>
  <c r="H125" i="112"/>
  <c r="E125" i="112"/>
  <c r="K124" i="112"/>
  <c r="H124" i="112"/>
  <c r="E124" i="112"/>
  <c r="K123" i="112"/>
  <c r="H123" i="112"/>
  <c r="E123" i="112"/>
  <c r="K122" i="112"/>
  <c r="H122" i="112"/>
  <c r="E122" i="112"/>
  <c r="K121" i="112"/>
  <c r="H121" i="112"/>
  <c r="E121" i="112"/>
  <c r="K120" i="112"/>
  <c r="H120" i="112"/>
  <c r="E120" i="112"/>
  <c r="K119" i="112"/>
  <c r="H119" i="112"/>
  <c r="E119" i="112"/>
  <c r="K118" i="112"/>
  <c r="H118" i="112"/>
  <c r="E118" i="112"/>
  <c r="K117" i="112"/>
  <c r="H117" i="112"/>
  <c r="E117" i="112"/>
  <c r="K116" i="112"/>
  <c r="H116" i="112"/>
  <c r="E116" i="112"/>
  <c r="K115" i="112"/>
  <c r="H115" i="112"/>
  <c r="E115" i="112"/>
  <c r="K114" i="112"/>
  <c r="H114" i="112"/>
  <c r="E114" i="112"/>
  <c r="K113" i="112"/>
  <c r="H113" i="112"/>
  <c r="E113" i="112"/>
  <c r="K112" i="112"/>
  <c r="H112" i="112"/>
  <c r="E112" i="112"/>
  <c r="K111" i="112"/>
  <c r="H111" i="112"/>
  <c r="E111" i="112"/>
  <c r="K110" i="112"/>
  <c r="H110" i="112"/>
  <c r="E110" i="112"/>
  <c r="K109" i="112"/>
  <c r="H109" i="112"/>
  <c r="E109" i="112"/>
  <c r="K108" i="112"/>
  <c r="H108" i="112"/>
  <c r="E108" i="112"/>
  <c r="K107" i="112"/>
  <c r="H107" i="112"/>
  <c r="E107" i="112"/>
  <c r="K106" i="112"/>
  <c r="H106" i="112"/>
  <c r="E106" i="112"/>
  <c r="K105" i="112"/>
  <c r="H105" i="112"/>
  <c r="E105" i="112"/>
  <c r="K104" i="112"/>
  <c r="H104" i="112"/>
  <c r="E104" i="112"/>
  <c r="K103" i="112"/>
  <c r="H103" i="112"/>
  <c r="E103" i="112"/>
  <c r="K102" i="112"/>
  <c r="H102" i="112"/>
  <c r="E102" i="112"/>
  <c r="K101" i="112"/>
  <c r="H101" i="112"/>
  <c r="E101" i="112"/>
  <c r="K100" i="112"/>
  <c r="H100" i="112"/>
  <c r="E100" i="112"/>
  <c r="K99" i="112"/>
  <c r="H99" i="112"/>
  <c r="E99" i="112"/>
  <c r="K98" i="112"/>
  <c r="H98" i="112"/>
  <c r="E98" i="112"/>
  <c r="K97" i="112"/>
  <c r="H97" i="112"/>
  <c r="E97" i="112"/>
  <c r="K96" i="112"/>
  <c r="H96" i="112"/>
  <c r="E96" i="112"/>
  <c r="K95" i="112"/>
  <c r="D95" i="112" s="1"/>
  <c r="K94" i="112"/>
  <c r="H94" i="112"/>
  <c r="E94" i="112"/>
  <c r="K93" i="112"/>
  <c r="H93" i="112"/>
  <c r="E93" i="112"/>
  <c r="K92" i="112"/>
  <c r="H92" i="112"/>
  <c r="E92" i="112"/>
  <c r="K91" i="112"/>
  <c r="H91" i="112"/>
  <c r="E91" i="112"/>
  <c r="K90" i="112"/>
  <c r="H90" i="112"/>
  <c r="E90" i="112"/>
  <c r="K89" i="112"/>
  <c r="H89" i="112"/>
  <c r="E89" i="112"/>
  <c r="K88" i="112"/>
  <c r="H88" i="112"/>
  <c r="E88" i="112"/>
  <c r="K87" i="112"/>
  <c r="H87" i="112"/>
  <c r="E87" i="112"/>
  <c r="K86" i="112"/>
  <c r="H86" i="112"/>
  <c r="E86" i="112"/>
  <c r="K85" i="112"/>
  <c r="H85" i="112"/>
  <c r="E85" i="112"/>
  <c r="K84" i="112"/>
  <c r="H84" i="112"/>
  <c r="E84" i="112"/>
  <c r="K83" i="112"/>
  <c r="H83" i="112"/>
  <c r="E83" i="112"/>
  <c r="K82" i="112"/>
  <c r="H82" i="112"/>
  <c r="E82" i="112"/>
  <c r="K81" i="112"/>
  <c r="H81" i="112"/>
  <c r="E81" i="112"/>
  <c r="K80" i="112"/>
  <c r="H80" i="112"/>
  <c r="E80" i="112"/>
  <c r="K79" i="112"/>
  <c r="H79" i="112"/>
  <c r="E79" i="112"/>
  <c r="K78" i="112"/>
  <c r="H78" i="112"/>
  <c r="E78" i="112"/>
  <c r="K77" i="112"/>
  <c r="H77" i="112"/>
  <c r="E77" i="112"/>
  <c r="K76" i="112"/>
  <c r="H76" i="112"/>
  <c r="E76" i="112"/>
  <c r="K75" i="112"/>
  <c r="H75" i="112"/>
  <c r="E75" i="112"/>
  <c r="K74" i="112"/>
  <c r="H74" i="112"/>
  <c r="E74" i="112"/>
  <c r="K73" i="112"/>
  <c r="H73" i="112"/>
  <c r="E73" i="112"/>
  <c r="K72" i="112"/>
  <c r="H72" i="112"/>
  <c r="E72" i="112"/>
  <c r="K71" i="112"/>
  <c r="H71" i="112"/>
  <c r="E71" i="112"/>
  <c r="K70" i="112"/>
  <c r="H70" i="112"/>
  <c r="E70" i="112"/>
  <c r="K69" i="112"/>
  <c r="H69" i="112"/>
  <c r="E69" i="112"/>
  <c r="K68" i="112"/>
  <c r="H68" i="112"/>
  <c r="E68" i="112"/>
  <c r="K67" i="112"/>
  <c r="H67" i="112"/>
  <c r="E67" i="112"/>
  <c r="K66" i="112"/>
  <c r="H66" i="112"/>
  <c r="E66" i="112"/>
  <c r="K65" i="112"/>
  <c r="H65" i="112"/>
  <c r="E65" i="112"/>
  <c r="K64" i="112"/>
  <c r="H64" i="112"/>
  <c r="E64" i="112"/>
  <c r="K63" i="112"/>
  <c r="H63" i="112"/>
  <c r="E63" i="112"/>
  <c r="K62" i="112"/>
  <c r="H62" i="112"/>
  <c r="E62" i="112"/>
  <c r="K61" i="112"/>
  <c r="H61" i="112"/>
  <c r="E61" i="112"/>
  <c r="K60" i="112"/>
  <c r="H60" i="112"/>
  <c r="E60" i="112"/>
  <c r="K59" i="112"/>
  <c r="H59" i="112"/>
  <c r="E59" i="112"/>
  <c r="K58" i="112"/>
  <c r="H58" i="112"/>
  <c r="E58" i="112"/>
  <c r="K57" i="112"/>
  <c r="H57" i="112"/>
  <c r="E57" i="112"/>
  <c r="K56" i="112"/>
  <c r="H56" i="112"/>
  <c r="E56" i="112"/>
  <c r="K55" i="112"/>
  <c r="H55" i="112"/>
  <c r="E55" i="112"/>
  <c r="K54" i="112"/>
  <c r="H54" i="112"/>
  <c r="E54" i="112"/>
  <c r="K53" i="112"/>
  <c r="H53" i="112"/>
  <c r="E53" i="112"/>
  <c r="K52" i="112"/>
  <c r="H52" i="112"/>
  <c r="E52" i="112"/>
  <c r="K51" i="112"/>
  <c r="H51" i="112"/>
  <c r="E51" i="112"/>
  <c r="K50" i="112"/>
  <c r="H50" i="112"/>
  <c r="E50" i="112"/>
  <c r="K49" i="112"/>
  <c r="H49" i="112"/>
  <c r="E49" i="112"/>
  <c r="K48" i="112"/>
  <c r="H48" i="112"/>
  <c r="E48" i="112"/>
  <c r="K47" i="112"/>
  <c r="H47" i="112"/>
  <c r="E47" i="112"/>
  <c r="K46" i="112"/>
  <c r="H46" i="112"/>
  <c r="E46" i="112"/>
  <c r="K45" i="112"/>
  <c r="H45" i="112"/>
  <c r="E45" i="112"/>
  <c r="K44" i="112"/>
  <c r="H44" i="112"/>
  <c r="E44" i="112"/>
  <c r="K43" i="112"/>
  <c r="H43" i="112"/>
  <c r="E43" i="112"/>
  <c r="K42" i="112"/>
  <c r="H42" i="112"/>
  <c r="E42" i="112"/>
  <c r="K41" i="112"/>
  <c r="H41" i="112"/>
  <c r="E41" i="112"/>
  <c r="K40" i="112"/>
  <c r="H40" i="112"/>
  <c r="E40" i="112"/>
  <c r="K39" i="112"/>
  <c r="H39" i="112"/>
  <c r="E39" i="112"/>
  <c r="K38" i="112"/>
  <c r="H38" i="112"/>
  <c r="E38" i="112"/>
  <c r="K37" i="112"/>
  <c r="H37" i="112"/>
  <c r="E37" i="112"/>
  <c r="K36" i="112"/>
  <c r="H36" i="112"/>
  <c r="E36" i="112"/>
  <c r="K35" i="112"/>
  <c r="H35" i="112"/>
  <c r="E35" i="112"/>
  <c r="K34" i="112"/>
  <c r="H34" i="112"/>
  <c r="E34" i="112"/>
  <c r="K33" i="112"/>
  <c r="H33" i="112"/>
  <c r="E33" i="112"/>
  <c r="K32" i="112"/>
  <c r="H32" i="112"/>
  <c r="E32" i="112"/>
  <c r="K31" i="112"/>
  <c r="H31" i="112"/>
  <c r="E31" i="112"/>
  <c r="K30" i="112"/>
  <c r="H30" i="112"/>
  <c r="E30" i="112"/>
  <c r="K29" i="112"/>
  <c r="H29" i="112"/>
  <c r="E29" i="112"/>
  <c r="K28" i="112"/>
  <c r="H28" i="112"/>
  <c r="E28" i="112"/>
  <c r="K27" i="112"/>
  <c r="H27" i="112"/>
  <c r="E27" i="112"/>
  <c r="K26" i="112"/>
  <c r="H26" i="112"/>
  <c r="E26" i="112"/>
  <c r="K25" i="112"/>
  <c r="H25" i="112"/>
  <c r="E25" i="112"/>
  <c r="K24" i="112"/>
  <c r="H24" i="112"/>
  <c r="E24" i="112"/>
  <c r="K23" i="112"/>
  <c r="H23" i="112"/>
  <c r="E23" i="112"/>
  <c r="K22" i="112"/>
  <c r="H22" i="112"/>
  <c r="E22" i="112"/>
  <c r="K21" i="112"/>
  <c r="H21" i="112"/>
  <c r="E21" i="112"/>
  <c r="K20" i="112"/>
  <c r="H20" i="112"/>
  <c r="E20" i="112"/>
  <c r="K19" i="112"/>
  <c r="H19" i="112"/>
  <c r="E19" i="112"/>
  <c r="K18" i="112"/>
  <c r="H18" i="112"/>
  <c r="E18" i="112"/>
  <c r="K17" i="112"/>
  <c r="H17" i="112"/>
  <c r="E17" i="112"/>
  <c r="K16" i="112"/>
  <c r="H16" i="112"/>
  <c r="E16" i="112"/>
  <c r="K15" i="112"/>
  <c r="H15" i="112"/>
  <c r="E15" i="112"/>
  <c r="K14" i="112"/>
  <c r="H14" i="112"/>
  <c r="E14" i="112"/>
  <c r="K13" i="112"/>
  <c r="H13" i="112"/>
  <c r="E13" i="112"/>
  <c r="K12" i="112"/>
  <c r="H12" i="112"/>
  <c r="E12" i="112"/>
  <c r="K11" i="112"/>
  <c r="H11" i="112"/>
  <c r="E11" i="112"/>
  <c r="S10" i="112"/>
  <c r="R10" i="112"/>
  <c r="R8" i="112" s="1"/>
  <c r="Q10" i="112"/>
  <c r="Q8" i="112" s="1"/>
  <c r="P10" i="112"/>
  <c r="P8" i="112" s="1"/>
  <c r="O10" i="112"/>
  <c r="N10" i="112"/>
  <c r="N8" i="112" s="1"/>
  <c r="M10" i="112"/>
  <c r="M8" i="112" s="1"/>
  <c r="L10" i="112"/>
  <c r="J10" i="112"/>
  <c r="J8" i="112" s="1"/>
  <c r="I10" i="112"/>
  <c r="I8" i="112" s="1"/>
  <c r="G10" i="112"/>
  <c r="G8" i="112" s="1"/>
  <c r="F10" i="112"/>
  <c r="F8" i="112" s="1"/>
  <c r="K9" i="112"/>
  <c r="E9" i="112"/>
  <c r="D9" i="112" s="1"/>
  <c r="S8" i="112" l="1"/>
  <c r="O8" i="112"/>
  <c r="D73" i="112"/>
  <c r="D87" i="112"/>
  <c r="D31" i="112"/>
  <c r="D137" i="112"/>
  <c r="D32" i="112"/>
  <c r="D56" i="112"/>
  <c r="D19" i="112"/>
  <c r="D30" i="112"/>
  <c r="D48" i="112"/>
  <c r="D152" i="112"/>
  <c r="D24" i="112"/>
  <c r="D80" i="112"/>
  <c r="D57" i="112"/>
  <c r="D130" i="112"/>
  <c r="D138" i="112"/>
  <c r="D50" i="112"/>
  <c r="D26" i="112"/>
  <c r="D84" i="112"/>
  <c r="D101" i="112"/>
  <c r="D14" i="112"/>
  <c r="D38" i="112"/>
  <c r="D42" i="112"/>
  <c r="D53" i="112"/>
  <c r="D149" i="112"/>
  <c r="D27" i="112"/>
  <c r="D62" i="112"/>
  <c r="D78" i="112"/>
  <c r="D85" i="112"/>
  <c r="D89" i="112"/>
  <c r="D150" i="112"/>
  <c r="D90" i="112"/>
  <c r="D102" i="112"/>
  <c r="D20" i="112"/>
  <c r="D103" i="112"/>
  <c r="D119" i="112"/>
  <c r="D131" i="112"/>
  <c r="D151" i="112"/>
  <c r="D16" i="112"/>
  <c r="D55" i="112"/>
  <c r="D79" i="112"/>
  <c r="D143" i="112"/>
  <c r="D72" i="112"/>
  <c r="D96" i="112"/>
  <c r="D13" i="112"/>
  <c r="D136" i="112"/>
  <c r="D148" i="112"/>
  <c r="D83" i="112"/>
  <c r="D43" i="112"/>
  <c r="D91" i="112"/>
  <c r="D124" i="112"/>
  <c r="D35" i="112"/>
  <c r="D54" i="112"/>
  <c r="D66" i="112"/>
  <c r="D88" i="112"/>
  <c r="D100" i="112"/>
  <c r="D112" i="112"/>
  <c r="D142" i="112"/>
  <c r="D146" i="112"/>
  <c r="D11" i="112"/>
  <c r="D12" i="112"/>
  <c r="D36" i="112"/>
  <c r="D51" i="112"/>
  <c r="D97" i="112"/>
  <c r="D132" i="112"/>
  <c r="D139" i="112"/>
  <c r="D25" i="112"/>
  <c r="D40" i="112"/>
  <c r="D44" i="112"/>
  <c r="D74" i="112"/>
  <c r="D81" i="112"/>
  <c r="D92" i="112"/>
  <c r="D113" i="112"/>
  <c r="D125" i="112"/>
  <c r="D67" i="112"/>
  <c r="D93" i="112"/>
  <c r="D33" i="112"/>
  <c r="D37" i="112"/>
  <c r="D18" i="112"/>
  <c r="D29" i="112"/>
  <c r="D60" i="112"/>
  <c r="D86" i="112"/>
  <c r="D98" i="112"/>
  <c r="D106" i="112"/>
  <c r="D118" i="112"/>
  <c r="D126" i="112"/>
  <c r="D140" i="112"/>
  <c r="D144" i="112"/>
  <c r="D49" i="112"/>
  <c r="D68" i="112"/>
  <c r="D82" i="112"/>
  <c r="D114" i="112"/>
  <c r="D34" i="112"/>
  <c r="D145" i="112"/>
  <c r="D61" i="112"/>
  <c r="D99" i="112"/>
  <c r="D107" i="112"/>
  <c r="D141" i="112"/>
  <c r="H8" i="112"/>
  <c r="D104" i="112"/>
  <c r="D41" i="112"/>
  <c r="D65" i="112"/>
  <c r="D108" i="112"/>
  <c r="D115" i="112"/>
  <c r="D122" i="112"/>
  <c r="D21" i="112"/>
  <c r="D28" i="112"/>
  <c r="D45" i="112"/>
  <c r="D52" i="112"/>
  <c r="D69" i="112"/>
  <c r="D76" i="112"/>
  <c r="D129" i="112"/>
  <c r="D133" i="112"/>
  <c r="D17" i="112"/>
  <c r="H10" i="112"/>
  <c r="D147" i="112"/>
  <c r="D59" i="112"/>
  <c r="D94" i="112"/>
  <c r="D105" i="112"/>
  <c r="D109" i="112"/>
  <c r="D58" i="112"/>
  <c r="D15" i="112"/>
  <c r="D22" i="112"/>
  <c r="D39" i="112"/>
  <c r="D46" i="112"/>
  <c r="D63" i="112"/>
  <c r="D116" i="112"/>
  <c r="D123" i="112"/>
  <c r="D111" i="112"/>
  <c r="K10" i="112"/>
  <c r="D70" i="112"/>
  <c r="D77" i="112"/>
  <c r="D120" i="112"/>
  <c r="D127" i="112"/>
  <c r="D134" i="112"/>
  <c r="D110" i="112"/>
  <c r="D64" i="112"/>
  <c r="D117" i="112"/>
  <c r="D121" i="112"/>
  <c r="D23" i="112"/>
  <c r="D47" i="112"/>
  <c r="D71" i="112"/>
  <c r="D75" i="112"/>
  <c r="D128" i="112"/>
  <c r="D135" i="112"/>
  <c r="E8" i="112"/>
  <c r="L8" i="112"/>
  <c r="E10" i="112"/>
  <c r="D10" i="112" l="1"/>
  <c r="K8" i="112"/>
  <c r="D8" i="112" l="1"/>
  <c r="G38" i="20" l="1"/>
  <c r="G45" i="20"/>
  <c r="G43" i="20"/>
  <c r="G36" i="20"/>
  <c r="AZ45" i="111"/>
  <c r="AY45" i="111"/>
  <c r="AX45" i="111"/>
  <c r="AW45" i="111"/>
  <c r="AV45" i="111"/>
  <c r="AU45" i="111"/>
  <c r="AT45" i="111"/>
  <c r="AS45" i="111"/>
  <c r="AR45" i="111"/>
  <c r="AQ45" i="111"/>
  <c r="AP45" i="111"/>
  <c r="AO45" i="111"/>
  <c r="AN45" i="111"/>
  <c r="AM45" i="111"/>
  <c r="AK45" i="111"/>
  <c r="AJ45" i="111"/>
  <c r="AI45" i="111"/>
  <c r="AH45" i="111"/>
  <c r="AG45" i="111"/>
  <c r="AF45" i="111"/>
  <c r="AE45" i="111"/>
  <c r="AD45" i="111"/>
  <c r="AC45" i="111"/>
  <c r="AB45" i="111"/>
  <c r="AA45" i="111"/>
  <c r="Z45" i="111"/>
  <c r="Y45" i="111"/>
  <c r="X45" i="111"/>
  <c r="W45" i="111"/>
  <c r="V45" i="111"/>
  <c r="AL44" i="111"/>
  <c r="U44" i="111"/>
  <c r="T44" i="111"/>
  <c r="S44" i="111"/>
  <c r="R44" i="111"/>
  <c r="Q44" i="111"/>
  <c r="P44" i="111"/>
  <c r="O44" i="111"/>
  <c r="N44" i="111"/>
  <c r="M44" i="111"/>
  <c r="L44" i="111"/>
  <c r="K44" i="111"/>
  <c r="J44" i="111"/>
  <c r="I44" i="111"/>
  <c r="H44" i="111"/>
  <c r="G44" i="111"/>
  <c r="F44" i="111"/>
  <c r="E44" i="111"/>
  <c r="AL43" i="111"/>
  <c r="U43" i="111"/>
  <c r="T43" i="111"/>
  <c r="S43" i="111"/>
  <c r="R43" i="111"/>
  <c r="Q43" i="111"/>
  <c r="P43" i="111"/>
  <c r="O43" i="111"/>
  <c r="N43" i="111"/>
  <c r="M43" i="111"/>
  <c r="L43" i="111"/>
  <c r="K43" i="111"/>
  <c r="J43" i="111"/>
  <c r="I43" i="111"/>
  <c r="H43" i="111"/>
  <c r="G43" i="111"/>
  <c r="F43" i="111"/>
  <c r="E43" i="111"/>
  <c r="AL42" i="111"/>
  <c r="U42" i="111"/>
  <c r="T42" i="111"/>
  <c r="S42" i="111"/>
  <c r="R42" i="111"/>
  <c r="Q42" i="111"/>
  <c r="P42" i="111"/>
  <c r="O42" i="111"/>
  <c r="N42" i="111"/>
  <c r="M42" i="111"/>
  <c r="L42" i="111"/>
  <c r="K42" i="111"/>
  <c r="J42" i="111"/>
  <c r="I42" i="111"/>
  <c r="H42" i="111"/>
  <c r="G42" i="111"/>
  <c r="F42" i="111"/>
  <c r="E42" i="111"/>
  <c r="AL41" i="111"/>
  <c r="U41" i="111"/>
  <c r="T41" i="111"/>
  <c r="S41" i="111"/>
  <c r="R41" i="111"/>
  <c r="Q41" i="111"/>
  <c r="P41" i="111"/>
  <c r="O41" i="111"/>
  <c r="N41" i="111"/>
  <c r="M41" i="111"/>
  <c r="L41" i="111"/>
  <c r="K41" i="111"/>
  <c r="J41" i="111"/>
  <c r="I41" i="111"/>
  <c r="H41" i="111"/>
  <c r="G41" i="111"/>
  <c r="F41" i="111"/>
  <c r="E41" i="111"/>
  <c r="AL40" i="111"/>
  <c r="U40" i="111"/>
  <c r="T40" i="111"/>
  <c r="S40" i="111"/>
  <c r="R40" i="111"/>
  <c r="Q40" i="111"/>
  <c r="P40" i="111"/>
  <c r="O40" i="111"/>
  <c r="N40" i="111"/>
  <c r="M40" i="111"/>
  <c r="L40" i="111"/>
  <c r="K40" i="111"/>
  <c r="J40" i="111"/>
  <c r="I40" i="111"/>
  <c r="H40" i="111"/>
  <c r="G40" i="111"/>
  <c r="F40" i="111"/>
  <c r="E40" i="111"/>
  <c r="AL39" i="111"/>
  <c r="U39" i="111"/>
  <c r="T39" i="111"/>
  <c r="S39" i="111"/>
  <c r="R39" i="111"/>
  <c r="Q39" i="111"/>
  <c r="P39" i="111"/>
  <c r="O39" i="111"/>
  <c r="N39" i="111"/>
  <c r="M39" i="111"/>
  <c r="L39" i="111"/>
  <c r="K39" i="111"/>
  <c r="J39" i="111"/>
  <c r="I39" i="111"/>
  <c r="H39" i="111"/>
  <c r="G39" i="111"/>
  <c r="F39" i="111"/>
  <c r="E39" i="111"/>
  <c r="AL38" i="111"/>
  <c r="U38" i="111"/>
  <c r="T38" i="111"/>
  <c r="S38" i="111"/>
  <c r="R38" i="111"/>
  <c r="Q38" i="111"/>
  <c r="P38" i="111"/>
  <c r="O38" i="111"/>
  <c r="N38" i="111"/>
  <c r="M38" i="111"/>
  <c r="L38" i="111"/>
  <c r="K38" i="111"/>
  <c r="J38" i="111"/>
  <c r="I38" i="111"/>
  <c r="H38" i="111"/>
  <c r="G38" i="111"/>
  <c r="F38" i="111"/>
  <c r="E38" i="111"/>
  <c r="AL37" i="111"/>
  <c r="U37" i="111"/>
  <c r="T37" i="111"/>
  <c r="S37" i="111"/>
  <c r="R37" i="111"/>
  <c r="Q37" i="111"/>
  <c r="P37" i="111"/>
  <c r="O37" i="111"/>
  <c r="N37" i="111"/>
  <c r="M37" i="111"/>
  <c r="L37" i="111"/>
  <c r="K37" i="111"/>
  <c r="J37" i="111"/>
  <c r="I37" i="111"/>
  <c r="H37" i="111"/>
  <c r="G37" i="111"/>
  <c r="F37" i="111"/>
  <c r="E37" i="111"/>
  <c r="AL36" i="111"/>
  <c r="U36" i="111"/>
  <c r="T36" i="111"/>
  <c r="S36" i="111"/>
  <c r="R36" i="111"/>
  <c r="Q36" i="111"/>
  <c r="P36" i="111"/>
  <c r="O36" i="111"/>
  <c r="N36" i="111"/>
  <c r="M36" i="111"/>
  <c r="L36" i="111"/>
  <c r="K36" i="111"/>
  <c r="J36" i="111"/>
  <c r="I36" i="111"/>
  <c r="H36" i="111"/>
  <c r="G36" i="111"/>
  <c r="F36" i="111"/>
  <c r="E36" i="111"/>
  <c r="AL35" i="111"/>
  <c r="U35" i="111"/>
  <c r="T35" i="111"/>
  <c r="S35" i="111"/>
  <c r="R35" i="111"/>
  <c r="Q35" i="111"/>
  <c r="P35" i="111"/>
  <c r="O35" i="111"/>
  <c r="N35" i="111"/>
  <c r="M35" i="111"/>
  <c r="L35" i="111"/>
  <c r="K35" i="111"/>
  <c r="J35" i="111"/>
  <c r="I35" i="111"/>
  <c r="H35" i="111"/>
  <c r="G35" i="111"/>
  <c r="F35" i="111"/>
  <c r="E35" i="111"/>
  <c r="AL34" i="111"/>
  <c r="U34" i="111"/>
  <c r="T34" i="111"/>
  <c r="S34" i="111"/>
  <c r="R34" i="111"/>
  <c r="Q34" i="111"/>
  <c r="P34" i="111"/>
  <c r="O34" i="111"/>
  <c r="N34" i="111"/>
  <c r="M34" i="111"/>
  <c r="L34" i="111"/>
  <c r="K34" i="111"/>
  <c r="J34" i="111"/>
  <c r="I34" i="111"/>
  <c r="H34" i="111"/>
  <c r="G34" i="111"/>
  <c r="F34" i="111"/>
  <c r="E34" i="111"/>
  <c r="AL33" i="111"/>
  <c r="U33" i="111"/>
  <c r="T33" i="111"/>
  <c r="S33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AL32" i="111"/>
  <c r="U32" i="111"/>
  <c r="T32" i="111"/>
  <c r="S32" i="111"/>
  <c r="R32" i="111"/>
  <c r="Q32" i="111"/>
  <c r="P32" i="111"/>
  <c r="O32" i="111"/>
  <c r="N32" i="111"/>
  <c r="M32" i="111"/>
  <c r="L32" i="111"/>
  <c r="K32" i="111"/>
  <c r="J32" i="111"/>
  <c r="I32" i="111"/>
  <c r="H32" i="111"/>
  <c r="G32" i="111"/>
  <c r="F32" i="111"/>
  <c r="E32" i="111"/>
  <c r="AL31" i="111"/>
  <c r="U31" i="111"/>
  <c r="T31" i="111"/>
  <c r="S31" i="111"/>
  <c r="R31" i="111"/>
  <c r="Q31" i="111"/>
  <c r="P31" i="111"/>
  <c r="O31" i="111"/>
  <c r="N31" i="111"/>
  <c r="M31" i="111"/>
  <c r="L31" i="111"/>
  <c r="K31" i="111"/>
  <c r="J31" i="111"/>
  <c r="I31" i="111"/>
  <c r="H31" i="111"/>
  <c r="G31" i="111"/>
  <c r="F31" i="111"/>
  <c r="E31" i="111"/>
  <c r="AL30" i="111"/>
  <c r="U30" i="111"/>
  <c r="T30" i="111"/>
  <c r="S30" i="111"/>
  <c r="R30" i="111"/>
  <c r="Q30" i="111"/>
  <c r="P30" i="111"/>
  <c r="O30" i="111"/>
  <c r="N30" i="111"/>
  <c r="M30" i="111"/>
  <c r="L30" i="111"/>
  <c r="K30" i="111"/>
  <c r="J30" i="111"/>
  <c r="I30" i="111"/>
  <c r="H30" i="111"/>
  <c r="G30" i="111"/>
  <c r="F30" i="111"/>
  <c r="E30" i="111"/>
  <c r="AL29" i="111"/>
  <c r="U29" i="111"/>
  <c r="T29" i="111"/>
  <c r="S29" i="111"/>
  <c r="R29" i="111"/>
  <c r="Q29" i="111"/>
  <c r="P29" i="111"/>
  <c r="O29" i="111"/>
  <c r="N29" i="111"/>
  <c r="M29" i="111"/>
  <c r="L29" i="111"/>
  <c r="K29" i="111"/>
  <c r="J29" i="111"/>
  <c r="I29" i="111"/>
  <c r="H29" i="111"/>
  <c r="G29" i="111"/>
  <c r="F29" i="111"/>
  <c r="E29" i="111"/>
  <c r="AL28" i="111"/>
  <c r="U28" i="111"/>
  <c r="T28" i="111"/>
  <c r="S28" i="111"/>
  <c r="R28" i="111"/>
  <c r="Q28" i="111"/>
  <c r="P28" i="111"/>
  <c r="O28" i="111"/>
  <c r="N28" i="111"/>
  <c r="M28" i="111"/>
  <c r="L28" i="111"/>
  <c r="K28" i="111"/>
  <c r="J28" i="111"/>
  <c r="I28" i="111"/>
  <c r="H28" i="111"/>
  <c r="G28" i="111"/>
  <c r="F28" i="111"/>
  <c r="E28" i="111"/>
  <c r="AL27" i="111"/>
  <c r="U27" i="111"/>
  <c r="T27" i="111"/>
  <c r="S27" i="111"/>
  <c r="R27" i="111"/>
  <c r="Q27" i="111"/>
  <c r="P27" i="111"/>
  <c r="O27" i="111"/>
  <c r="N27" i="111"/>
  <c r="M27" i="111"/>
  <c r="L27" i="111"/>
  <c r="K27" i="111"/>
  <c r="J27" i="111"/>
  <c r="I27" i="111"/>
  <c r="H27" i="111"/>
  <c r="G27" i="111"/>
  <c r="F27" i="111"/>
  <c r="E27" i="111"/>
  <c r="AL26" i="111"/>
  <c r="U26" i="111"/>
  <c r="T26" i="111"/>
  <c r="S26" i="111"/>
  <c r="R26" i="111"/>
  <c r="Q26" i="111"/>
  <c r="P26" i="111"/>
  <c r="O26" i="111"/>
  <c r="N26" i="111"/>
  <c r="M26" i="111"/>
  <c r="L26" i="111"/>
  <c r="K26" i="111"/>
  <c r="J26" i="111"/>
  <c r="I26" i="111"/>
  <c r="H26" i="111"/>
  <c r="G26" i="111"/>
  <c r="F26" i="111"/>
  <c r="E26" i="111"/>
  <c r="AL25" i="111"/>
  <c r="U25" i="111"/>
  <c r="T25" i="111"/>
  <c r="S25" i="111"/>
  <c r="R25" i="111"/>
  <c r="Q25" i="111"/>
  <c r="P25" i="111"/>
  <c r="O25" i="111"/>
  <c r="N25" i="111"/>
  <c r="M25" i="111"/>
  <c r="L25" i="111"/>
  <c r="K25" i="111"/>
  <c r="J25" i="111"/>
  <c r="I25" i="111"/>
  <c r="H25" i="111"/>
  <c r="G25" i="111"/>
  <c r="F25" i="111"/>
  <c r="E25" i="111"/>
  <c r="AL24" i="111"/>
  <c r="U24" i="111"/>
  <c r="T24" i="111"/>
  <c r="S24" i="111"/>
  <c r="R24" i="111"/>
  <c r="Q24" i="111"/>
  <c r="P24" i="111"/>
  <c r="O24" i="111"/>
  <c r="N24" i="111"/>
  <c r="M24" i="111"/>
  <c r="L24" i="111"/>
  <c r="K24" i="111"/>
  <c r="J24" i="111"/>
  <c r="I24" i="111"/>
  <c r="H24" i="111"/>
  <c r="G24" i="111"/>
  <c r="F24" i="111"/>
  <c r="E24" i="111"/>
  <c r="AL23" i="111"/>
  <c r="U23" i="111"/>
  <c r="T23" i="111"/>
  <c r="S23" i="111"/>
  <c r="R23" i="111"/>
  <c r="Q23" i="111"/>
  <c r="P23" i="111"/>
  <c r="O23" i="111"/>
  <c r="N23" i="111"/>
  <c r="M23" i="111"/>
  <c r="L23" i="111"/>
  <c r="K23" i="111"/>
  <c r="J23" i="111"/>
  <c r="I23" i="111"/>
  <c r="H23" i="111"/>
  <c r="G23" i="111"/>
  <c r="F23" i="111"/>
  <c r="E23" i="111"/>
  <c r="AL22" i="111"/>
  <c r="U22" i="111"/>
  <c r="T22" i="111"/>
  <c r="S22" i="111"/>
  <c r="R22" i="111"/>
  <c r="Q22" i="111"/>
  <c r="P22" i="111"/>
  <c r="O22" i="111"/>
  <c r="N22" i="111"/>
  <c r="M22" i="111"/>
  <c r="L22" i="111"/>
  <c r="K22" i="111"/>
  <c r="J22" i="111"/>
  <c r="I22" i="111"/>
  <c r="H22" i="111"/>
  <c r="G22" i="111"/>
  <c r="F22" i="111"/>
  <c r="E22" i="111"/>
  <c r="AL21" i="111"/>
  <c r="U21" i="111"/>
  <c r="T21" i="111"/>
  <c r="S21" i="111"/>
  <c r="R21" i="111"/>
  <c r="Q21" i="111"/>
  <c r="P21" i="111"/>
  <c r="O21" i="111"/>
  <c r="N21" i="111"/>
  <c r="M21" i="111"/>
  <c r="L21" i="111"/>
  <c r="K21" i="111"/>
  <c r="J21" i="111"/>
  <c r="I21" i="111"/>
  <c r="H21" i="111"/>
  <c r="G21" i="111"/>
  <c r="F21" i="111"/>
  <c r="E21" i="111"/>
  <c r="AL20" i="111"/>
  <c r="U20" i="111"/>
  <c r="T20" i="111"/>
  <c r="S20" i="111"/>
  <c r="R20" i="111"/>
  <c r="Q20" i="111"/>
  <c r="P20" i="111"/>
  <c r="O20" i="111"/>
  <c r="N20" i="111"/>
  <c r="M20" i="111"/>
  <c r="L20" i="111"/>
  <c r="K20" i="111"/>
  <c r="J20" i="111"/>
  <c r="I20" i="111"/>
  <c r="H20" i="111"/>
  <c r="G20" i="111"/>
  <c r="F20" i="111"/>
  <c r="E20" i="111"/>
  <c r="AL19" i="111"/>
  <c r="U19" i="111"/>
  <c r="T19" i="111"/>
  <c r="S19" i="111"/>
  <c r="R19" i="111"/>
  <c r="Q19" i="111"/>
  <c r="P19" i="111"/>
  <c r="O19" i="111"/>
  <c r="N19" i="111"/>
  <c r="M19" i="111"/>
  <c r="L19" i="111"/>
  <c r="K19" i="111"/>
  <c r="J19" i="111"/>
  <c r="I19" i="111"/>
  <c r="H19" i="111"/>
  <c r="G19" i="111"/>
  <c r="F19" i="111"/>
  <c r="E19" i="111"/>
  <c r="AL18" i="111"/>
  <c r="U18" i="111"/>
  <c r="T18" i="111"/>
  <c r="S18" i="111"/>
  <c r="R18" i="111"/>
  <c r="Q18" i="111"/>
  <c r="P18" i="111"/>
  <c r="O18" i="111"/>
  <c r="N18" i="111"/>
  <c r="M18" i="111"/>
  <c r="L18" i="111"/>
  <c r="K18" i="111"/>
  <c r="J18" i="111"/>
  <c r="I18" i="111"/>
  <c r="H18" i="111"/>
  <c r="G18" i="111"/>
  <c r="F18" i="111"/>
  <c r="E18" i="111"/>
  <c r="AL17" i="111"/>
  <c r="U17" i="111"/>
  <c r="T17" i="111"/>
  <c r="S17" i="111"/>
  <c r="R17" i="111"/>
  <c r="Q17" i="111"/>
  <c r="P17" i="111"/>
  <c r="O17" i="111"/>
  <c r="N17" i="111"/>
  <c r="M17" i="111"/>
  <c r="L17" i="111"/>
  <c r="K17" i="111"/>
  <c r="J17" i="111"/>
  <c r="I17" i="111"/>
  <c r="H17" i="111"/>
  <c r="G17" i="111"/>
  <c r="F17" i="111"/>
  <c r="E17" i="111"/>
  <c r="AL16" i="111"/>
  <c r="U16" i="111"/>
  <c r="T16" i="111"/>
  <c r="S16" i="111"/>
  <c r="R16" i="111"/>
  <c r="Q16" i="111"/>
  <c r="P16" i="111"/>
  <c r="O16" i="111"/>
  <c r="N16" i="111"/>
  <c r="M16" i="111"/>
  <c r="L16" i="111"/>
  <c r="K16" i="111"/>
  <c r="J16" i="111"/>
  <c r="I16" i="111"/>
  <c r="H16" i="111"/>
  <c r="G16" i="111"/>
  <c r="F16" i="111"/>
  <c r="E16" i="111"/>
  <c r="AL15" i="111"/>
  <c r="U15" i="111"/>
  <c r="T15" i="111"/>
  <c r="S15" i="111"/>
  <c r="R15" i="111"/>
  <c r="Q15" i="111"/>
  <c r="P15" i="111"/>
  <c r="O15" i="111"/>
  <c r="N15" i="111"/>
  <c r="M15" i="111"/>
  <c r="L15" i="111"/>
  <c r="K15" i="111"/>
  <c r="J15" i="111"/>
  <c r="I15" i="111"/>
  <c r="H15" i="111"/>
  <c r="G15" i="111"/>
  <c r="F15" i="111"/>
  <c r="E15" i="111"/>
  <c r="AL14" i="111"/>
  <c r="U14" i="111"/>
  <c r="T14" i="111"/>
  <c r="S14" i="111"/>
  <c r="R14" i="111"/>
  <c r="Q14" i="111"/>
  <c r="P14" i="111"/>
  <c r="O14" i="111"/>
  <c r="N14" i="111"/>
  <c r="M14" i="111"/>
  <c r="L14" i="111"/>
  <c r="K14" i="111"/>
  <c r="J14" i="111"/>
  <c r="I14" i="111"/>
  <c r="H14" i="111"/>
  <c r="G14" i="111"/>
  <c r="F14" i="111"/>
  <c r="E14" i="111"/>
  <c r="AL13" i="111"/>
  <c r="U13" i="111"/>
  <c r="T13" i="111"/>
  <c r="S13" i="111"/>
  <c r="R13" i="111"/>
  <c r="Q13" i="111"/>
  <c r="P13" i="111"/>
  <c r="O13" i="111"/>
  <c r="N13" i="111"/>
  <c r="M13" i="111"/>
  <c r="L13" i="111"/>
  <c r="K13" i="111"/>
  <c r="J13" i="111"/>
  <c r="I13" i="111"/>
  <c r="H13" i="111"/>
  <c r="G13" i="111"/>
  <c r="F13" i="111"/>
  <c r="E13" i="111"/>
  <c r="AL12" i="111"/>
  <c r="U12" i="111"/>
  <c r="T12" i="111"/>
  <c r="S12" i="111"/>
  <c r="R12" i="111"/>
  <c r="Q12" i="111"/>
  <c r="P12" i="111"/>
  <c r="O12" i="111"/>
  <c r="N12" i="111"/>
  <c r="M12" i="111"/>
  <c r="L12" i="111"/>
  <c r="K12" i="111"/>
  <c r="J12" i="111"/>
  <c r="I12" i="111"/>
  <c r="H12" i="111"/>
  <c r="G12" i="111"/>
  <c r="F12" i="111"/>
  <c r="E12" i="111"/>
  <c r="AL11" i="111"/>
  <c r="U11" i="111"/>
  <c r="T11" i="111"/>
  <c r="S11" i="111"/>
  <c r="R11" i="111"/>
  <c r="Q11" i="111"/>
  <c r="P11" i="111"/>
  <c r="O11" i="111"/>
  <c r="N11" i="111"/>
  <c r="M11" i="111"/>
  <c r="L11" i="111"/>
  <c r="K11" i="111"/>
  <c r="J11" i="111"/>
  <c r="I11" i="111"/>
  <c r="H11" i="111"/>
  <c r="G11" i="111"/>
  <c r="F11" i="111"/>
  <c r="E11" i="111"/>
  <c r="AL10" i="111"/>
  <c r="U10" i="111"/>
  <c r="T10" i="111"/>
  <c r="S10" i="111"/>
  <c r="R10" i="111"/>
  <c r="Q10" i="111"/>
  <c r="P10" i="111"/>
  <c r="O10" i="111"/>
  <c r="N10" i="111"/>
  <c r="M10" i="111"/>
  <c r="L10" i="111"/>
  <c r="K10" i="111"/>
  <c r="J10" i="111"/>
  <c r="I10" i="111"/>
  <c r="H10" i="111"/>
  <c r="G10" i="111"/>
  <c r="F10" i="111"/>
  <c r="E10" i="111"/>
  <c r="AL9" i="111"/>
  <c r="U9" i="111"/>
  <c r="T9" i="111"/>
  <c r="S9" i="111"/>
  <c r="R9" i="111"/>
  <c r="Q9" i="111"/>
  <c r="P9" i="111"/>
  <c r="O9" i="111"/>
  <c r="N9" i="111"/>
  <c r="M9" i="111"/>
  <c r="L9" i="111"/>
  <c r="K9" i="111"/>
  <c r="J9" i="111"/>
  <c r="I9" i="111"/>
  <c r="H9" i="111"/>
  <c r="G9" i="111"/>
  <c r="F9" i="111"/>
  <c r="E9" i="111"/>
  <c r="AL8" i="111"/>
  <c r="U8" i="111"/>
  <c r="T8" i="111"/>
  <c r="S8" i="111"/>
  <c r="R8" i="111"/>
  <c r="Q8" i="111"/>
  <c r="P8" i="111"/>
  <c r="O8" i="111"/>
  <c r="N8" i="111"/>
  <c r="M8" i="111"/>
  <c r="L8" i="111"/>
  <c r="K8" i="111"/>
  <c r="J8" i="111"/>
  <c r="I8" i="111"/>
  <c r="H8" i="111"/>
  <c r="G8" i="111"/>
  <c r="F8" i="111"/>
  <c r="E8" i="111"/>
  <c r="K45" i="111" l="1"/>
  <c r="S45" i="111"/>
  <c r="P45" i="111"/>
  <c r="I45" i="111"/>
  <c r="Q45" i="111"/>
  <c r="D10" i="111"/>
  <c r="D14" i="111"/>
  <c r="D18" i="111"/>
  <c r="D22" i="111"/>
  <c r="D26" i="111"/>
  <c r="D30" i="111"/>
  <c r="D34" i="111"/>
  <c r="D38" i="111"/>
  <c r="D42" i="111"/>
  <c r="J45" i="111"/>
  <c r="R45" i="111"/>
  <c r="D11" i="111"/>
  <c r="D15" i="111"/>
  <c r="D19" i="111"/>
  <c r="D23" i="111"/>
  <c r="D27" i="111"/>
  <c r="D31" i="111"/>
  <c r="D35" i="111"/>
  <c r="D39" i="111"/>
  <c r="D43" i="111"/>
  <c r="E45" i="111"/>
  <c r="U45" i="111"/>
  <c r="D12" i="111"/>
  <c r="D16" i="111"/>
  <c r="D20" i="111"/>
  <c r="D24" i="111"/>
  <c r="D28" i="111"/>
  <c r="D32" i="111"/>
  <c r="D36" i="111"/>
  <c r="D40" i="111"/>
  <c r="D44" i="111"/>
  <c r="M45" i="111"/>
  <c r="F45" i="111"/>
  <c r="N45" i="111"/>
  <c r="AL45" i="111"/>
  <c r="L45" i="111"/>
  <c r="T45" i="111"/>
  <c r="G45" i="111"/>
  <c r="D9" i="111"/>
  <c r="D13" i="111"/>
  <c r="D17" i="111"/>
  <c r="D21" i="111"/>
  <c r="D25" i="111"/>
  <c r="D29" i="111"/>
  <c r="D33" i="111"/>
  <c r="D37" i="111"/>
  <c r="D41" i="111"/>
  <c r="O45" i="111"/>
  <c r="H45" i="111"/>
  <c r="D8" i="111"/>
  <c r="D45" i="111" l="1"/>
  <c r="D16" i="110" l="1"/>
  <c r="D32" i="110"/>
  <c r="D40" i="110"/>
  <c r="D81" i="110"/>
  <c r="D82" i="110"/>
  <c r="D38" i="110"/>
  <c r="D110" i="110"/>
  <c r="D19" i="110"/>
  <c r="D27" i="110"/>
  <c r="D52" i="110"/>
  <c r="D76" i="110"/>
  <c r="D84" i="110"/>
  <c r="D92" i="110"/>
  <c r="D100" i="110"/>
  <c r="D18" i="110"/>
  <c r="D26" i="110"/>
  <c r="D50" i="110"/>
  <c r="D75" i="110"/>
  <c r="D98" i="110"/>
  <c r="D115" i="110"/>
  <c r="D15" i="110"/>
  <c r="D31" i="110"/>
  <c r="D39" i="110"/>
  <c r="D64" i="110"/>
  <c r="D72" i="110"/>
  <c r="D94" i="110"/>
  <c r="D120" i="110"/>
  <c r="D44" i="110"/>
  <c r="D49" i="110"/>
  <c r="D79" i="110"/>
  <c r="D104" i="110"/>
  <c r="D24" i="110"/>
  <c r="D14" i="110"/>
  <c r="D69" i="110"/>
  <c r="D12" i="110"/>
  <c r="D21" i="110"/>
  <c r="D29" i="110"/>
  <c r="D73" i="110"/>
  <c r="D67" i="110"/>
  <c r="D10" i="110"/>
  <c r="D113" i="110"/>
  <c r="D34" i="110"/>
  <c r="D68" i="110"/>
  <c r="D103" i="110"/>
  <c r="D112" i="110"/>
  <c r="D61" i="110"/>
  <c r="D105" i="110"/>
  <c r="D47" i="110"/>
  <c r="D58" i="110"/>
  <c r="D59" i="110"/>
  <c r="D71" i="110"/>
  <c r="L124" i="110"/>
  <c r="D93" i="110"/>
  <c r="D106" i="110"/>
  <c r="D117" i="110"/>
  <c r="D118" i="110"/>
  <c r="D37" i="110"/>
  <c r="D80" i="110"/>
  <c r="D96" i="110"/>
  <c r="D45" i="110"/>
  <c r="D46" i="110"/>
  <c r="D116" i="110"/>
  <c r="D121" i="110"/>
  <c r="D25" i="110"/>
  <c r="D23" i="110"/>
  <c r="D35" i="110"/>
  <c r="D66" i="110"/>
  <c r="D78" i="110"/>
  <c r="F124" i="110"/>
  <c r="D89" i="110"/>
  <c r="D101" i="110"/>
  <c r="D102" i="110"/>
  <c r="D107" i="110"/>
  <c r="D114" i="110"/>
  <c r="D13" i="110"/>
  <c r="D28" i="110"/>
  <c r="D33" i="110"/>
  <c r="D43" i="110"/>
  <c r="D53" i="110"/>
  <c r="D77" i="110"/>
  <c r="G124" i="110"/>
  <c r="D87" i="110"/>
  <c r="D97" i="110"/>
  <c r="D99" i="110"/>
  <c r="D111" i="110"/>
  <c r="D123" i="110"/>
  <c r="D54" i="110"/>
  <c r="D88" i="110"/>
  <c r="D48" i="110"/>
  <c r="D57" i="110"/>
  <c r="D70" i="110"/>
  <c r="H124" i="110"/>
  <c r="K124" i="110"/>
  <c r="D17" i="110"/>
  <c r="D20" i="110"/>
  <c r="D41" i="110"/>
  <c r="D42" i="110"/>
  <c r="D55" i="110"/>
  <c r="D56" i="110"/>
  <c r="D60" i="110"/>
  <c r="D62" i="110"/>
  <c r="D74" i="110"/>
  <c r="J124" i="110"/>
  <c r="D90" i="110"/>
  <c r="D91" i="110"/>
  <c r="D95" i="110"/>
  <c r="D109" i="110"/>
  <c r="D119" i="110"/>
  <c r="D122" i="110"/>
  <c r="D22" i="110"/>
  <c r="D63" i="110"/>
  <c r="D86" i="110"/>
  <c r="D11" i="110"/>
  <c r="D30" i="110"/>
  <c r="D51" i="110"/>
  <c r="D65" i="110"/>
  <c r="D108" i="110"/>
  <c r="D83" i="110"/>
  <c r="D36" i="110"/>
  <c r="E124" i="110"/>
  <c r="I124" i="110" l="1"/>
  <c r="D85" i="110"/>
  <c r="D124" i="110" s="1"/>
  <c r="F139" i="61"/>
  <c r="G139" i="61"/>
  <c r="H139" i="61"/>
  <c r="I139" i="61"/>
  <c r="J139" i="61"/>
  <c r="K139" i="61"/>
  <c r="L139" i="61"/>
  <c r="M139" i="61"/>
  <c r="N139" i="61"/>
  <c r="E139" i="61"/>
  <c r="G150" i="108" l="1"/>
  <c r="D150" i="108"/>
  <c r="G149" i="108"/>
  <c r="D149" i="108"/>
  <c r="G148" i="108"/>
  <c r="D148" i="108"/>
  <c r="G147" i="108"/>
  <c r="D147" i="108"/>
  <c r="G146" i="108"/>
  <c r="D146" i="108"/>
  <c r="G145" i="108"/>
  <c r="D145" i="108"/>
  <c r="G144" i="108"/>
  <c r="D144" i="108"/>
  <c r="G143" i="108"/>
  <c r="D143" i="108"/>
  <c r="G142" i="108"/>
  <c r="D142" i="108"/>
  <c r="G141" i="108"/>
  <c r="D141" i="108"/>
  <c r="G140" i="108"/>
  <c r="D140" i="108"/>
  <c r="G139" i="108"/>
  <c r="D139" i="108"/>
  <c r="G138" i="108"/>
  <c r="D138" i="108"/>
  <c r="G137" i="108"/>
  <c r="D137" i="108"/>
  <c r="G136" i="108"/>
  <c r="D136" i="108"/>
  <c r="G135" i="108"/>
  <c r="D135" i="108"/>
  <c r="G134" i="108"/>
  <c r="D134" i="108"/>
  <c r="G133" i="108"/>
  <c r="D133" i="108"/>
  <c r="G132" i="108"/>
  <c r="D132" i="108"/>
  <c r="G131" i="108"/>
  <c r="D131" i="108"/>
  <c r="G130" i="108"/>
  <c r="D130" i="108"/>
  <c r="G129" i="108"/>
  <c r="D129" i="108"/>
  <c r="G128" i="108"/>
  <c r="D128" i="108"/>
  <c r="G127" i="108"/>
  <c r="D127" i="108"/>
  <c r="G126" i="108"/>
  <c r="D126" i="108"/>
  <c r="G125" i="108"/>
  <c r="D125" i="108"/>
  <c r="G124" i="108"/>
  <c r="D124" i="108"/>
  <c r="G123" i="108"/>
  <c r="D123" i="108"/>
  <c r="G122" i="108"/>
  <c r="D122" i="108"/>
  <c r="G121" i="108"/>
  <c r="D121" i="108"/>
  <c r="G120" i="108"/>
  <c r="D120" i="108"/>
  <c r="G119" i="108"/>
  <c r="D119" i="108"/>
  <c r="G118" i="108"/>
  <c r="D118" i="108"/>
  <c r="G117" i="108"/>
  <c r="D117" i="108"/>
  <c r="G116" i="108"/>
  <c r="D116" i="108"/>
  <c r="G115" i="108"/>
  <c r="D115" i="108"/>
  <c r="G114" i="108"/>
  <c r="D114" i="108"/>
  <c r="G113" i="108"/>
  <c r="D113" i="108"/>
  <c r="G112" i="108"/>
  <c r="D112" i="108"/>
  <c r="G111" i="108"/>
  <c r="D111" i="108"/>
  <c r="G110" i="108"/>
  <c r="D110" i="108"/>
  <c r="G109" i="108"/>
  <c r="D109" i="108"/>
  <c r="G108" i="108"/>
  <c r="D108" i="108"/>
  <c r="G107" i="108"/>
  <c r="D107" i="108"/>
  <c r="G106" i="108"/>
  <c r="D106" i="108"/>
  <c r="G105" i="108"/>
  <c r="D105" i="108"/>
  <c r="G104" i="108"/>
  <c r="D104" i="108"/>
  <c r="G103" i="108"/>
  <c r="D103" i="108"/>
  <c r="G102" i="108"/>
  <c r="D102" i="108"/>
  <c r="G101" i="108"/>
  <c r="D101" i="108"/>
  <c r="G100" i="108"/>
  <c r="D100" i="108"/>
  <c r="G99" i="108"/>
  <c r="D99" i="108"/>
  <c r="G98" i="108"/>
  <c r="D98" i="108"/>
  <c r="G97" i="108"/>
  <c r="D97" i="108"/>
  <c r="G96" i="108"/>
  <c r="D96" i="108"/>
  <c r="G95" i="108"/>
  <c r="D95" i="108"/>
  <c r="G94" i="108"/>
  <c r="D94" i="108"/>
  <c r="G93" i="108"/>
  <c r="D93" i="108"/>
  <c r="G92" i="108"/>
  <c r="D92" i="108"/>
  <c r="G91" i="108"/>
  <c r="D91" i="108"/>
  <c r="G90" i="108"/>
  <c r="D90" i="108"/>
  <c r="G89" i="108"/>
  <c r="D89" i="108"/>
  <c r="G88" i="108"/>
  <c r="D88" i="108"/>
  <c r="G87" i="108"/>
  <c r="D87" i="108"/>
  <c r="G86" i="108"/>
  <c r="D86" i="108"/>
  <c r="G85" i="108"/>
  <c r="D85" i="108"/>
  <c r="G84" i="108"/>
  <c r="D84" i="108"/>
  <c r="G83" i="108"/>
  <c r="D83" i="108"/>
  <c r="G82" i="108"/>
  <c r="D82" i="108"/>
  <c r="G81" i="108"/>
  <c r="D81" i="108"/>
  <c r="G80" i="108"/>
  <c r="D80" i="108"/>
  <c r="G79" i="108"/>
  <c r="D79" i="108"/>
  <c r="G78" i="108"/>
  <c r="D78" i="108"/>
  <c r="G77" i="108"/>
  <c r="D77" i="108"/>
  <c r="G76" i="108"/>
  <c r="D76" i="108"/>
  <c r="G75" i="108"/>
  <c r="D75" i="108"/>
  <c r="G74" i="108"/>
  <c r="D74" i="108"/>
  <c r="G73" i="108"/>
  <c r="D73" i="108"/>
  <c r="G72" i="108"/>
  <c r="D72" i="108"/>
  <c r="G71" i="108"/>
  <c r="D71" i="108"/>
  <c r="G70" i="108"/>
  <c r="D70" i="108"/>
  <c r="G69" i="108"/>
  <c r="D69" i="108"/>
  <c r="G68" i="108"/>
  <c r="D68" i="108"/>
  <c r="G67" i="108"/>
  <c r="D67" i="108"/>
  <c r="G66" i="108"/>
  <c r="D66" i="108"/>
  <c r="G65" i="108"/>
  <c r="D65" i="108"/>
  <c r="G64" i="108"/>
  <c r="D64" i="108"/>
  <c r="G63" i="108"/>
  <c r="D63" i="108"/>
  <c r="G62" i="108"/>
  <c r="D62" i="108"/>
  <c r="G61" i="108"/>
  <c r="D61" i="108"/>
  <c r="G60" i="108"/>
  <c r="D60" i="108"/>
  <c r="G59" i="108"/>
  <c r="D59" i="108"/>
  <c r="G58" i="108"/>
  <c r="D58" i="108"/>
  <c r="G57" i="108"/>
  <c r="D57" i="108"/>
  <c r="G56" i="108"/>
  <c r="D56" i="108"/>
  <c r="G55" i="108"/>
  <c r="D55" i="108"/>
  <c r="G54" i="108"/>
  <c r="D54" i="108"/>
  <c r="G53" i="108"/>
  <c r="D53" i="108"/>
  <c r="G52" i="108"/>
  <c r="D52" i="108"/>
  <c r="G51" i="108"/>
  <c r="D51" i="108"/>
  <c r="G50" i="108"/>
  <c r="D50" i="108"/>
  <c r="G49" i="108"/>
  <c r="D49" i="108"/>
  <c r="G48" i="108"/>
  <c r="D48" i="108"/>
  <c r="G47" i="108"/>
  <c r="D47" i="108"/>
  <c r="G46" i="108"/>
  <c r="D46" i="108"/>
  <c r="G45" i="108"/>
  <c r="D45" i="108"/>
  <c r="G44" i="108"/>
  <c r="D44" i="108"/>
  <c r="G43" i="108"/>
  <c r="D43" i="108"/>
  <c r="G42" i="108"/>
  <c r="D42" i="108"/>
  <c r="G41" i="108"/>
  <c r="D41" i="108"/>
  <c r="G40" i="108"/>
  <c r="D40" i="108"/>
  <c r="G39" i="108"/>
  <c r="D39" i="108"/>
  <c r="G38" i="108"/>
  <c r="D38" i="108"/>
  <c r="G37" i="108"/>
  <c r="D37" i="108"/>
  <c r="G36" i="108"/>
  <c r="D36" i="108"/>
  <c r="J35" i="108"/>
  <c r="I35" i="108"/>
  <c r="H35" i="108"/>
  <c r="G35" i="108"/>
  <c r="F35" i="108"/>
  <c r="E35" i="108"/>
  <c r="D35" i="108"/>
  <c r="J34" i="108"/>
  <c r="I34" i="108"/>
  <c r="H34" i="108"/>
  <c r="G34" i="108"/>
  <c r="F34" i="108"/>
  <c r="E34" i="108"/>
  <c r="D34" i="108"/>
  <c r="G33" i="108"/>
  <c r="D33" i="108"/>
  <c r="G32" i="108"/>
  <c r="D32" i="108"/>
  <c r="G31" i="108"/>
  <c r="D31" i="108"/>
  <c r="G30" i="108"/>
  <c r="D30" i="108"/>
  <c r="G29" i="108"/>
  <c r="D29" i="108"/>
  <c r="G28" i="108"/>
  <c r="D28" i="108"/>
  <c r="G27" i="108"/>
  <c r="D27" i="108"/>
  <c r="G26" i="108"/>
  <c r="D26" i="108"/>
  <c r="G25" i="108"/>
  <c r="D25" i="108"/>
  <c r="G24" i="108"/>
  <c r="D24" i="108"/>
  <c r="G23" i="108"/>
  <c r="D23" i="108"/>
  <c r="G22" i="108"/>
  <c r="D22" i="108"/>
  <c r="G21" i="108"/>
  <c r="D21" i="108"/>
  <c r="G20" i="108"/>
  <c r="D20" i="108"/>
  <c r="G19" i="108"/>
  <c r="D19" i="108"/>
  <c r="G18" i="108"/>
  <c r="D18" i="108"/>
  <c r="G17" i="108"/>
  <c r="D17" i="108"/>
  <c r="G16" i="108"/>
  <c r="D16" i="108"/>
  <c r="G15" i="108"/>
  <c r="D15" i="108"/>
  <c r="G14" i="108"/>
  <c r="D14" i="108"/>
  <c r="G13" i="108"/>
  <c r="D13" i="108"/>
  <c r="G12" i="108"/>
  <c r="D12" i="108"/>
  <c r="G11" i="108"/>
  <c r="D11" i="108"/>
  <c r="G10" i="108"/>
  <c r="D10" i="108"/>
  <c r="G9" i="108"/>
  <c r="D9" i="108"/>
  <c r="I8" i="108" l="1"/>
  <c r="E8" i="108"/>
  <c r="F8" i="108"/>
  <c r="J8" i="108"/>
  <c r="D8" i="108"/>
  <c r="H8" i="108"/>
  <c r="G8" i="108"/>
  <c r="D6" i="33" l="1"/>
  <c r="Y93" i="32" l="1"/>
  <c r="G14" i="31" l="1"/>
  <c r="K7" i="30" l="1"/>
  <c r="S27" i="35" l="1"/>
  <c r="S26" i="35"/>
  <c r="M155" i="20" l="1"/>
  <c r="N155" i="20" s="1"/>
  <c r="G154" i="20"/>
  <c r="E154" i="20"/>
  <c r="N152" i="20"/>
  <c r="K146" i="20"/>
  <c r="N146" i="20" s="1"/>
  <c r="G146" i="20"/>
  <c r="I146" i="20" s="1"/>
  <c r="F146" i="20"/>
  <c r="D146" i="20"/>
  <c r="F145" i="20"/>
  <c r="D145" i="20"/>
  <c r="M144" i="20"/>
  <c r="N144" i="20" s="1"/>
  <c r="H144" i="20"/>
  <c r="J144" i="20" s="1"/>
  <c r="M139" i="20"/>
  <c r="N139" i="20" s="1"/>
  <c r="I139" i="20"/>
  <c r="J139" i="20" s="1"/>
  <c r="L137" i="20"/>
  <c r="N137" i="20" s="1"/>
  <c r="G137" i="20"/>
  <c r="F137" i="20"/>
  <c r="E137" i="20"/>
  <c r="D137" i="20"/>
  <c r="N114" i="20"/>
  <c r="N113" i="20"/>
  <c r="I113" i="20"/>
  <c r="H113" i="20"/>
  <c r="N112" i="20"/>
  <c r="I112" i="20"/>
  <c r="H112" i="20"/>
  <c r="N111" i="20"/>
  <c r="H111" i="20"/>
  <c r="J111" i="20" s="1"/>
  <c r="M110" i="20"/>
  <c r="N110" i="20" s="1"/>
  <c r="I110" i="20"/>
  <c r="H110" i="20"/>
  <c r="N109" i="20"/>
  <c r="N108" i="20"/>
  <c r="H108" i="20"/>
  <c r="J108" i="20" s="1"/>
  <c r="N107" i="20"/>
  <c r="N106" i="20"/>
  <c r="I106" i="20"/>
  <c r="H106" i="20"/>
  <c r="N105" i="20"/>
  <c r="I105" i="20"/>
  <c r="H105" i="20"/>
  <c r="N104" i="20"/>
  <c r="H104" i="20"/>
  <c r="J104" i="20" s="1"/>
  <c r="N103" i="20"/>
  <c r="I103" i="20"/>
  <c r="H103" i="20"/>
  <c r="N102" i="20"/>
  <c r="I102" i="20"/>
  <c r="H102" i="20"/>
  <c r="N101" i="20"/>
  <c r="N100" i="20"/>
  <c r="M90" i="20"/>
  <c r="K90" i="20"/>
  <c r="F90" i="20"/>
  <c r="D90" i="20"/>
  <c r="M89" i="20"/>
  <c r="N89" i="20" s="1"/>
  <c r="E89" i="20"/>
  <c r="I89" i="20" s="1"/>
  <c r="N88" i="20"/>
  <c r="G88" i="20"/>
  <c r="I88" i="20" s="1"/>
  <c r="F88" i="20"/>
  <c r="D88" i="20"/>
  <c r="N87" i="20"/>
  <c r="F87" i="20"/>
  <c r="E87" i="20"/>
  <c r="I87" i="20" s="1"/>
  <c r="D87" i="20"/>
  <c r="M86" i="20"/>
  <c r="N86" i="20" s="1"/>
  <c r="G86" i="20"/>
  <c r="I86" i="20" s="1"/>
  <c r="F86" i="20"/>
  <c r="D86" i="20"/>
  <c r="M85" i="20"/>
  <c r="N85" i="20" s="1"/>
  <c r="G85" i="20"/>
  <c r="F85" i="20"/>
  <c r="E85" i="20"/>
  <c r="D85" i="20"/>
  <c r="N84" i="20"/>
  <c r="F84" i="20"/>
  <c r="D84" i="20"/>
  <c r="F76" i="20"/>
  <c r="D76" i="20"/>
  <c r="G75" i="20"/>
  <c r="I75" i="20" s="1"/>
  <c r="F75" i="20"/>
  <c r="D75" i="20"/>
  <c r="H75" i="20" s="1"/>
  <c r="G74" i="20"/>
  <c r="I74" i="20" s="1"/>
  <c r="F74" i="20"/>
  <c r="D74" i="20"/>
  <c r="E70" i="20"/>
  <c r="I70" i="20" s="1"/>
  <c r="N63" i="20"/>
  <c r="H63" i="20"/>
  <c r="J63" i="20" s="1"/>
  <c r="M62" i="20"/>
  <c r="L62" i="20"/>
  <c r="H62" i="20"/>
  <c r="G62" i="20"/>
  <c r="E62" i="20"/>
  <c r="N61" i="20"/>
  <c r="H61" i="20"/>
  <c r="J61" i="20" s="1"/>
  <c r="M60" i="20"/>
  <c r="N60" i="20" s="1"/>
  <c r="I60" i="20"/>
  <c r="H60" i="20"/>
  <c r="M59" i="20"/>
  <c r="N59" i="20" s="1"/>
  <c r="H59" i="20"/>
  <c r="J59" i="20" s="1"/>
  <c r="M58" i="20"/>
  <c r="N58" i="20" s="1"/>
  <c r="I58" i="20"/>
  <c r="H58" i="20"/>
  <c r="N57" i="20"/>
  <c r="N56" i="20"/>
  <c r="M55" i="20"/>
  <c r="N55" i="20" s="1"/>
  <c r="I55" i="20"/>
  <c r="H55" i="20"/>
  <c r="N54" i="20"/>
  <c r="I54" i="20"/>
  <c r="H54" i="20"/>
  <c r="N53" i="20"/>
  <c r="I53" i="20"/>
  <c r="H53" i="20"/>
  <c r="N51" i="20"/>
  <c r="M50" i="20"/>
  <c r="N50" i="20" s="1"/>
  <c r="N49" i="20"/>
  <c r="I49" i="20"/>
  <c r="H49" i="20"/>
  <c r="N48" i="20"/>
  <c r="M47" i="20"/>
  <c r="N47" i="20" s="1"/>
  <c r="I47" i="20"/>
  <c r="H47" i="20"/>
  <c r="N46" i="20"/>
  <c r="N45" i="20"/>
  <c r="I45" i="20"/>
  <c r="H45" i="20"/>
  <c r="N44" i="20"/>
  <c r="I44" i="20"/>
  <c r="H44" i="20"/>
  <c r="J44" i="20" s="1"/>
  <c r="M43" i="20"/>
  <c r="N43" i="20" s="1"/>
  <c r="I43" i="20"/>
  <c r="H43" i="20"/>
  <c r="N42" i="20"/>
  <c r="I42" i="20"/>
  <c r="H42" i="20"/>
  <c r="M38" i="20"/>
  <c r="N38" i="20" s="1"/>
  <c r="M37" i="20"/>
  <c r="L37" i="20"/>
  <c r="E37" i="20"/>
  <c r="I37" i="20" s="1"/>
  <c r="D37" i="20"/>
  <c r="H37" i="20" s="1"/>
  <c r="M36" i="20"/>
  <c r="L36" i="20"/>
  <c r="F36" i="20"/>
  <c r="E36" i="20"/>
  <c r="D36" i="20"/>
  <c r="N32" i="20"/>
  <c r="I32" i="20"/>
  <c r="H32" i="20"/>
  <c r="N31" i="20"/>
  <c r="I31" i="20"/>
  <c r="H31" i="20"/>
  <c r="N30" i="20"/>
  <c r="I30" i="20"/>
  <c r="H30" i="20"/>
  <c r="J30" i="20" s="1"/>
  <c r="N29" i="20"/>
  <c r="I29" i="20"/>
  <c r="H29" i="20"/>
  <c r="J29" i="20" s="1"/>
  <c r="N28" i="20"/>
  <c r="H28" i="20"/>
  <c r="G28" i="20"/>
  <c r="E28" i="20"/>
  <c r="N27" i="20"/>
  <c r="I27" i="20"/>
  <c r="H27" i="20"/>
  <c r="M26" i="20"/>
  <c r="N26" i="20" s="1"/>
  <c r="N25" i="20"/>
  <c r="N22" i="20"/>
  <c r="H22" i="20"/>
  <c r="J22" i="20" s="1"/>
  <c r="N21" i="20"/>
  <c r="N20" i="20"/>
  <c r="N19" i="20"/>
  <c r="I19" i="20"/>
  <c r="H19" i="20"/>
  <c r="M18" i="20"/>
  <c r="N18" i="20" s="1"/>
  <c r="N17" i="20"/>
  <c r="I17" i="20"/>
  <c r="H17" i="20"/>
  <c r="M16" i="20"/>
  <c r="L16" i="20"/>
  <c r="H16" i="20"/>
  <c r="G16" i="20"/>
  <c r="E16" i="20"/>
  <c r="N15" i="20"/>
  <c r="J15" i="20"/>
  <c r="N14" i="20"/>
  <c r="H14" i="20"/>
  <c r="J14" i="20" s="1"/>
  <c r="N13" i="20"/>
  <c r="I13" i="20"/>
  <c r="H13" i="20"/>
  <c r="J13" i="20" s="1"/>
  <c r="N12" i="20"/>
  <c r="I12" i="20"/>
  <c r="H12" i="20"/>
  <c r="N11" i="20"/>
  <c r="K10" i="20"/>
  <c r="K7" i="20" s="1"/>
  <c r="J152" i="24"/>
  <c r="G152" i="24"/>
  <c r="H146" i="24"/>
  <c r="J146" i="24" s="1"/>
  <c r="G146" i="24"/>
  <c r="H114" i="24"/>
  <c r="J114" i="24" s="1"/>
  <c r="G114" i="24"/>
  <c r="J113" i="24"/>
  <c r="G113" i="24"/>
  <c r="J112" i="24"/>
  <c r="G112" i="24"/>
  <c r="J111" i="24"/>
  <c r="D111" i="24"/>
  <c r="G111" i="24" s="1"/>
  <c r="H110" i="24"/>
  <c r="J110" i="24" s="1"/>
  <c r="D110" i="24"/>
  <c r="G110" i="24" s="1"/>
  <c r="H109" i="24"/>
  <c r="J109" i="24" s="1"/>
  <c r="D109" i="24"/>
  <c r="G109" i="24" s="1"/>
  <c r="H108" i="24"/>
  <c r="J108" i="24" s="1"/>
  <c r="D108" i="24"/>
  <c r="G108" i="24" s="1"/>
  <c r="J107" i="24"/>
  <c r="G107" i="24"/>
  <c r="H106" i="24"/>
  <c r="J106" i="24" s="1"/>
  <c r="D106" i="24"/>
  <c r="G106" i="24" s="1"/>
  <c r="H105" i="24"/>
  <c r="J105" i="24" s="1"/>
  <c r="G105" i="24"/>
  <c r="H104" i="24"/>
  <c r="J104" i="24" s="1"/>
  <c r="D104" i="24"/>
  <c r="G104" i="24" s="1"/>
  <c r="H103" i="24"/>
  <c r="J103" i="24" s="1"/>
  <c r="G103" i="24"/>
  <c r="H102" i="24"/>
  <c r="J102" i="24" s="1"/>
  <c r="D102" i="24"/>
  <c r="G102" i="24" s="1"/>
  <c r="H101" i="24"/>
  <c r="J101" i="24" s="1"/>
  <c r="G101" i="24"/>
  <c r="H100" i="24"/>
  <c r="J100" i="24" s="1"/>
  <c r="G100" i="24"/>
  <c r="H63" i="24"/>
  <c r="J63" i="24" s="1"/>
  <c r="D63" i="24"/>
  <c r="G63" i="24" s="1"/>
  <c r="J62" i="24"/>
  <c r="G62" i="24"/>
  <c r="H61" i="24"/>
  <c r="J61" i="24" s="1"/>
  <c r="D61" i="24"/>
  <c r="G61" i="24" s="1"/>
  <c r="J60" i="24"/>
  <c r="D60" i="24"/>
  <c r="G60" i="24" s="1"/>
  <c r="H59" i="24"/>
  <c r="J59" i="24" s="1"/>
  <c r="G59" i="24"/>
  <c r="H58" i="24"/>
  <c r="J58" i="24" s="1"/>
  <c r="G58" i="24"/>
  <c r="H57" i="24"/>
  <c r="J57" i="24" s="1"/>
  <c r="D57" i="24"/>
  <c r="G57" i="24" s="1"/>
  <c r="H56" i="24"/>
  <c r="J56" i="24" s="1"/>
  <c r="G56" i="24"/>
  <c r="H55" i="24"/>
  <c r="J55" i="24" s="1"/>
  <c r="G55" i="24"/>
  <c r="H54" i="24"/>
  <c r="J54" i="24" s="1"/>
  <c r="G54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H44" i="24"/>
  <c r="J44" i="24" s="1"/>
  <c r="G44" i="24"/>
  <c r="H37" i="24"/>
  <c r="J37" i="24" s="1"/>
  <c r="D37" i="24"/>
  <c r="G37" i="24" s="1"/>
  <c r="H36" i="24"/>
  <c r="J36" i="24" s="1"/>
  <c r="D36" i="24"/>
  <c r="G36" i="24" s="1"/>
  <c r="J31" i="24"/>
  <c r="G31" i="24"/>
  <c r="J30" i="24"/>
  <c r="G30" i="24"/>
  <c r="H29" i="24"/>
  <c r="J29" i="24" s="1"/>
  <c r="G29" i="24"/>
  <c r="H27" i="24"/>
  <c r="J27" i="24" s="1"/>
  <c r="D27" i="24"/>
  <c r="G27" i="24" s="1"/>
  <c r="H26" i="24"/>
  <c r="J26" i="24" s="1"/>
  <c r="D26" i="24"/>
  <c r="G26" i="24" s="1"/>
  <c r="H25" i="24"/>
  <c r="J25" i="24" s="1"/>
  <c r="D25" i="24"/>
  <c r="G25" i="24" s="1"/>
  <c r="J22" i="24"/>
  <c r="G22" i="24"/>
  <c r="J21" i="24"/>
  <c r="D21" i="24"/>
  <c r="G21" i="24" s="1"/>
  <c r="H20" i="24"/>
  <c r="J20" i="24" s="1"/>
  <c r="G20" i="24"/>
  <c r="J19" i="24"/>
  <c r="D19" i="24"/>
  <c r="G19" i="24" s="1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H14" i="24"/>
  <c r="J14" i="24" s="1"/>
  <c r="D14" i="24"/>
  <c r="G14" i="24" s="1"/>
  <c r="H12" i="24"/>
  <c r="J12" i="24" s="1"/>
  <c r="G12" i="24"/>
  <c r="J11" i="24"/>
  <c r="G11" i="24"/>
  <c r="N10" i="24"/>
  <c r="N7" i="24" s="1"/>
  <c r="M10" i="24"/>
  <c r="M7" i="24" s="1"/>
  <c r="L10" i="24"/>
  <c r="L7" i="24" s="1"/>
  <c r="K10" i="24"/>
  <c r="K7" i="24" s="1"/>
  <c r="I10" i="24"/>
  <c r="I7" i="24" s="1"/>
  <c r="F10" i="24"/>
  <c r="F7" i="24" s="1"/>
  <c r="E10" i="24"/>
  <c r="E7" i="24" s="1"/>
  <c r="I148" i="25"/>
  <c r="H148" i="25"/>
  <c r="I60" i="25"/>
  <c r="H60" i="25"/>
  <c r="I56" i="25"/>
  <c r="H56" i="25"/>
  <c r="I43" i="25"/>
  <c r="H43" i="25"/>
  <c r="I41" i="25"/>
  <c r="H41" i="25"/>
  <c r="I14" i="25"/>
  <c r="H14" i="25"/>
  <c r="I11" i="25"/>
  <c r="H11" i="25"/>
  <c r="G8" i="25"/>
  <c r="G5" i="25" s="1"/>
  <c r="F8" i="25"/>
  <c r="F5" i="25" s="1"/>
  <c r="H90" i="20" l="1"/>
  <c r="J90" i="20" s="1"/>
  <c r="J113" i="20"/>
  <c r="N90" i="20"/>
  <c r="I62" i="20"/>
  <c r="H86" i="20"/>
  <c r="H88" i="20"/>
  <c r="J32" i="20"/>
  <c r="J106" i="20"/>
  <c r="J55" i="20"/>
  <c r="I154" i="20"/>
  <c r="J154" i="20" s="1"/>
  <c r="I36" i="20"/>
  <c r="H85" i="20"/>
  <c r="I16" i="20"/>
  <c r="J16" i="20" s="1"/>
  <c r="J31" i="20"/>
  <c r="J102" i="20"/>
  <c r="N62" i="20"/>
  <c r="I85" i="20"/>
  <c r="H87" i="20"/>
  <c r="J87" i="20" s="1"/>
  <c r="J105" i="20"/>
  <c r="H145" i="20"/>
  <c r="J145" i="20" s="1"/>
  <c r="I8" i="25"/>
  <c r="I5" i="25" s="1"/>
  <c r="J12" i="20"/>
  <c r="N36" i="20"/>
  <c r="J47" i="20"/>
  <c r="J49" i="20"/>
  <c r="J54" i="20"/>
  <c r="J53" i="20"/>
  <c r="J103" i="20"/>
  <c r="J110" i="20"/>
  <c r="J88" i="20"/>
  <c r="J27" i="20"/>
  <c r="J42" i="20"/>
  <c r="D10" i="24"/>
  <c r="D7" i="24" s="1"/>
  <c r="N37" i="20"/>
  <c r="J60" i="20"/>
  <c r="I137" i="20"/>
  <c r="J17" i="20"/>
  <c r="J45" i="20"/>
  <c r="H146" i="20"/>
  <c r="J146" i="20" s="1"/>
  <c r="H10" i="24"/>
  <c r="H7" i="24" s="1"/>
  <c r="E10" i="20"/>
  <c r="E7" i="20" s="1"/>
  <c r="H84" i="20"/>
  <c r="J84" i="20" s="1"/>
  <c r="L10" i="20"/>
  <c r="L7" i="20" s="1"/>
  <c r="H74" i="20"/>
  <c r="J74" i="20" s="1"/>
  <c r="D10" i="20"/>
  <c r="D7" i="20" s="1"/>
  <c r="F10" i="20"/>
  <c r="F7" i="20" s="1"/>
  <c r="I28" i="20"/>
  <c r="J28" i="20" s="1"/>
  <c r="E8" i="25"/>
  <c r="E5" i="25" s="1"/>
  <c r="J10" i="24"/>
  <c r="J7" i="24" s="1"/>
  <c r="J86" i="20"/>
  <c r="N16" i="20"/>
  <c r="H76" i="20"/>
  <c r="J76" i="20" s="1"/>
  <c r="H137" i="20"/>
  <c r="J37" i="20"/>
  <c r="G10" i="20"/>
  <c r="G7" i="20" s="1"/>
  <c r="M10" i="20"/>
  <c r="M7" i="20" s="1"/>
  <c r="J19" i="20"/>
  <c r="J43" i="20"/>
  <c r="J58" i="20"/>
  <c r="J62" i="20"/>
  <c r="J70" i="20"/>
  <c r="J75" i="20"/>
  <c r="J85" i="20"/>
  <c r="J89" i="20"/>
  <c r="J112" i="20"/>
  <c r="H36" i="20"/>
  <c r="G10" i="24"/>
  <c r="G7" i="24" s="1"/>
  <c r="D8" i="25"/>
  <c r="D5" i="25" s="1"/>
  <c r="H8" i="25"/>
  <c r="H5" i="25" s="1"/>
  <c r="D145" i="21"/>
  <c r="D113" i="21"/>
  <c r="D112" i="21"/>
  <c r="D111" i="21"/>
  <c r="D109" i="21"/>
  <c r="D108" i="21"/>
  <c r="D106" i="21"/>
  <c r="D105" i="21"/>
  <c r="D104" i="21"/>
  <c r="D103" i="21"/>
  <c r="D102" i="21"/>
  <c r="D101" i="21"/>
  <c r="D100" i="21"/>
  <c r="D99" i="21"/>
  <c r="D60" i="21"/>
  <c r="D59" i="21"/>
  <c r="D57" i="21"/>
  <c r="D56" i="21"/>
  <c r="D55" i="21"/>
  <c r="D54" i="21"/>
  <c r="D53" i="21"/>
  <c r="D52" i="21"/>
  <c r="D50" i="21"/>
  <c r="D49" i="21"/>
  <c r="D48" i="21"/>
  <c r="D47" i="21"/>
  <c r="D46" i="21"/>
  <c r="D45" i="21"/>
  <c r="D44" i="21"/>
  <c r="D43" i="21"/>
  <c r="D41" i="21"/>
  <c r="D36" i="21"/>
  <c r="D35" i="21"/>
  <c r="D31" i="21"/>
  <c r="D27" i="21"/>
  <c r="D26" i="21"/>
  <c r="D25" i="21"/>
  <c r="D24" i="21"/>
  <c r="D21" i="21"/>
  <c r="D19" i="21"/>
  <c r="D18" i="21"/>
  <c r="D16" i="21"/>
  <c r="D15" i="21"/>
  <c r="D14" i="21"/>
  <c r="D13" i="21"/>
  <c r="D12" i="21"/>
  <c r="D11" i="21"/>
  <c r="I9" i="21"/>
  <c r="I6" i="21" s="1"/>
  <c r="H9" i="21"/>
  <c r="H6" i="21" s="1"/>
  <c r="G9" i="21"/>
  <c r="G6" i="21" s="1"/>
  <c r="F9" i="21"/>
  <c r="F6" i="21" s="1"/>
  <c r="E9" i="21"/>
  <c r="E6" i="21" s="1"/>
  <c r="J36" i="20" l="1"/>
  <c r="I10" i="20"/>
  <c r="I7" i="20" s="1"/>
  <c r="N10" i="20"/>
  <c r="N7" i="20" s="1"/>
  <c r="J137" i="20"/>
  <c r="D9" i="21"/>
  <c r="D6" i="21" s="1"/>
  <c r="H10" i="20"/>
  <c r="H7" i="20" s="1"/>
  <c r="J10" i="20"/>
  <c r="J7" i="20" s="1"/>
  <c r="J28" i="98" l="1"/>
  <c r="G28" i="98"/>
  <c r="F28" i="98"/>
  <c r="E28" i="98"/>
  <c r="J27" i="98"/>
  <c r="G27" i="98"/>
  <c r="F27" i="98"/>
  <c r="E27" i="98"/>
  <c r="J26" i="98"/>
  <c r="H26" i="98"/>
  <c r="G26" i="98" s="1"/>
  <c r="F26" i="98"/>
  <c r="J25" i="98"/>
  <c r="H25" i="98"/>
  <c r="G25" i="98" s="1"/>
  <c r="F25" i="98"/>
  <c r="J24" i="98"/>
  <c r="G24" i="98"/>
  <c r="F24" i="98"/>
  <c r="E24" i="98"/>
  <c r="J23" i="98"/>
  <c r="G23" i="98"/>
  <c r="F23" i="98"/>
  <c r="E23" i="98"/>
  <c r="J22" i="98"/>
  <c r="G22" i="98"/>
  <c r="F22" i="98"/>
  <c r="E22" i="98"/>
  <c r="J21" i="98"/>
  <c r="G21" i="98"/>
  <c r="F21" i="98"/>
  <c r="E21" i="98"/>
  <c r="J20" i="98"/>
  <c r="H20" i="98"/>
  <c r="E20" i="98" s="1"/>
  <c r="F20" i="98"/>
  <c r="J19" i="98"/>
  <c r="H19" i="98"/>
  <c r="G19" i="98" s="1"/>
  <c r="F19" i="98"/>
  <c r="J18" i="98"/>
  <c r="G18" i="98"/>
  <c r="F18" i="98"/>
  <c r="E18" i="98"/>
  <c r="J17" i="98"/>
  <c r="H17" i="98"/>
  <c r="E17" i="98" s="1"/>
  <c r="G17" i="98"/>
  <c r="F17" i="98"/>
  <c r="J16" i="98"/>
  <c r="G16" i="98"/>
  <c r="F16" i="98"/>
  <c r="E16" i="98"/>
  <c r="J15" i="98"/>
  <c r="H15" i="98"/>
  <c r="G15" i="98" s="1"/>
  <c r="F15" i="98"/>
  <c r="J14" i="98"/>
  <c r="G14" i="98"/>
  <c r="F14" i="98"/>
  <c r="E14" i="98"/>
  <c r="J13" i="98"/>
  <c r="G13" i="98"/>
  <c r="F13" i="98"/>
  <c r="E13" i="98"/>
  <c r="J12" i="98"/>
  <c r="G12" i="98"/>
  <c r="F12" i="98"/>
  <c r="E12" i="98"/>
  <c r="J11" i="98"/>
  <c r="G11" i="98"/>
  <c r="F11" i="98"/>
  <c r="E11" i="98"/>
  <c r="D11" i="98" s="1"/>
  <c r="J10" i="98"/>
  <c r="G10" i="98"/>
  <c r="F10" i="98"/>
  <c r="E10" i="98"/>
  <c r="J9" i="98"/>
  <c r="G9" i="98"/>
  <c r="F9" i="98"/>
  <c r="E9" i="98"/>
  <c r="L8" i="98"/>
  <c r="K8" i="98"/>
  <c r="I8" i="98"/>
  <c r="D12" i="98" l="1"/>
  <c r="D10" i="98"/>
  <c r="D22" i="98"/>
  <c r="D16" i="98"/>
  <c r="D20" i="98"/>
  <c r="D27" i="98"/>
  <c r="J8" i="98"/>
  <c r="D14" i="98"/>
  <c r="D18" i="98"/>
  <c r="D21" i="98"/>
  <c r="D23" i="98"/>
  <c r="D28" i="98"/>
  <c r="D17" i="98"/>
  <c r="D9" i="98"/>
  <c r="D24" i="98"/>
  <c r="E26" i="98"/>
  <c r="D26" i="98" s="1"/>
  <c r="H8" i="98"/>
  <c r="D13" i="98"/>
  <c r="E25" i="98"/>
  <c r="D25" i="98" s="1"/>
  <c r="G20" i="98"/>
  <c r="E15" i="98"/>
  <c r="D15" i="98" s="1"/>
  <c r="E19" i="98"/>
  <c r="D19" i="98" s="1"/>
  <c r="F8" i="98"/>
  <c r="G8" i="98" l="1"/>
  <c r="E8" i="98"/>
  <c r="D8" i="98" l="1"/>
  <c r="P86" i="32" l="1"/>
  <c r="P44" i="32"/>
  <c r="G44" i="32"/>
  <c r="K44" i="32" s="1"/>
  <c r="L41" i="30"/>
  <c r="H41" i="30"/>
  <c r="D7" i="30"/>
  <c r="D142" i="62" l="1"/>
  <c r="G84" i="31" l="1"/>
  <c r="L25" i="30" l="1"/>
  <c r="H25" i="30"/>
  <c r="L45" i="30" l="1"/>
  <c r="O138" i="61" l="1"/>
  <c r="O134" i="61"/>
  <c r="O132" i="61"/>
  <c r="O129" i="61"/>
  <c r="O128" i="61"/>
  <c r="O126" i="61"/>
  <c r="O125" i="61"/>
  <c r="O123" i="61"/>
  <c r="O122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41" i="61"/>
  <c r="O108" i="61"/>
  <c r="O111" i="61"/>
  <c r="O7" i="61"/>
  <c r="O12" i="61"/>
  <c r="O23" i="61"/>
  <c r="O33" i="61"/>
  <c r="O63" i="61"/>
  <c r="O61" i="61" s="1"/>
  <c r="I141" i="6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41" i="61"/>
  <c r="H141" i="61"/>
  <c r="O80" i="61"/>
  <c r="O79" i="61" s="1"/>
  <c r="O91" i="61"/>
  <c r="O124" i="61"/>
  <c r="O39" i="61"/>
  <c r="K141" i="61"/>
  <c r="O45" i="61"/>
  <c r="L141" i="61"/>
  <c r="O71" i="61"/>
  <c r="O87" i="61"/>
  <c r="O94" i="61"/>
  <c r="O37" i="61"/>
  <c r="O43" i="61"/>
  <c r="O52" i="61"/>
  <c r="O55" i="61"/>
  <c r="O69" i="61"/>
  <c r="O72" i="61"/>
  <c r="O78" i="61"/>
  <c r="O76" i="61" s="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35" i="61"/>
  <c r="O133" i="61" s="1"/>
  <c r="O113" i="61"/>
  <c r="O112" i="61" s="1"/>
  <c r="O65" i="61"/>
  <c r="O64" i="61" s="1"/>
  <c r="O107" i="61"/>
  <c r="O106" i="61" s="1"/>
  <c r="M141" i="61"/>
  <c r="O74" i="61"/>
  <c r="O73" i="61" s="1"/>
  <c r="O139" i="61" l="1"/>
  <c r="O141" i="61" s="1"/>
  <c r="F141" i="61"/>
  <c r="J141" i="61"/>
  <c r="AG91" i="60" l="1"/>
  <c r="AI91" i="60" s="1"/>
  <c r="C91" i="60"/>
  <c r="AG90" i="60"/>
  <c r="C90" i="60"/>
  <c r="AH89" i="60"/>
  <c r="AC89" i="60"/>
  <c r="AB89" i="60"/>
  <c r="AA89" i="60"/>
  <c r="Z89" i="60"/>
  <c r="X89" i="60"/>
  <c r="U89" i="60"/>
  <c r="Q89" i="60"/>
  <c r="O89" i="60"/>
  <c r="N89" i="60"/>
  <c r="L89" i="60"/>
  <c r="J89" i="60"/>
  <c r="I89" i="60"/>
  <c r="H89" i="60"/>
  <c r="F89" i="60"/>
  <c r="AG88" i="60"/>
  <c r="AG87" i="60" s="1"/>
  <c r="C88" i="60"/>
  <c r="AH87" i="60"/>
  <c r="AC87" i="60"/>
  <c r="AB87" i="60"/>
  <c r="AA87" i="60"/>
  <c r="Z87" i="60"/>
  <c r="X87" i="60"/>
  <c r="U87" i="60"/>
  <c r="Q87" i="60"/>
  <c r="O87" i="60"/>
  <c r="N87" i="60"/>
  <c r="L87" i="60"/>
  <c r="J87" i="60"/>
  <c r="I87" i="60"/>
  <c r="H87" i="60"/>
  <c r="F87" i="60"/>
  <c r="AG86" i="60"/>
  <c r="AI86" i="60" s="1"/>
  <c r="C86" i="60"/>
  <c r="L85" i="60"/>
  <c r="L84" i="60" s="1"/>
  <c r="C85" i="60"/>
  <c r="AH84" i="60"/>
  <c r="AC84" i="60"/>
  <c r="AB84" i="60"/>
  <c r="AA84" i="60"/>
  <c r="Z84" i="60"/>
  <c r="X84" i="60"/>
  <c r="U84" i="60"/>
  <c r="Q84" i="60"/>
  <c r="O84" i="60"/>
  <c r="N84" i="60"/>
  <c r="J84" i="60"/>
  <c r="I84" i="60"/>
  <c r="H84" i="60"/>
  <c r="F84" i="60"/>
  <c r="AG83" i="60"/>
  <c r="AI83" i="60" s="1"/>
  <c r="C83" i="60"/>
  <c r="C82" i="60"/>
  <c r="AH81" i="60"/>
  <c r="AC81" i="60"/>
  <c r="AB81" i="60"/>
  <c r="AA81" i="60"/>
  <c r="Z81" i="60"/>
  <c r="X81" i="60"/>
  <c r="U81" i="60"/>
  <c r="Q81" i="60"/>
  <c r="O81" i="60"/>
  <c r="N81" i="60"/>
  <c r="L81" i="60"/>
  <c r="J81" i="60"/>
  <c r="I81" i="60"/>
  <c r="H81" i="60"/>
  <c r="F81" i="60"/>
  <c r="AG80" i="60"/>
  <c r="AI80" i="60" s="1"/>
  <c r="C80" i="60"/>
  <c r="O79" i="60"/>
  <c r="C79" i="60"/>
  <c r="AH78" i="60"/>
  <c r="AH75" i="60" s="1"/>
  <c r="X75" i="60"/>
  <c r="O78" i="60"/>
  <c r="N78" i="60"/>
  <c r="J78" i="60"/>
  <c r="J75" i="60" s="1"/>
  <c r="C78" i="60"/>
  <c r="C77" i="60"/>
  <c r="N76" i="60"/>
  <c r="L76" i="60"/>
  <c r="L75" i="60" s="1"/>
  <c r="C76" i="60"/>
  <c r="AC75" i="60"/>
  <c r="AB75" i="60"/>
  <c r="AA75" i="60"/>
  <c r="Z75" i="60"/>
  <c r="U75" i="60"/>
  <c r="Q75" i="60"/>
  <c r="I75" i="60"/>
  <c r="H75" i="60"/>
  <c r="F75" i="60"/>
  <c r="AG74" i="60"/>
  <c r="AI74" i="60" s="1"/>
  <c r="C74" i="60"/>
  <c r="C73" i="60"/>
  <c r="AH72" i="60"/>
  <c r="AC72" i="60"/>
  <c r="AB72" i="60"/>
  <c r="AA72" i="60"/>
  <c r="Z72" i="60"/>
  <c r="X72" i="60"/>
  <c r="U72" i="60"/>
  <c r="Q72" i="60"/>
  <c r="O72" i="60"/>
  <c r="N72" i="60"/>
  <c r="L72" i="60"/>
  <c r="J72" i="60"/>
  <c r="I72" i="60"/>
  <c r="H72" i="60"/>
  <c r="F72" i="60"/>
  <c r="AG71" i="60"/>
  <c r="AI71" i="60" s="1"/>
  <c r="C71" i="60"/>
  <c r="C70" i="60"/>
  <c r="AG69" i="60"/>
  <c r="AI69" i="60" s="1"/>
  <c r="C69" i="60"/>
  <c r="AG68" i="60"/>
  <c r="AI68" i="60" s="1"/>
  <c r="C68" i="60"/>
  <c r="AG67" i="60"/>
  <c r="AI67" i="60" s="1"/>
  <c r="C67" i="60"/>
  <c r="AG66" i="60"/>
  <c r="AI66" i="60" s="1"/>
  <c r="C66" i="60"/>
  <c r="AG65" i="60"/>
  <c r="AI65" i="60" s="1"/>
  <c r="C65" i="60"/>
  <c r="AG64" i="60"/>
  <c r="AI64" i="60" s="1"/>
  <c r="C64" i="60"/>
  <c r="U63" i="60"/>
  <c r="C63" i="60"/>
  <c r="C62" i="60"/>
  <c r="C61" i="60"/>
  <c r="C60" i="60"/>
  <c r="C59" i="60"/>
  <c r="AG58" i="60"/>
  <c r="AI58" i="60" s="1"/>
  <c r="C58" i="60"/>
  <c r="C57" i="60"/>
  <c r="C56" i="60"/>
  <c r="U55" i="60"/>
  <c r="C55" i="60"/>
  <c r="AH54" i="60"/>
  <c r="AC54" i="60"/>
  <c r="AB54" i="60"/>
  <c r="AA54" i="60"/>
  <c r="Z54" i="60"/>
  <c r="X54" i="60"/>
  <c r="Q54" i="60"/>
  <c r="O54" i="60"/>
  <c r="N54" i="60"/>
  <c r="L54" i="60"/>
  <c r="J54" i="60"/>
  <c r="I54" i="60"/>
  <c r="H54" i="60"/>
  <c r="F54" i="60"/>
  <c r="AG53" i="60"/>
  <c r="AG52" i="60" s="1"/>
  <c r="C53" i="60"/>
  <c r="AH52" i="60"/>
  <c r="AC52" i="60"/>
  <c r="AB52" i="60"/>
  <c r="AA52" i="60"/>
  <c r="Z52" i="60"/>
  <c r="X52" i="60"/>
  <c r="U52" i="60"/>
  <c r="Q52" i="60"/>
  <c r="O52" i="60"/>
  <c r="N52" i="60"/>
  <c r="L52" i="60"/>
  <c r="J52" i="60"/>
  <c r="I52" i="60"/>
  <c r="H52" i="60"/>
  <c r="F52" i="60"/>
  <c r="AG51" i="60"/>
  <c r="AI51" i="60" s="1"/>
  <c r="C51" i="60"/>
  <c r="AG50" i="60"/>
  <c r="AI50" i="60" s="1"/>
  <c r="C50" i="60"/>
  <c r="C49" i="60"/>
  <c r="AG48" i="60"/>
  <c r="AI48" i="60" s="1"/>
  <c r="C48" i="60"/>
  <c r="AG47" i="60"/>
  <c r="AI47" i="60" s="1"/>
  <c r="C47" i="60"/>
  <c r="AH46" i="60"/>
  <c r="AC46" i="60"/>
  <c r="AB46" i="60"/>
  <c r="AA46" i="60"/>
  <c r="Z46" i="60"/>
  <c r="X46" i="60"/>
  <c r="U46" i="60"/>
  <c r="Q46" i="60"/>
  <c r="O46" i="60"/>
  <c r="N46" i="60"/>
  <c r="L46" i="60"/>
  <c r="J46" i="60"/>
  <c r="I46" i="60"/>
  <c r="H46" i="60"/>
  <c r="F46" i="60"/>
  <c r="AA45" i="60"/>
  <c r="C45" i="60"/>
  <c r="AG44" i="60"/>
  <c r="AI44" i="60" s="1"/>
  <c r="C44" i="60"/>
  <c r="AH42" i="60"/>
  <c r="AC43" i="60"/>
  <c r="AC42" i="60" s="1"/>
  <c r="AA43" i="60"/>
  <c r="Z43" i="60"/>
  <c r="Z42" i="60" s="1"/>
  <c r="C43" i="60"/>
  <c r="AB42" i="60"/>
  <c r="X42" i="60"/>
  <c r="U42" i="60"/>
  <c r="Q42" i="60"/>
  <c r="O42" i="60"/>
  <c r="N42" i="60"/>
  <c r="L42" i="60"/>
  <c r="J42" i="60"/>
  <c r="I42" i="60"/>
  <c r="H42" i="60"/>
  <c r="F42" i="60"/>
  <c r="C41" i="60"/>
  <c r="AG40" i="60"/>
  <c r="AI40" i="60" s="1"/>
  <c r="C40" i="60"/>
  <c r="AG39" i="60"/>
  <c r="C39" i="60"/>
  <c r="AH38" i="60"/>
  <c r="AC38" i="60"/>
  <c r="AB38" i="60"/>
  <c r="AA38" i="60"/>
  <c r="Z38" i="60"/>
  <c r="X38" i="60"/>
  <c r="U38" i="60"/>
  <c r="Q38" i="60"/>
  <c r="O38" i="60"/>
  <c r="N38" i="60"/>
  <c r="L38" i="60"/>
  <c r="J38" i="60"/>
  <c r="I38" i="60"/>
  <c r="H38" i="60"/>
  <c r="F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C33" i="60"/>
  <c r="AG32" i="60"/>
  <c r="AI32" i="60" s="1"/>
  <c r="C32" i="60"/>
  <c r="AG31" i="60"/>
  <c r="C31" i="60"/>
  <c r="AH30" i="60"/>
  <c r="AC30" i="60"/>
  <c r="AB30" i="60"/>
  <c r="AA30" i="60"/>
  <c r="Z30" i="60"/>
  <c r="X30" i="60"/>
  <c r="U30" i="60"/>
  <c r="Q30" i="60"/>
  <c r="O30" i="60"/>
  <c r="N30" i="60"/>
  <c r="L30" i="60"/>
  <c r="J30" i="60"/>
  <c r="I30" i="60"/>
  <c r="F30" i="60"/>
  <c r="Q29" i="60"/>
  <c r="C29" i="60"/>
  <c r="Q28" i="60"/>
  <c r="AG28" i="60" s="1"/>
  <c r="C28" i="60"/>
  <c r="AH27" i="60"/>
  <c r="AC27" i="60"/>
  <c r="AB27" i="60"/>
  <c r="AA27" i="60"/>
  <c r="Z27" i="60"/>
  <c r="X27" i="60"/>
  <c r="U27" i="60"/>
  <c r="O27" i="60"/>
  <c r="N27" i="60"/>
  <c r="L27" i="60"/>
  <c r="J27" i="60"/>
  <c r="I27" i="60"/>
  <c r="H27" i="60"/>
  <c r="F27" i="60"/>
  <c r="C26" i="60"/>
  <c r="AG25" i="60"/>
  <c r="AI25" i="60" s="1"/>
  <c r="C25" i="60"/>
  <c r="AG24" i="60"/>
  <c r="AI24" i="60" s="1"/>
  <c r="C24" i="60"/>
  <c r="C23" i="60"/>
  <c r="AG22" i="60"/>
  <c r="AI22" i="60" s="1"/>
  <c r="C22" i="60"/>
  <c r="H21" i="60"/>
  <c r="H20" i="60" s="1"/>
  <c r="C21" i="60"/>
  <c r="AH20" i="60"/>
  <c r="AC20" i="60"/>
  <c r="AB20" i="60"/>
  <c r="AA20" i="60"/>
  <c r="Z20" i="60"/>
  <c r="X20" i="60"/>
  <c r="U20" i="60"/>
  <c r="Q20" i="60"/>
  <c r="O20" i="60"/>
  <c r="N20" i="60"/>
  <c r="L20" i="60"/>
  <c r="J20" i="60"/>
  <c r="I20" i="60"/>
  <c r="F20" i="60"/>
  <c r="AG19" i="60"/>
  <c r="AI19" i="60" s="1"/>
  <c r="C19" i="60"/>
  <c r="AG18" i="60"/>
  <c r="AI18" i="60" s="1"/>
  <c r="C18" i="60"/>
  <c r="AH17" i="60"/>
  <c r="AC17" i="60"/>
  <c r="AB17" i="60"/>
  <c r="AA17" i="60"/>
  <c r="Z17" i="60"/>
  <c r="X17" i="60"/>
  <c r="U17" i="60"/>
  <c r="Q17" i="60"/>
  <c r="O17" i="60"/>
  <c r="N17" i="60"/>
  <c r="L17" i="60"/>
  <c r="J17" i="60"/>
  <c r="I17" i="60"/>
  <c r="H17" i="60"/>
  <c r="F17" i="60"/>
  <c r="AG16" i="60"/>
  <c r="AG15" i="60" s="1"/>
  <c r="C16" i="60"/>
  <c r="AH15" i="60"/>
  <c r="AC15" i="60"/>
  <c r="AB15" i="60"/>
  <c r="AA15" i="60"/>
  <c r="Z15" i="60"/>
  <c r="X15" i="60"/>
  <c r="U15" i="60"/>
  <c r="Q15" i="60"/>
  <c r="O15" i="60"/>
  <c r="N15" i="60"/>
  <c r="L15" i="60"/>
  <c r="J15" i="60"/>
  <c r="I15" i="60"/>
  <c r="H15" i="60"/>
  <c r="F15" i="60"/>
  <c r="AG14" i="60"/>
  <c r="AI14" i="60" s="1"/>
  <c r="AI13" i="60" s="1"/>
  <c r="C14" i="60"/>
  <c r="AH13" i="60"/>
  <c r="AC13" i="60"/>
  <c r="AB13" i="60"/>
  <c r="AA13" i="60"/>
  <c r="Z13" i="60"/>
  <c r="X13" i="60"/>
  <c r="U13" i="60"/>
  <c r="Q13" i="60"/>
  <c r="O13" i="60"/>
  <c r="N13" i="60"/>
  <c r="L13" i="60"/>
  <c r="J13" i="60"/>
  <c r="I13" i="60"/>
  <c r="H13" i="60"/>
  <c r="F13" i="60"/>
  <c r="AG12" i="60"/>
  <c r="AI12" i="60" s="1"/>
  <c r="C12" i="60"/>
  <c r="AG11" i="60"/>
  <c r="AI11" i="60" s="1"/>
  <c r="C11" i="60"/>
  <c r="AH10" i="60"/>
  <c r="AC10" i="60"/>
  <c r="AB10" i="60"/>
  <c r="AA10" i="60"/>
  <c r="Z10" i="60"/>
  <c r="X10" i="60"/>
  <c r="U10" i="60"/>
  <c r="Q10" i="60"/>
  <c r="O10" i="60"/>
  <c r="N10" i="60"/>
  <c r="L10" i="60"/>
  <c r="J10" i="60"/>
  <c r="I10" i="60"/>
  <c r="H10" i="60"/>
  <c r="F10" i="60"/>
  <c r="AG9" i="60"/>
  <c r="AI9" i="60" s="1"/>
  <c r="AI8" i="60" s="1"/>
  <c r="C9" i="60"/>
  <c r="AH8" i="60"/>
  <c r="AC8" i="60"/>
  <c r="AB8" i="60"/>
  <c r="AA8" i="60"/>
  <c r="Z8" i="60"/>
  <c r="X8" i="60"/>
  <c r="U8" i="60"/>
  <c r="Q8" i="60"/>
  <c r="O8" i="60"/>
  <c r="N8" i="60"/>
  <c r="L8" i="60"/>
  <c r="J8" i="60"/>
  <c r="I8" i="60"/>
  <c r="H8" i="60"/>
  <c r="F8" i="60"/>
  <c r="AG7" i="60"/>
  <c r="AI7" i="60" s="1"/>
  <c r="C7" i="60"/>
  <c r="AG6" i="60"/>
  <c r="C6" i="60"/>
  <c r="AH5" i="60"/>
  <c r="AC5" i="60"/>
  <c r="AB5" i="60"/>
  <c r="AA5" i="60"/>
  <c r="Z5" i="60"/>
  <c r="X5" i="60"/>
  <c r="U5" i="60"/>
  <c r="Q5" i="60"/>
  <c r="O5" i="60"/>
  <c r="N5" i="60"/>
  <c r="L5" i="60"/>
  <c r="J5" i="60"/>
  <c r="I5" i="60"/>
  <c r="H5" i="60"/>
  <c r="F5" i="60"/>
  <c r="AA42" i="60" l="1"/>
  <c r="AG85" i="60"/>
  <c r="N75" i="60"/>
  <c r="AI16" i="60"/>
  <c r="AI15" i="60" s="1"/>
  <c r="AD92" i="60"/>
  <c r="AG62" i="60"/>
  <c r="AI62" i="60" s="1"/>
  <c r="AG8" i="60"/>
  <c r="AG55" i="60"/>
  <c r="AI55" i="60" s="1"/>
  <c r="AG89" i="60"/>
  <c r="AG26" i="60"/>
  <c r="AI26" i="60" s="1"/>
  <c r="AG23" i="60"/>
  <c r="AI23" i="60" s="1"/>
  <c r="AC92" i="60"/>
  <c r="AI10" i="60"/>
  <c r="Q27" i="60"/>
  <c r="Q92" i="60" s="1"/>
  <c r="T92" i="60"/>
  <c r="AG13" i="60"/>
  <c r="V92" i="60"/>
  <c r="AI17" i="60"/>
  <c r="AG60" i="60"/>
  <c r="AI60" i="60" s="1"/>
  <c r="AG29" i="60"/>
  <c r="AI29" i="60" s="1"/>
  <c r="AG43" i="60"/>
  <c r="AI43" i="60" s="1"/>
  <c r="AG41" i="60"/>
  <c r="AI41" i="60" s="1"/>
  <c r="AI53" i="60"/>
  <c r="AI52" i="60" s="1"/>
  <c r="AG57" i="60"/>
  <c r="AI57" i="60" s="1"/>
  <c r="M92" i="60"/>
  <c r="AG33" i="60"/>
  <c r="AI33" i="60" s="1"/>
  <c r="H92" i="60"/>
  <c r="P92" i="60"/>
  <c r="X92" i="60"/>
  <c r="AF92" i="60"/>
  <c r="AG59" i="60"/>
  <c r="AI59" i="60" s="1"/>
  <c r="AG61" i="60"/>
  <c r="AI61" i="60" s="1"/>
  <c r="AG63" i="60"/>
  <c r="AI63" i="60" s="1"/>
  <c r="AG77" i="60"/>
  <c r="AI77" i="60" s="1"/>
  <c r="AG79" i="60"/>
  <c r="AI79" i="60" s="1"/>
  <c r="I92" i="60"/>
  <c r="AH92" i="60"/>
  <c r="U54" i="60"/>
  <c r="U92" i="60" s="1"/>
  <c r="AG70" i="60"/>
  <c r="AI70" i="60" s="1"/>
  <c r="J92" i="60"/>
  <c r="Z92" i="60"/>
  <c r="AG45" i="60"/>
  <c r="AI45" i="60" s="1"/>
  <c r="AE92" i="60"/>
  <c r="O75" i="60"/>
  <c r="O92" i="60" s="1"/>
  <c r="AI90" i="60"/>
  <c r="AI89" i="60" s="1"/>
  <c r="F92" i="60"/>
  <c r="K92" i="60"/>
  <c r="AA92" i="60"/>
  <c r="AG17" i="60"/>
  <c r="Y92" i="60"/>
  <c r="L92" i="60"/>
  <c r="AB92" i="60"/>
  <c r="AI6" i="60"/>
  <c r="AI5" i="60" s="1"/>
  <c r="AG56" i="60"/>
  <c r="AI56" i="60" s="1"/>
  <c r="N92" i="60"/>
  <c r="AG84" i="60"/>
  <c r="AI85" i="60"/>
  <c r="AI84" i="60" s="1"/>
  <c r="W92" i="60"/>
  <c r="R92" i="60"/>
  <c r="AG78" i="60"/>
  <c r="AI78" i="60" s="1"/>
  <c r="AG49" i="60"/>
  <c r="AG73" i="60"/>
  <c r="AG82" i="60"/>
  <c r="AI88" i="60"/>
  <c r="AI87" i="60" s="1"/>
  <c r="AG10" i="60"/>
  <c r="AG21" i="60"/>
  <c r="AI28" i="60"/>
  <c r="AI31" i="60"/>
  <c r="AI39" i="60"/>
  <c r="AG76" i="60"/>
  <c r="G92" i="60"/>
  <c r="O6" i="35"/>
  <c r="E92" i="60" l="1"/>
  <c r="AG27" i="60"/>
  <c r="S92" i="60"/>
  <c r="AI27" i="60"/>
  <c r="AI42" i="60"/>
  <c r="AG42" i="60"/>
  <c r="D92" i="60"/>
  <c r="AI30" i="60"/>
  <c r="AI54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O25" i="56" l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Q22" i="56"/>
  <c r="O22" i="56" s="1"/>
  <c r="Q21" i="56"/>
  <c r="O21" i="56" s="1"/>
  <c r="K21" i="56" s="1"/>
  <c r="D21" i="56" s="1"/>
  <c r="S24" i="56"/>
  <c r="E24" i="56"/>
  <c r="E26" i="56" s="1"/>
  <c r="Q19" i="56"/>
  <c r="O19" i="56" s="1"/>
  <c r="O18" i="56"/>
  <c r="K18" i="56" s="1"/>
  <c r="I18" i="56"/>
  <c r="O17" i="56"/>
  <c r="K17" i="56" s="1"/>
  <c r="D17" i="56" s="1"/>
  <c r="O16" i="56"/>
  <c r="K16" i="56" s="1"/>
  <c r="J16" i="56"/>
  <c r="O15" i="56"/>
  <c r="O14" i="56"/>
  <c r="K14" i="56" s="1"/>
  <c r="I14" i="56"/>
  <c r="O13" i="56"/>
  <c r="K13" i="56" s="1"/>
  <c r="D13" i="56" s="1"/>
  <c r="O12" i="56"/>
  <c r="K12" i="56" s="1"/>
  <c r="D12" i="56" s="1"/>
  <c r="O11" i="56"/>
  <c r="K11" i="56" s="1"/>
  <c r="D11" i="56" s="1"/>
  <c r="O10" i="56"/>
  <c r="K10" i="56" s="1"/>
  <c r="D10" i="56" s="1"/>
  <c r="R9" i="56"/>
  <c r="R24" i="56" s="1"/>
  <c r="R26" i="56" s="1"/>
  <c r="Q9" i="56"/>
  <c r="O8" i="56"/>
  <c r="N8" i="56"/>
  <c r="J8" i="56"/>
  <c r="G24" i="56"/>
  <c r="G26" i="56" s="1"/>
  <c r="K8" i="56" l="1"/>
  <c r="D8" i="56" s="1"/>
  <c r="J24" i="56"/>
  <c r="J26" i="56" s="1"/>
  <c r="D16" i="56"/>
  <c r="Q24" i="56"/>
  <c r="Q26" i="56" s="1"/>
  <c r="T24" i="56"/>
  <c r="T26" i="56" s="1"/>
  <c r="O20" i="56"/>
  <c r="K20" i="56" s="1"/>
  <c r="D20" i="56" s="1"/>
  <c r="O9" i="56"/>
  <c r="K9" i="56" s="1"/>
  <c r="D9" i="56" s="1"/>
  <c r="D18" i="56"/>
  <c r="K19" i="56"/>
  <c r="D19" i="56" s="1"/>
  <c r="K22" i="56"/>
  <c r="D22" i="56" s="1"/>
  <c r="K23" i="56"/>
  <c r="D23" i="56" s="1"/>
  <c r="I24" i="56"/>
  <c r="I26" i="56" s="1"/>
  <c r="D14" i="56"/>
  <c r="K15" i="56"/>
  <c r="D15" i="56" s="1"/>
  <c r="O24" i="56" l="1"/>
  <c r="O26" i="56" s="1"/>
  <c r="K24" i="56"/>
  <c r="K26" i="56" s="1"/>
  <c r="D24" i="56"/>
  <c r="D26" i="56" s="1"/>
  <c r="D9" i="74"/>
  <c r="S8" i="35" l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7" i="35"/>
  <c r="I8" i="19" l="1"/>
  <c r="I5" i="19" s="1"/>
  <c r="H8" i="19"/>
  <c r="H5" i="19" s="1"/>
  <c r="G8" i="19"/>
  <c r="G5" i="19" s="1"/>
  <c r="F8" i="19"/>
  <c r="F5" i="19" s="1"/>
  <c r="E8" i="19"/>
  <c r="E5" i="19" s="1"/>
  <c r="D8" i="19"/>
  <c r="D5" i="19" s="1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7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E98" i="13" l="1"/>
  <c r="F98" i="13"/>
  <c r="G9" i="31" l="1"/>
  <c r="G10" i="31"/>
  <c r="G11" i="31"/>
  <c r="G12" i="31"/>
  <c r="G13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5" i="31"/>
  <c r="G86" i="31"/>
  <c r="G87" i="31"/>
  <c r="G88" i="31"/>
  <c r="G89" i="31"/>
  <c r="G90" i="31"/>
  <c r="G91" i="31"/>
  <c r="G92" i="31"/>
  <c r="G8" i="31" l="1"/>
  <c r="D7" i="31"/>
  <c r="E6" i="44" l="1"/>
  <c r="E4" i="44" s="1"/>
  <c r="D6" i="44"/>
  <c r="D4" i="44" s="1"/>
  <c r="H29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2" i="30"/>
  <c r="L43" i="30"/>
  <c r="L44" i="30"/>
  <c r="L46" i="30"/>
  <c r="L47" i="30"/>
  <c r="L48" i="30"/>
  <c r="L49" i="30"/>
  <c r="L50" i="30"/>
  <c r="L51" i="30"/>
  <c r="L52" i="30"/>
  <c r="L53" i="30"/>
  <c r="L54" i="30"/>
  <c r="L55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I8" i="32"/>
  <c r="J8" i="32"/>
  <c r="H8" i="32"/>
  <c r="L7" i="30" l="1"/>
  <c r="L5" i="30" s="1"/>
  <c r="R6" i="35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J23" i="35"/>
  <c r="L23" i="35" s="1"/>
  <c r="J22" i="35"/>
  <c r="L22" i="35" s="1"/>
  <c r="L6" i="35" l="1"/>
  <c r="J6" i="35"/>
  <c r="S6" i="35"/>
  <c r="D4" i="33" l="1"/>
  <c r="P97" i="32" l="1"/>
  <c r="K97" i="32"/>
  <c r="P96" i="32"/>
  <c r="K96" i="32"/>
  <c r="P95" i="32"/>
  <c r="K95" i="32"/>
  <c r="P94" i="32"/>
  <c r="K94" i="32"/>
  <c r="P92" i="32"/>
  <c r="K92" i="32"/>
  <c r="P91" i="32"/>
  <c r="K91" i="32"/>
  <c r="P90" i="32"/>
  <c r="K90" i="32"/>
  <c r="P89" i="32"/>
  <c r="K89" i="32"/>
  <c r="P88" i="32"/>
  <c r="K88" i="32"/>
  <c r="P87" i="32"/>
  <c r="K87" i="32"/>
  <c r="K86" i="32"/>
  <c r="P85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E99" i="31" s="1"/>
  <c r="D5" i="31"/>
  <c r="G7" i="31" l="1"/>
  <c r="G5" i="31" s="1"/>
  <c r="H55" i="30" l="1"/>
  <c r="H54" i="30"/>
  <c r="H53" i="30"/>
  <c r="H52" i="30"/>
  <c r="H51" i="30"/>
  <c r="H50" i="30"/>
  <c r="H49" i="30"/>
  <c r="H48" i="30"/>
  <c r="H47" i="30"/>
  <c r="H46" i="30"/>
  <c r="H43" i="30"/>
  <c r="H40" i="30"/>
  <c r="H39" i="30"/>
  <c r="H38" i="30"/>
  <c r="H37" i="30"/>
  <c r="H36" i="30"/>
  <c r="H35" i="30"/>
  <c r="H34" i="30"/>
  <c r="H33" i="30"/>
  <c r="H32" i="30"/>
  <c r="H31" i="30"/>
  <c r="H30" i="30"/>
  <c r="H28" i="30"/>
  <c r="H27" i="30"/>
  <c r="H26" i="30"/>
  <c r="H24" i="30"/>
  <c r="H23" i="30"/>
  <c r="H22" i="30"/>
  <c r="H21" i="30"/>
  <c r="H20" i="30"/>
  <c r="H19" i="30"/>
  <c r="H18" i="30"/>
  <c r="H17" i="30"/>
  <c r="H16" i="30"/>
  <c r="H14" i="30"/>
  <c r="H13" i="30"/>
  <c r="H12" i="30"/>
  <c r="H11" i="30"/>
  <c r="H10" i="30"/>
  <c r="H9" i="30"/>
  <c r="H8" i="30"/>
  <c r="J7" i="30"/>
  <c r="I7" i="30"/>
  <c r="G7" i="30"/>
  <c r="F7" i="30"/>
  <c r="E7" i="30"/>
  <c r="H7" i="30" l="1"/>
  <c r="K5" i="30"/>
  <c r="G5" i="30"/>
  <c r="E5" i="30"/>
  <c r="F5" i="30"/>
  <c r="D5" i="30"/>
  <c r="J5" i="30"/>
  <c r="I5" i="30"/>
  <c r="H5" i="30" l="1"/>
  <c r="C8" i="27" l="1"/>
  <c r="B8" i="27"/>
  <c r="D7" i="27"/>
  <c r="D6" i="27"/>
  <c r="D5" i="27"/>
  <c r="D8" i="27" l="1"/>
</calcChain>
</file>

<file path=xl/sharedStrings.xml><?xml version="1.0" encoding="utf-8"?>
<sst xmlns="http://schemas.openxmlformats.org/spreadsheetml/2006/main" count="6049" uniqueCount="826">
  <si>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</si>
  <si>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</si>
  <si>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</si>
  <si>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</si>
  <si>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</si>
  <si>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</si>
  <si>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</si>
  <si>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</si>
  <si>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</si>
  <si>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</si>
  <si>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</si>
  <si>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</si>
  <si>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</si>
  <si>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</si>
  <si>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</si>
  <si>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</si>
  <si>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</si>
  <si>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</si>
  <si>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</si>
  <si>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</si>
  <si>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</si>
  <si>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</si>
  <si>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</si>
  <si>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</si>
  <si>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</si>
  <si>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</si>
  <si>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</si>
  <si>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</si>
  <si>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</si>
  <si>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</si>
  <si>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</si>
  <si>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</si>
  <si>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</si>
  <si>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</si>
  <si>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</si>
  <si>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</si>
  <si>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</si>
  <si>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</si>
  <si>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</si>
  <si>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</si>
  <si>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</si>
  <si>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</si>
  <si>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</si>
  <si>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</si>
  <si>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</si>
  <si>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</si>
  <si>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</si>
  <si>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</si>
  <si>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</si>
  <si>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</si>
  <si>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</si>
  <si>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</si>
  <si>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</si>
  <si>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</si>
  <si>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</si>
  <si>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</si>
  <si>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</si>
  <si>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</si>
  <si>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</si>
  <si>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</si>
  <si>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</si>
  <si>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</si>
  <si>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</si>
  <si>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</si>
  <si>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</si>
  <si>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</si>
  <si>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</si>
  <si>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</si>
  <si>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</si>
  <si>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</si>
  <si>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</si>
  <si>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</si>
  <si>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</si>
  <si>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</si>
  <si>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</si>
  <si>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</si>
  <si>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</si>
  <si>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</si>
  <si>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</si>
  <si>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</si>
  <si>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</si>
  <si>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</si>
  <si>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</si>
  <si>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</si>
  <si>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</si>
  <si>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</si>
  <si>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</si>
  <si>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</si>
  <si>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</si>
  <si>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</si>
  <si>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</si>
  <si>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</si>
  <si>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</si>
  <si>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</si>
  <si>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</si>
  <si>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</si>
  <si>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</si>
  <si>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</si>
  <si>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</si>
  <si>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</si>
  <si>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</si>
  <si>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</si>
  <si>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</si>
  <si>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</si>
  <si>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</si>
  <si>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</si>
  <si>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</si>
  <si>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</si>
  <si>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</si>
  <si>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</si>
  <si>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</si>
  <si>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</si>
  <si>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</si>
  <si>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</si>
  <si>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</si>
  <si>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</si>
  <si>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</si>
  <si>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</si>
  <si>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</si>
  <si>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</si>
  <si>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</si>
  <si>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</si>
  <si>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</si>
  <si>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</si>
  <si>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</si>
  <si>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</si>
  <si>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</si>
  <si>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</si>
  <si>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</si>
  <si>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</si>
  <si>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</si>
  <si>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</si>
  <si>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</si>
  <si>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</si>
  <si>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</si>
  <si>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</si>
  <si>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</si>
  <si>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</si>
  <si>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</si>
  <si>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</si>
  <si>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</si>
  <si>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</si>
  <si>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</si>
  <si>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</si>
  <si>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</si>
  <si>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</si>
  <si>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</si>
  <si>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</si>
  <si>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</si>
  <si>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</si>
  <si>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</si>
  <si>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</si>
  <si>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</si>
  <si>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</si>
  <si>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</si>
  <si>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</si>
  <si>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</si>
  <si>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</si>
  <si>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</si>
  <si>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</si>
  <si>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</si>
  <si>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</si>
  <si>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</si>
  <si>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</si>
  <si>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</si>
  <si>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</si>
  <si>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</si>
  <si>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</si>
  <si>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</si>
  <si>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</si>
  <si>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</si>
  <si>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</si>
  <si>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</si>
  <si>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</si>
  <si>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</si>
  <si>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</si>
  <si>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</si>
  <si>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</si>
  <si>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</si>
  <si>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</si>
  <si>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</si>
  <si>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</si>
  <si>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</si>
  <si>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</si>
  <si>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</si>
  <si>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</si>
  <si>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</si>
  <si>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</si>
  <si>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</si>
  <si>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</si>
  <si>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</si>
  <si>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</si>
  <si>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</si>
  <si>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</si>
  <si>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</si>
  <si>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</si>
  <si>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</si>
  <si>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</si>
  <si>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</si>
  <si>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</si>
  <si>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</si>
  <si>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</si>
  <si>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</si>
  <si>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</si>
  <si>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</si>
  <si>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</si>
  <si>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</si>
  <si>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</si>
  <si>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</si>
  <si>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</si>
  <si>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</si>
  <si>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</si>
  <si>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</si>
  <si>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</si>
  <si>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</si>
  <si>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</si>
  <si>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</si>
  <si>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</si>
  <si>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</si>
  <si>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</si>
  <si>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</si>
  <si>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</si>
  <si>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</si>
  <si>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</si>
  <si>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</si>
  <si>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</si>
  <si>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</si>
  <si>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</si>
  <si>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</si>
  <si>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</si>
  <si>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</si>
  <si>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</si>
  <si>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</si>
  <si>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</si>
  <si>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</si>
  <si>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</si>
  <si>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</si>
  <si>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</si>
  <si>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</si>
  <si>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</si>
  <si>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</si>
  <si>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</si>
  <si>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</si>
  <si>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</si>
  <si>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</si>
  <si>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</si>
  <si>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</si>
  <si>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</si>
  <si>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</si>
  <si>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</si>
  <si>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</si>
  <si>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</si>
  <si>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</si>
  <si>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</si>
  <si>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</si>
  <si>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</si>
  <si>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</si>
  <si>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</si>
  <si>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</si>
  <si>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</si>
  <si>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</si>
  <si>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</si>
  <si>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</si>
  <si>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</si>
  <si>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</si>
  <si>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</si>
  <si>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</si>
  <si>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</si>
  <si>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</si>
  <si>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</si>
  <si>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</si>
  <si>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</si>
  <si>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</si>
  <si>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</si>
  <si>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</si>
  <si>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</si>
  <si>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</si>
  <si>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</si>
  <si>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</si>
  <si>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</si>
  <si>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</si>
  <si>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</si>
  <si>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</si>
  <si>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</si>
  <si>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</si>
  <si>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</si>
  <si>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</si>
  <si>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</si>
  <si>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</si>
  <si>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</si>
  <si>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</si>
  <si>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</si>
  <si>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</si>
  <si>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</si>
  <si>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</si>
  <si>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</si>
  <si>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</si>
  <si>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</si>
  <si>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</si>
  <si>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</si>
  <si>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</si>
  <si>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</si>
  <si>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</si>
  <si>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</si>
  <si>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</si>
  <si>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</si>
  <si>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</si>
  <si>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</si>
  <si>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</si>
  <si>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</si>
  <si>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</si>
  <si>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</si>
  <si>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</si>
  <si>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</si>
  <si>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</si>
  <si>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</si>
  <si>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</si>
  <si>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</si>
  <si>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</si>
  <si>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</si>
  <si>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</si>
  <si>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</si>
  <si>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</si>
  <si>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</si>
  <si>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</si>
  <si>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</si>
  <si>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</si>
  <si>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</si>
  <si>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</si>
  <si>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</si>
  <si>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</si>
  <si>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</si>
  <si>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</si>
  <si>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</si>
  <si>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</si>
  <si>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</si>
  <si>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</si>
  <si>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</si>
  <si>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</si>
  <si>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</si>
  <si>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</si>
  <si>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</si>
  <si>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</si>
  <si>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</si>
  <si>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</si>
  <si>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</si>
  <si>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</si>
  <si>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</si>
  <si>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</si>
  <si>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</si>
  <si>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</si>
  <si>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</si>
  <si>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</si>
  <si>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</si>
  <si>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</si>
  <si>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</si>
  <si>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</si>
  <si>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</si>
  <si>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</si>
  <si>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</si>
  <si>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</si>
  <si>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</si>
  <si>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</si>
  <si>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</si>
  <si>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</si>
  <si>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</si>
  <si>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</si>
  <si>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</si>
  <si>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</si>
  <si>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</si>
  <si>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</si>
  <si>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</si>
  <si>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</si>
  <si>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</si>
  <si>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</si>
  <si>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</si>
  <si>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</si>
  <si>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</si>
  <si>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</si>
  <si>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</si>
  <si>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</si>
  <si>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</si>
  <si>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</si>
  <si>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</si>
  <si>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</si>
  <si>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</si>
  <si>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</si>
  <si>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</si>
  <si>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</si>
  <si>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</si>
  <si>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</si>
  <si>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</si>
  <si>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</si>
  <si>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</si>
  <si>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</si>
  <si>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</si>
  <si>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</si>
  <si>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</si>
  <si>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</si>
  <si>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</si>
  <si>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</si>
  <si>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</si>
  <si>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</si>
  <si>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</si>
  <si>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</si>
  <si>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</si>
  <si>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</si>
  <si>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</si>
  <si>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</si>
  <si>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</si>
  <si>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</si>
  <si>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</si>
  <si>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</si>
  <si>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</si>
  <si>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</si>
  <si>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</si>
  <si>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</si>
  <si>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</si>
  <si>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</si>
  <si>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</si>
  <si>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</si>
  <si>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</si>
  <si>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</si>
  <si>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</si>
  <si>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</si>
  <si>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</si>
  <si>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</si>
  <si>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</si>
  <si>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</si>
  <si>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</si>
  <si>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</si>
  <si>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</si>
  <si>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</si>
  <si>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</si>
  <si>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</si>
  <si>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</si>
  <si>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</si>
  <si>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</si>
  <si>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</si>
  <si>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</si>
  <si>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</si>
  <si>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</si>
  <si>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</si>
  <si>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</si>
  <si>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</si>
  <si>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</si>
  <si>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</si>
  <si>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</si>
  <si>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</si>
  <si>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</si>
  <si>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</si>
  <si>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</si>
  <si>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</si>
  <si>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</si>
  <si>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</si>
  <si>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</si>
  <si>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</si>
  <si>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</si>
  <si>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</si>
  <si>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</si>
  <si>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</si>
  <si>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</si>
  <si>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</si>
  <si>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</si>
  <si>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</si>
  <si>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</si>
  <si>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</si>
  <si>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</si>
  <si>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</si>
  <si>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</si>
  <si>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</si>
  <si>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</si>
  <si>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</si>
  <si>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</si>
  <si>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</si>
  <si>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</si>
  <si>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</si>
  <si>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</si>
  <si>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</si>
  <si>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</si>
  <si>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</si>
  <si>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</si>
  <si>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</si>
  <si>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</si>
  <si>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</si>
  <si>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</si>
  <si>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</si>
  <si>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</si>
  <si>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</si>
  <si>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</si>
  <si>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</si>
  <si>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</si>
  <si>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</si>
  <si>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</si>
  <si>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</si>
  <si>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</si>
  <si>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</si>
  <si>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</si>
  <si>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</si>
  <si>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</si>
  <si>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</si>
  <si>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</si>
  <si>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</si>
  <si>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</si>
  <si>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</si>
  <si>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</si>
  <si>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</si>
  <si>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</si>
  <si>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</si>
  <si>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</si>
  <si>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</si>
  <si>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</si>
  <si>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</si>
  <si>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</si>
  <si>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</si>
  <si>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</si>
  <si>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</si>
  <si>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</si>
  <si>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</si>
  <si>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</si>
  <si>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</si>
  <si>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</si>
  <si>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</si>
  <si>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</si>
  <si>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</si>
  <si>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</si>
  <si>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</si>
  <si>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</si>
  <si>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</si>
  <si>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</si>
  <si>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</si>
  <si>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</si>
  <si>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</si>
  <si>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</si>
  <si>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</si>
  <si>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</si>
  <si>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</si>
  <si>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</si>
  <si>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</si>
  <si>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</si>
  <si>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</si>
  <si>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</si>
  <si>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</si>
  <si>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</si>
  <si>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</si>
  <si>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</si>
  <si>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</si>
  <si>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</si>
  <si>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</si>
  <si>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</si>
  <si>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</si>
  <si>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</si>
  <si>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</si>
  <si>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</si>
  <si>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</si>
  <si>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</si>
  <si>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</si>
  <si>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</si>
  <si>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</si>
  <si>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</si>
  <si>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</si>
  <si>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</si>
  <si>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</si>
  <si>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</si>
  <si>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</si>
  <si>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</si>
  <si>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</si>
  <si>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</si>
  <si>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</si>
  <si>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</si>
  <si>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</si>
  <si>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</si>
  <si>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</si>
  <si>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</si>
  <si>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</si>
  <si>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</si>
  <si>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</si>
  <si>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</si>
  <si>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</si>
  <si>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</si>
  <si>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</si>
  <si>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</si>
  <si>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</si>
  <si>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</si>
  <si>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</si>
  <si>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</si>
  <si>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</si>
  <si>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</si>
  <si>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</si>
  <si>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</si>
  <si>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</si>
  <si>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</si>
  <si>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</si>
  <si>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</si>
  <si>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</si>
  <si>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</si>
  <si>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</si>
  <si>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</si>
  <si>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</si>
  <si>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</si>
  <si>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</si>
  <si>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</si>
  <si>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</si>
  <si>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</si>
  <si>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</si>
  <si>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</si>
  <si>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</si>
  <si>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</si>
  <si>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</si>
  <si>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</si>
  <si>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</si>
  <si>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</si>
  <si>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</si>
  <si>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</si>
  <si>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</si>
  <si>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</si>
  <si>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</si>
  <si>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</si>
  <si>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</si>
  <si>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</si>
  <si>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</si>
  <si>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</si>
  <si>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</si>
  <si>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</si>
  <si>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</si>
  <si>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</si>
  <si>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</si>
  <si>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</si>
  <si>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</si>
  <si>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</si>
  <si>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</si>
  <si>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</si>
  <si>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</si>
  <si>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</si>
  <si>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</si>
  <si>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</si>
  <si>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</si>
  <si>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</si>
  <si>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</si>
  <si>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</si>
  <si>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</si>
  <si>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</si>
  <si>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</si>
  <si>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</si>
  <si>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</si>
  <si>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</si>
  <si>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</si>
  <si>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</si>
  <si>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</si>
  <si>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</si>
  <si>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</si>
  <si>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</si>
  <si>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</si>
  <si>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</si>
  <si>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</si>
  <si>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</si>
  <si>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</si>
  <si>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</si>
  <si>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</si>
  <si>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</si>
  <si>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</si>
  <si>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</si>
  <si>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</si>
  <si>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</si>
  <si>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</si>
  <si>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</si>
  <si>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</si>
  <si>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</si>
  <si>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</si>
  <si>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</si>
  <si>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</si>
  <si>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</si>
  <si>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</si>
  <si>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</si>
  <si>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</si>
  <si>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</si>
  <si>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</si>
  <si>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</si>
  <si>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</si>
  <si>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</si>
  <si>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</si>
  <si>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</si>
  <si>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</si>
  <si>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</si>
  <si>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</si>
  <si>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</si>
  <si>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</si>
  <si>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</si>
  <si>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</si>
  <si>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</si>
  <si>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</si>
  <si>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</si>
  <si>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</si>
  <si>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</si>
  <si>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</si>
  <si>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</si>
  <si>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</si>
  <si>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</si>
  <si>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</si>
  <si>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</si>
  <si>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</si>
  <si>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</si>
  <si>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</si>
  <si>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</si>
  <si>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</si>
  <si>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</si>
  <si>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</si>
  <si>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</si>
  <si>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</si>
  <si>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</si>
  <si>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</si>
  <si>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</si>
  <si>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</si>
  <si>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</si>
  <si>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</si>
  <si>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</si>
  <si>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</si>
  <si>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</si>
  <si>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</si>
  <si>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</si>
  <si>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</si>
  <si>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</si>
  <si>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</si>
  <si>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</si>
  <si>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</si>
  <si>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</si>
  <si>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</si>
  <si>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</si>
  <si>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</si>
  <si>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</si>
  <si>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</si>
  <si>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</si>
  <si>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</si>
  <si>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</si>
  <si>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</si>
  <si>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</si>
  <si>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</si>
  <si>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</si>
  <si>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</si>
  <si>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</si>
  <si>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</si>
  <si>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</si>
  <si>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</si>
  <si>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</si>
  <si>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</si>
  <si>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</si>
  <si>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</si>
  <si>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</si>
  <si>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</si>
  <si>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</si>
  <si>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</si>
  <si>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</si>
  <si>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</si>
  <si>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</si>
  <si>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</si>
  <si>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</si>
  <si>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</si>
  <si>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</si>
  <si>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</si>
  <si>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</si>
  <si>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</si>
  <si>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</si>
  <si>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</si>
  <si>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</si>
  <si>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</si>
  <si>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</si>
  <si>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</si>
  <si>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</si>
  <si>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</si>
  <si>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</si>
  <si>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</si>
  <si>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</si>
  <si>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</si>
  <si>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</si>
  <si>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</si>
  <si>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</si>
  <si>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</si>
  <si>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</si>
  <si>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</si>
  <si>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</si>
  <si>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</si>
  <si>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</si>
  <si>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</si>
  <si>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</si>
  <si>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</si>
  <si>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</si>
  <si>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</si>
  <si>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</si>
  <si>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</si>
  <si>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</si>
  <si>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</si>
  <si>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</si>
  <si>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</si>
  <si>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</si>
  <si>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</si>
  <si>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</si>
  <si>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</si>
  <si>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</si>
  <si>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</si>
  <si>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</si>
  <si>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</si>
  <si>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</si>
  <si>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</si>
  <si>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</si>
  <si>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</si>
  <si>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</si>
  <si>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</si>
  <si>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</si>
  <si>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</si>
  <si>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</si>
  <si>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020051</t>
  </si>
  <si>
    <t>АНМО "Уфимский хоспис"</t>
  </si>
  <si>
    <t>*ГБУЗ РКНД Минздрава РБ (консультативные посещения и комплексные обращения)</t>
  </si>
  <si>
    <t>Объемы паллиативной медицинской помощи на 2023 год.</t>
  </si>
  <si>
    <t>Всего период с 01.01.2023 по 31.12.2023</t>
  </si>
  <si>
    <t xml:space="preserve"> с 01.01.2023 по 28.02.2023</t>
  </si>
  <si>
    <t xml:space="preserve"> с 01.03.2023 по 30.06.2023</t>
  </si>
  <si>
    <t xml:space="preserve"> с 01.07.2023 по 31.12.2023</t>
  </si>
  <si>
    <t>(кол-во койко-дней)</t>
  </si>
  <si>
    <t>сцинтиграфия динамическая</t>
  </si>
  <si>
    <t>Однофотонная эмиссионная компьютерная томография (ОФЭКТ)</t>
  </si>
  <si>
    <t>Объемы комплексных посещений  в части ведения школ для больных  сахарным диабетом</t>
  </si>
  <si>
    <t>Объемы комплексных посещений  в части ведения школ для больных  сахарным диабетом на 2023 год</t>
  </si>
  <si>
    <t>Комплексные посещения в части ведения школ для больных  сахарным диабетом</t>
  </si>
  <si>
    <t>Исследование уровня хлоридов в поте</t>
  </si>
  <si>
    <t>КСГ (за исключением КСГ с онкологическими заболеваниями,COVID-19, родоразрешение, кесарево сечение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</si>
</sst>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  <numFmt numFmtId="174" formatCode="#,##0.0000"/>
  </numFmts>
  <fonts count="1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1414">
    <xf numFmtId="0" fontId="0" fillId="0" borderId="0"/>
    <xf numFmtId="0" fontId="34" fillId="0" borderId="0"/>
    <xf numFmtId="0" fontId="34" fillId="0" borderId="0"/>
    <xf numFmtId="0" fontId="52" fillId="0" borderId="0"/>
    <xf numFmtId="0" fontId="54" fillId="0" borderId="0"/>
    <xf numFmtId="0" fontId="56" fillId="28" borderId="0" applyNumberFormat="0" applyBorder="0" applyAlignment="0" applyProtection="0"/>
    <xf numFmtId="0" fontId="56" fillId="29" borderId="0"/>
    <xf numFmtId="0" fontId="56" fillId="28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/>
    <xf numFmtId="0" fontId="56" fillId="30" borderId="0" applyNumberFormat="0" applyBorder="0" applyAlignment="0" applyProtection="0"/>
    <xf numFmtId="0" fontId="56" fillId="32" borderId="0" applyNumberFormat="0" applyBorder="0" applyAlignment="0" applyProtection="0"/>
    <xf numFmtId="0" fontId="56" fillId="33" borderId="0"/>
    <xf numFmtId="0" fontId="56" fillId="32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/>
    <xf numFmtId="0" fontId="56" fillId="34" borderId="0" applyNumberFormat="0" applyBorder="0" applyAlignment="0" applyProtection="0"/>
    <xf numFmtId="0" fontId="56" fillId="36" borderId="0" applyNumberFormat="0" applyBorder="0" applyAlignment="0" applyProtection="0"/>
    <xf numFmtId="0" fontId="56" fillId="37" borderId="0"/>
    <xf numFmtId="0" fontId="56" fillId="36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/>
    <xf numFmtId="0" fontId="56" fillId="3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56" fillId="28" borderId="0" applyNumberFormat="0" applyBorder="0" applyAlignment="0" applyProtection="0"/>
    <xf numFmtId="0" fontId="56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56" fillId="4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56" fillId="29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56" fillId="2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56" fillId="30" borderId="0" applyNumberFormat="0" applyBorder="0" applyAlignment="0" applyProtection="0"/>
    <xf numFmtId="0" fontId="56" fillId="30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56" fillId="3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56" fillId="31" borderId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56" fillId="30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56" fillId="4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56" fillId="33" borderId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56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56" fillId="40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56" fillId="35" borderId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56" fillId="34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56" fillId="3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56" fillId="37" borderId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56" fillId="3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6" fillId="3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6" fillId="39" borderId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6" fillId="3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/>
    <xf numFmtId="0" fontId="56" fillId="42" borderId="0" applyNumberFormat="0" applyBorder="0" applyAlignment="0" applyProtection="0"/>
    <xf numFmtId="0" fontId="56" fillId="44" borderId="0" applyNumberFormat="0" applyBorder="0" applyAlignment="0" applyProtection="0"/>
    <xf numFmtId="0" fontId="56" fillId="45" borderId="0"/>
    <xf numFmtId="0" fontId="56" fillId="44" borderId="0" applyNumberFormat="0" applyBorder="0" applyAlignment="0" applyProtection="0"/>
    <xf numFmtId="0" fontId="56" fillId="46" borderId="0" applyNumberFormat="0" applyBorder="0" applyAlignment="0" applyProtection="0"/>
    <xf numFmtId="0" fontId="56" fillId="47" borderId="0"/>
    <xf numFmtId="0" fontId="56" fillId="46" borderId="0" applyNumberFormat="0" applyBorder="0" applyAlignment="0" applyProtection="0"/>
    <xf numFmtId="0" fontId="56" fillId="34" borderId="0" applyNumberFormat="0" applyBorder="0" applyAlignment="0" applyProtection="0"/>
    <xf numFmtId="0" fontId="56" fillId="35" borderId="0"/>
    <xf numFmtId="0" fontId="56" fillId="34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/>
    <xf numFmtId="0" fontId="56" fillId="42" borderId="0" applyNumberFormat="0" applyBorder="0" applyAlignment="0" applyProtection="0"/>
    <xf numFmtId="0" fontId="56" fillId="48" borderId="0" applyNumberFormat="0" applyBorder="0" applyAlignment="0" applyProtection="0"/>
    <xf numFmtId="0" fontId="56" fillId="49" borderId="0"/>
    <xf numFmtId="0" fontId="56" fillId="48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56" fillId="50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56" fillId="43" borderId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56" fillId="42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6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6" fillId="45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6" fillId="44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6" fillId="46" borderId="0" applyNumberFormat="0" applyBorder="0" applyAlignment="0" applyProtection="0"/>
    <xf numFmtId="0" fontId="56" fillId="46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6" fillId="51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6" fillId="47" borderId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6" fillId="46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56" fillId="50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56" fillId="35" borderId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56" fillId="34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56" fillId="4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56" fillId="43" borderId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56" fillId="4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6" fillId="38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6" fillId="49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6" fillId="48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57" fillId="52" borderId="0" applyNumberFormat="0" applyBorder="0" applyAlignment="0" applyProtection="0"/>
    <xf numFmtId="0" fontId="57" fillId="53" borderId="0"/>
    <xf numFmtId="0" fontId="57" fillId="44" borderId="0" applyNumberFormat="0" applyBorder="0" applyAlignment="0" applyProtection="0"/>
    <xf numFmtId="0" fontId="57" fillId="45" borderId="0"/>
    <xf numFmtId="0" fontId="57" fillId="46" borderId="0" applyNumberFormat="0" applyBorder="0" applyAlignment="0" applyProtection="0"/>
    <xf numFmtId="0" fontId="57" fillId="47" borderId="0"/>
    <xf numFmtId="0" fontId="57" fillId="54" borderId="0" applyNumberFormat="0" applyBorder="0" applyAlignment="0" applyProtection="0"/>
    <xf numFmtId="0" fontId="57" fillId="55" borderId="0"/>
    <xf numFmtId="0" fontId="57" fillId="56" borderId="0" applyNumberFormat="0" applyBorder="0" applyAlignment="0" applyProtection="0"/>
    <xf numFmtId="0" fontId="57" fillId="57" borderId="0"/>
    <xf numFmtId="0" fontId="57" fillId="58" borderId="0" applyNumberFormat="0" applyBorder="0" applyAlignment="0" applyProtection="0"/>
    <xf numFmtId="0" fontId="57" fillId="59" borderId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41" fillId="7" borderId="0" applyNumberFormat="0" applyBorder="0" applyAlignment="0" applyProtection="0"/>
    <xf numFmtId="0" fontId="57" fillId="52" borderId="0" applyNumberFormat="0" applyBorder="0" applyAlignment="0" applyProtection="0"/>
    <xf numFmtId="0" fontId="57" fillId="52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57" fillId="56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57" fillId="53" borderId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7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41" fillId="1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57" fillId="44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57" fillId="45" borderId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1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41" fillId="15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57" fillId="51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57" fillId="47" borderId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41" fillId="19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57" fillId="50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57" fillId="55" borderId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41" fillId="23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57" fillId="56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57" fillId="57" borderId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41" fillId="27" borderId="0" applyNumberFormat="0" applyBorder="0" applyAlignment="0" applyProtection="0"/>
    <xf numFmtId="0" fontId="57" fillId="58" borderId="0" applyNumberFormat="0" applyBorder="0" applyAlignment="0" applyProtection="0"/>
    <xf numFmtId="0" fontId="57" fillId="5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57" fillId="38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57" fillId="59" borderId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57" fillId="60" borderId="0" applyNumberFormat="0" applyBorder="0" applyAlignment="0" applyProtection="0"/>
    <xf numFmtId="0" fontId="57" fillId="61" borderId="0"/>
    <xf numFmtId="0" fontId="57" fillId="62" borderId="0" applyNumberFormat="0" applyBorder="0" applyAlignment="0" applyProtection="0"/>
    <xf numFmtId="0" fontId="57" fillId="63" borderId="0"/>
    <xf numFmtId="0" fontId="57" fillId="64" borderId="0" applyNumberFormat="0" applyBorder="0" applyAlignment="0" applyProtection="0"/>
    <xf numFmtId="0" fontId="57" fillId="65" borderId="0"/>
    <xf numFmtId="0" fontId="57" fillId="54" borderId="0" applyNumberFormat="0" applyBorder="0" applyAlignment="0" applyProtection="0"/>
    <xf numFmtId="0" fontId="57" fillId="55" borderId="0"/>
    <xf numFmtId="0" fontId="57" fillId="56" borderId="0" applyNumberFormat="0" applyBorder="0" applyAlignment="0" applyProtection="0"/>
    <xf numFmtId="0" fontId="57" fillId="57" borderId="0"/>
    <xf numFmtId="0" fontId="57" fillId="66" borderId="0" applyNumberFormat="0" applyBorder="0" applyAlignment="0" applyProtection="0"/>
    <xf numFmtId="0" fontId="57" fillId="67" borderId="0"/>
    <xf numFmtId="0" fontId="58" fillId="30" borderId="0" applyNumberFormat="0" applyBorder="0" applyAlignment="0" applyProtection="0"/>
    <xf numFmtId="0" fontId="58" fillId="31" borderId="0"/>
    <xf numFmtId="0" fontId="59" fillId="50" borderId="17" applyNumberFormat="0" applyAlignment="0" applyProtection="0"/>
    <xf numFmtId="0" fontId="59" fillId="68" borderId="17"/>
    <xf numFmtId="0" fontId="60" fillId="69" borderId="18" applyNumberFormat="0" applyAlignment="0" applyProtection="0"/>
    <xf numFmtId="0" fontId="60" fillId="70" borderId="0"/>
    <xf numFmtId="0" fontId="61" fillId="0" borderId="0"/>
    <xf numFmtId="164" fontId="62" fillId="0" borderId="0"/>
    <xf numFmtId="165" fontId="62" fillId="0" borderId="0" applyBorder="0" applyProtection="0"/>
    <xf numFmtId="164" fontId="62" fillId="0" borderId="0" applyBorder="0" applyProtection="0"/>
    <xf numFmtId="164" fontId="62" fillId="0" borderId="0"/>
    <xf numFmtId="0" fontId="63" fillId="0" borderId="0"/>
    <xf numFmtId="0" fontId="63" fillId="0" borderId="0"/>
    <xf numFmtId="0" fontId="64" fillId="0" borderId="0" applyNumberFormat="0" applyFill="0" applyBorder="0" applyAlignment="0" applyProtection="0"/>
    <xf numFmtId="0" fontId="64" fillId="0" borderId="0"/>
    <xf numFmtId="0" fontId="65" fillId="32" borderId="0" applyNumberFormat="0" applyBorder="0" applyAlignment="0" applyProtection="0"/>
    <xf numFmtId="0" fontId="65" fillId="33" borderId="0"/>
    <xf numFmtId="0" fontId="66" fillId="0" borderId="0" applyNumberFormat="0" applyBorder="0" applyProtection="0">
      <alignment horizontal="center"/>
    </xf>
    <xf numFmtId="0" fontId="67" fillId="0" borderId="19" applyNumberFormat="0" applyFill="0" applyAlignment="0" applyProtection="0"/>
    <xf numFmtId="0" fontId="67" fillId="0" borderId="19"/>
    <xf numFmtId="0" fontId="68" fillId="0" borderId="20" applyNumberFormat="0" applyFill="0" applyAlignment="0" applyProtection="0"/>
    <xf numFmtId="0" fontId="68" fillId="0" borderId="20"/>
    <xf numFmtId="0" fontId="69" fillId="0" borderId="21" applyNumberFormat="0" applyFill="0" applyAlignment="0" applyProtection="0"/>
    <xf numFmtId="0" fontId="69" fillId="0" borderId="21"/>
    <xf numFmtId="0" fontId="69" fillId="0" borderId="0" applyNumberFormat="0" applyFill="0" applyBorder="0" applyAlignment="0" applyProtection="0"/>
    <xf numFmtId="0" fontId="69" fillId="0" borderId="0"/>
    <xf numFmtId="0" fontId="66" fillId="0" borderId="0" applyNumberFormat="0" applyBorder="0" applyProtection="0">
      <alignment horizontal="center" textRotation="90"/>
    </xf>
    <xf numFmtId="0" fontId="70" fillId="38" borderId="17" applyNumberFormat="0" applyAlignment="0" applyProtection="0"/>
    <xf numFmtId="0" fontId="70" fillId="39" borderId="17"/>
    <xf numFmtId="0" fontId="71" fillId="0" borderId="22" applyNumberFormat="0" applyFill="0" applyAlignment="0" applyProtection="0"/>
    <xf numFmtId="0" fontId="71" fillId="0" borderId="0"/>
    <xf numFmtId="0" fontId="72" fillId="51" borderId="0" applyNumberFormat="0" applyBorder="0" applyAlignment="0" applyProtection="0"/>
    <xf numFmtId="0" fontId="72" fillId="71" borderId="0"/>
    <xf numFmtId="0" fontId="73" fillId="0" borderId="0"/>
    <xf numFmtId="0" fontId="54" fillId="41" borderId="23" applyNumberFormat="0" applyFont="0" applyAlignment="0" applyProtection="0"/>
    <xf numFmtId="0" fontId="61" fillId="72" borderId="23"/>
    <xf numFmtId="0" fontId="74" fillId="50" borderId="24" applyNumberFormat="0" applyAlignment="0" applyProtection="0"/>
    <xf numFmtId="0" fontId="74" fillId="68" borderId="24"/>
    <xf numFmtId="0" fontId="75" fillId="0" borderId="0" applyNumberFormat="0" applyBorder="0" applyProtection="0"/>
    <xf numFmtId="166" fontId="75" fillId="0" borderId="0" applyBorder="0" applyProtection="0"/>
    <xf numFmtId="0" fontId="76" fillId="0" borderId="0" applyNumberFormat="0" applyFill="0" applyBorder="0" applyAlignment="0" applyProtection="0"/>
    <xf numFmtId="0" fontId="76" fillId="0" borderId="0"/>
    <xf numFmtId="0" fontId="77" fillId="0" borderId="25" applyNumberFormat="0" applyFill="0" applyAlignment="0" applyProtection="0"/>
    <xf numFmtId="0" fontId="77" fillId="0" borderId="26"/>
    <xf numFmtId="0" fontId="78" fillId="0" borderId="0" applyNumberFormat="0" applyFill="0" applyBorder="0" applyAlignment="0" applyProtection="0"/>
    <xf numFmtId="0" fontId="78" fillId="0" borderId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41" fillId="4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57" fillId="56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57" fillId="61" borderId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41" fillId="8" borderId="0" applyNumberFormat="0" applyBorder="0" applyAlignment="0" applyProtection="0"/>
    <xf numFmtId="0" fontId="57" fillId="62" borderId="0" applyNumberFormat="0" applyBorder="0" applyAlignment="0" applyProtection="0"/>
    <xf numFmtId="0" fontId="57" fillId="62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57" fillId="62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57" fillId="63" borderId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8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41" fillId="12" borderId="0" applyNumberFormat="0" applyBorder="0" applyAlignment="0" applyProtection="0"/>
    <xf numFmtId="0" fontId="57" fillId="64" borderId="0" applyNumberFormat="0" applyBorder="0" applyAlignment="0" applyProtection="0"/>
    <xf numFmtId="0" fontId="57" fillId="64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57" fillId="64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57" fillId="65" borderId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41" fillId="16" borderId="0" applyNumberFormat="0" applyBorder="0" applyAlignment="0" applyProtection="0"/>
    <xf numFmtId="0" fontId="57" fillId="54" borderId="0" applyNumberFormat="0" applyBorder="0" applyAlignment="0" applyProtection="0"/>
    <xf numFmtId="0" fontId="57" fillId="54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57" fillId="73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57" fillId="55" borderId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41" fillId="20" borderId="0" applyNumberFormat="0" applyBorder="0" applyAlignment="0" applyProtection="0"/>
    <xf numFmtId="0" fontId="57" fillId="56" borderId="0" applyNumberFormat="0" applyBorder="0" applyAlignment="0" applyProtection="0"/>
    <xf numFmtId="0" fontId="57" fillId="56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57" fillId="56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57" fillId="57" borderId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41" fillId="24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57" fillId="66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57" fillId="67" borderId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38" fillId="2" borderId="4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70" fillId="38" borderId="17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70" fillId="38" borderId="17" applyNumberFormat="0" applyAlignment="0" applyProtection="0"/>
    <xf numFmtId="0" fontId="70" fillId="38" borderId="17" applyNumberFormat="0" applyAlignment="0" applyProtection="0"/>
    <xf numFmtId="0" fontId="70" fillId="39" borderId="17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8" fillId="2" borderId="4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39" fillId="3" borderId="5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74" fillId="40" borderId="24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74" fillId="50" borderId="24" applyNumberFormat="0" applyAlignment="0" applyProtection="0"/>
    <xf numFmtId="0" fontId="74" fillId="50" borderId="24" applyNumberFormat="0" applyAlignment="0" applyProtection="0"/>
    <xf numFmtId="0" fontId="74" fillId="68" borderId="24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39" fillId="3" borderId="5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40" fillId="3" borderId="4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59" fillId="40" borderId="17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59" fillId="50" borderId="17" applyNumberFormat="0" applyAlignment="0" applyProtection="0"/>
    <xf numFmtId="0" fontId="59" fillId="50" borderId="17" applyNumberFormat="0" applyAlignment="0" applyProtection="0"/>
    <xf numFmtId="0" fontId="59" fillId="68" borderId="17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40" fillId="3" borderId="4" applyNumberFormat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36" fillId="0" borderId="1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81" fillId="0" borderId="27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67" fillId="0" borderId="19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37" fillId="0" borderId="2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82" fillId="0" borderId="20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68" fillId="0" borderId="2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37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83" fillId="0" borderId="3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69" fillId="0" borderId="21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4" fillId="0" borderId="28" applyNumberFormat="0" applyFill="0" applyAlignment="0" applyProtection="0"/>
    <xf numFmtId="0" fontId="69" fillId="0" borderId="21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3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6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4" fillId="0" borderId="0" applyNumberFormat="0" applyFill="0" applyBorder="0" applyAlignment="0" applyProtection="0"/>
    <xf numFmtId="0" fontId="69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54" fillId="0" borderId="0" applyNumberFormat="0" applyFon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85" fillId="0" borderId="9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77" fillId="0" borderId="25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77" fillId="0" borderId="29" applyNumberFormat="0" applyFill="0" applyAlignment="0" applyProtection="0"/>
    <xf numFmtId="0" fontId="77" fillId="0" borderId="26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5" fillId="0" borderId="9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86" fillId="0" borderId="7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60" fillId="69" borderId="18" applyNumberFormat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60" fillId="69" borderId="18" applyNumberFormat="0" applyAlignment="0" applyProtection="0"/>
    <xf numFmtId="0" fontId="60" fillId="70" borderId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6" fillId="0" borderId="7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6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72" fillId="51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2" fillId="51" borderId="0" applyNumberFormat="0" applyBorder="0" applyAlignment="0" applyProtection="0"/>
    <xf numFmtId="0" fontId="72" fillId="71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52" fillId="0" borderId="0"/>
    <xf numFmtId="0" fontId="95" fillId="0" borderId="0"/>
    <xf numFmtId="0" fontId="9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52" fillId="0" borderId="0"/>
    <xf numFmtId="0" fontId="97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2" fillId="0" borderId="0"/>
    <xf numFmtId="0" fontId="52" fillId="0" borderId="0"/>
    <xf numFmtId="0" fontId="9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90" fillId="0" borderId="0"/>
    <xf numFmtId="0" fontId="34" fillId="0" borderId="0"/>
    <xf numFmtId="0" fontId="34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52" fillId="0" borderId="0"/>
    <xf numFmtId="0" fontId="52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9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52" fillId="0" borderId="0"/>
    <xf numFmtId="0" fontId="3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35" fillId="0" borderId="0"/>
    <xf numFmtId="0" fontId="35" fillId="0" borderId="0"/>
    <xf numFmtId="0" fontId="90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9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6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6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98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9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9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4" fillId="0" borderId="0"/>
    <xf numFmtId="0" fontId="56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85" fillId="0" borderId="0"/>
    <xf numFmtId="0" fontId="52" fillId="0" borderId="0"/>
    <xf numFmtId="0" fontId="52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0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5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9" fillId="0" borderId="0"/>
    <xf numFmtId="0" fontId="97" fillId="0" borderId="0"/>
    <xf numFmtId="0" fontId="34" fillId="0" borderId="0"/>
    <xf numFmtId="0" fontId="90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5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0" fillId="0" borderId="0"/>
    <xf numFmtId="0" fontId="52" fillId="0" borderId="0"/>
    <xf numFmtId="0" fontId="34" fillId="0" borderId="0"/>
    <xf numFmtId="0" fontId="34" fillId="0" borderId="0"/>
    <xf numFmtId="0" fontId="34" fillId="0" borderId="0"/>
    <xf numFmtId="0" fontId="52" fillId="0" borderId="0"/>
    <xf numFmtId="0" fontId="35" fillId="0" borderId="0"/>
    <xf numFmtId="0" fontId="52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100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8" fillId="30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58" fillId="31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101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41" borderId="23" applyNumberFormat="0" applyFont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41" borderId="23" applyNumberFormat="0" applyFont="0" applyAlignment="0" applyProtection="0"/>
    <xf numFmtId="0" fontId="52" fillId="41" borderId="23" applyNumberFormat="0" applyFont="0" applyAlignment="0" applyProtection="0"/>
    <xf numFmtId="0" fontId="90" fillId="41" borderId="23" applyNumberFormat="0" applyFont="0" applyAlignment="0" applyProtection="0"/>
    <xf numFmtId="0" fontId="54" fillId="41" borderId="23" applyNumberFormat="0" applyFont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0" fontId="54" fillId="0" borderId="8" applyNumberFormat="0" applyFont="0" applyFill="0" applyAlignment="0" applyProtection="0"/>
    <xf numFmtId="9" fontId="34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ill="0" applyBorder="0" applyAlignment="0" applyProtection="0"/>
    <xf numFmtId="9" fontId="9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102" fillId="0" borderId="6" applyNumberFormat="0" applyFill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71" fillId="0" borderId="22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71" fillId="0" borderId="22" applyNumberFormat="0" applyFill="0" applyAlignment="0" applyProtection="0"/>
    <xf numFmtId="0" fontId="71" fillId="0" borderId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2" fillId="0" borderId="6" applyNumberFormat="0" applyFill="0" applyAlignment="0" applyProtection="0"/>
    <xf numFmtId="0" fontId="103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104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5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85" fillId="0" borderId="0" applyFont="0" applyFill="0" applyBorder="0" applyAlignment="0" applyProtection="0"/>
    <xf numFmtId="167" fontId="5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2" fillId="0" borderId="0" applyFont="0" applyFill="0" applyBorder="0" applyAlignment="0" applyProtection="0"/>
    <xf numFmtId="165" fontId="98" fillId="0" borderId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52" fillId="0" borderId="0" applyFont="0" applyFill="0" applyBorder="0" applyAlignment="0" applyProtection="0"/>
    <xf numFmtId="165" fontId="98" fillId="0" borderId="0"/>
    <xf numFmtId="168" fontId="105" fillId="0" borderId="0"/>
    <xf numFmtId="167" fontId="56" fillId="0" borderId="0" applyFont="0" applyFill="0" applyBorder="0" applyAlignment="0" applyProtection="0"/>
    <xf numFmtId="165" fontId="98" fillId="0" borderId="0"/>
    <xf numFmtId="165" fontId="98" fillId="0" borderId="0" applyFill="0" applyBorder="0" applyAlignment="0" applyProtection="0"/>
    <xf numFmtId="165" fontId="98" fillId="0" borderId="0" applyFill="0" applyBorder="0" applyAlignment="0" applyProtection="0"/>
    <xf numFmtId="165" fontId="98" fillId="0" borderId="0"/>
    <xf numFmtId="169" fontId="90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106" fillId="0" borderId="0" applyNumberForma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54" fillId="0" borderId="0" applyNumberFormat="0" applyFont="0" applyFill="0" applyBorder="0" applyAlignment="0" applyProtection="0"/>
    <xf numFmtId="0" fontId="65" fillId="32" borderId="0" applyNumberFormat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5" fillId="32" borderId="0" applyNumberFormat="0" applyBorder="0" applyAlignment="0" applyProtection="0"/>
    <xf numFmtId="0" fontId="65" fillId="33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9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120" fillId="0" borderId="0" applyNumberFormat="0" applyFill="0" applyBorder="0" applyAlignment="0" applyProtection="0"/>
    <xf numFmtId="0" fontId="56" fillId="0" borderId="0" applyFill="0" applyProtection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54" fillId="0" borderId="0"/>
    <xf numFmtId="0" fontId="29" fillId="0" borderId="0"/>
    <xf numFmtId="0" fontId="35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2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80">
    <xf numFmtId="0" fontId="0" fillId="0" borderId="0" xfId="0"/>
    <xf numFmtId="0" fontId="51" fillId="0" borderId="11" xfId="3" applyFont="1" applyFill="1" applyBorder="1" applyAlignment="1">
      <alignment horizontal="left" vertical="center" wrapText="1"/>
    </xf>
    <xf numFmtId="49" fontId="43" fillId="0" borderId="11" xfId="0" applyNumberFormat="1" applyFont="1" applyFill="1" applyBorder="1" applyAlignment="1">
      <alignment horizontal="center" vertical="center"/>
    </xf>
    <xf numFmtId="0" fontId="55" fillId="0" borderId="11" xfId="3" applyFont="1" applyFill="1" applyBorder="1" applyAlignment="1">
      <alignment horizontal="left" vertical="center" wrapText="1"/>
    </xf>
    <xf numFmtId="0" fontId="55" fillId="0" borderId="0" xfId="0" applyFont="1" applyFill="1"/>
    <xf numFmtId="0" fontId="113" fillId="0" borderId="0" xfId="0" applyFont="1" applyFill="1" applyAlignment="1">
      <alignment vertical="center"/>
    </xf>
    <xf numFmtId="0" fontId="107" fillId="0" borderId="0" xfId="0" applyFont="1" applyFill="1" applyAlignment="1">
      <alignment horizontal="center" wrapText="1"/>
    </xf>
    <xf numFmtId="0" fontId="55" fillId="0" borderId="0" xfId="0" applyFont="1" applyFill="1" applyAlignment="1">
      <alignment horizontal="justify" vertical="center"/>
    </xf>
    <xf numFmtId="0" fontId="107" fillId="0" borderId="10" xfId="0" applyFont="1" applyFill="1" applyBorder="1" applyAlignment="1">
      <alignment horizontal="center" wrapText="1"/>
    </xf>
    <xf numFmtId="0" fontId="114" fillId="0" borderId="10" xfId="0" applyFont="1" applyFill="1" applyBorder="1" applyAlignment="1">
      <alignment horizontal="right" wrapText="1"/>
    </xf>
    <xf numFmtId="0" fontId="43" fillId="0" borderId="0" xfId="0" applyFont="1" applyFill="1"/>
    <xf numFmtId="0" fontId="43" fillId="0" borderId="0" xfId="0" applyFont="1" applyFill="1" applyBorder="1" applyAlignment="1">
      <alignment horizontal="center"/>
    </xf>
    <xf numFmtId="0" fontId="115" fillId="0" borderId="11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46" fillId="0" borderId="14" xfId="0" applyFont="1" applyFill="1" applyBorder="1" applyAlignment="1">
      <alignment horizontal="center" vertical="center" wrapText="1"/>
    </xf>
    <xf numFmtId="0" fontId="47" fillId="0" borderId="0" xfId="0" applyFont="1" applyFill="1"/>
    <xf numFmtId="3" fontId="47" fillId="0" borderId="0" xfId="0" applyNumberFormat="1" applyFont="1" applyFill="1"/>
    <xf numFmtId="0" fontId="116" fillId="0" borderId="11" xfId="0" applyFont="1" applyFill="1" applyBorder="1" applyAlignment="1">
      <alignment horizontal="center" vertical="center"/>
    </xf>
    <xf numFmtId="3" fontId="115" fillId="0" borderId="11" xfId="0" applyNumberFormat="1" applyFont="1" applyFill="1" applyBorder="1" applyAlignment="1">
      <alignment horizontal="center" vertical="center" wrapText="1"/>
    </xf>
    <xf numFmtId="3" fontId="55" fillId="0" borderId="0" xfId="0" applyNumberFormat="1" applyFont="1" applyFill="1"/>
    <xf numFmtId="49" fontId="114" fillId="0" borderId="11" xfId="3" applyNumberFormat="1" applyFont="1" applyFill="1" applyBorder="1" applyAlignment="1">
      <alignment horizontal="center" vertical="center"/>
    </xf>
    <xf numFmtId="0" fontId="116" fillId="0" borderId="11" xfId="3" applyFont="1" applyFill="1" applyBorder="1" applyAlignment="1">
      <alignment horizontal="left" vertical="center" wrapText="1"/>
    </xf>
    <xf numFmtId="0" fontId="116" fillId="0" borderId="0" xfId="0" applyFont="1" applyFill="1" applyBorder="1" applyAlignment="1">
      <alignment horizontal="center" vertical="center"/>
    </xf>
    <xf numFmtId="3" fontId="118" fillId="0" borderId="14" xfId="0" applyNumberFormat="1" applyFont="1" applyFill="1" applyBorder="1" applyAlignment="1">
      <alignment horizontal="center" vertical="center" wrapText="1"/>
    </xf>
    <xf numFmtId="0" fontId="111" fillId="0" borderId="11" xfId="3" applyFont="1" applyFill="1" applyBorder="1" applyAlignment="1">
      <alignment horizontal="left" vertical="center" wrapText="1"/>
    </xf>
    <xf numFmtId="49" fontId="43" fillId="74" borderId="11" xfId="3" applyNumberFormat="1" applyFont="1" applyFill="1" applyBorder="1" applyAlignment="1">
      <alignment horizontal="center" vertical="center" wrapText="1"/>
    </xf>
    <xf numFmtId="0" fontId="53" fillId="74" borderId="11" xfId="3" applyFont="1" applyFill="1" applyBorder="1" applyAlignment="1">
      <alignment horizontal="left" vertical="center" wrapText="1"/>
    </xf>
    <xf numFmtId="0" fontId="43" fillId="74" borderId="11" xfId="3" applyFont="1" applyFill="1" applyBorder="1" applyAlignment="1">
      <alignment horizontal="center" vertical="center" wrapText="1"/>
    </xf>
    <xf numFmtId="49" fontId="43" fillId="74" borderId="11" xfId="3" applyNumberFormat="1" applyFont="1" applyFill="1" applyBorder="1" applyAlignment="1">
      <alignment horizontal="center" vertical="center"/>
    </xf>
    <xf numFmtId="0" fontId="43" fillId="74" borderId="11" xfId="3" applyFont="1" applyFill="1" applyBorder="1" applyAlignment="1">
      <alignment horizontal="left" vertical="center" wrapText="1"/>
    </xf>
    <xf numFmtId="0" fontId="51" fillId="74" borderId="0" xfId="58585" applyFont="1" applyFill="1" applyAlignment="1">
      <alignment horizontal="left" vertical="center"/>
    </xf>
    <xf numFmtId="0" fontId="51" fillId="0" borderId="11" xfId="58921" applyFont="1" applyFill="1" applyBorder="1" applyAlignment="1">
      <alignment horizontal="left" vertical="center" wrapText="1"/>
    </xf>
    <xf numFmtId="0" fontId="45" fillId="0" borderId="11" xfId="58921" applyFont="1" applyFill="1" applyBorder="1" applyAlignment="1">
      <alignment horizontal="left" vertical="center" wrapText="1"/>
    </xf>
    <xf numFmtId="3" fontId="45" fillId="0" borderId="11" xfId="58921" applyNumberFormat="1" applyFont="1" applyFill="1" applyBorder="1" applyAlignment="1">
      <alignment horizontal="center" vertical="center"/>
    </xf>
    <xf numFmtId="3" fontId="111" fillId="0" borderId="11" xfId="0" applyNumberFormat="1" applyFont="1" applyFill="1" applyBorder="1" applyAlignment="1">
      <alignment horizontal="left" vertical="center" wrapText="1"/>
    </xf>
    <xf numFmtId="170" fontId="45" fillId="0" borderId="11" xfId="58921" applyNumberFormat="1" applyFont="1" applyFill="1" applyBorder="1" applyAlignment="1">
      <alignment horizontal="center" vertical="center"/>
    </xf>
    <xf numFmtId="3" fontId="45" fillId="0" borderId="11" xfId="0" applyNumberFormat="1" applyFont="1" applyFill="1" applyBorder="1" applyAlignment="1">
      <alignment horizontal="left" vertical="center" wrapText="1"/>
    </xf>
    <xf numFmtId="3" fontId="45" fillId="0" borderId="30" xfId="58921" applyNumberFormat="1" applyFont="1" applyFill="1" applyBorder="1" applyAlignment="1">
      <alignment horizontal="center" vertical="center"/>
    </xf>
    <xf numFmtId="3" fontId="111" fillId="0" borderId="30" xfId="0" applyNumberFormat="1" applyFont="1" applyFill="1" applyBorder="1" applyAlignment="1">
      <alignment horizontal="left" vertical="center" wrapText="1"/>
    </xf>
    <xf numFmtId="3" fontId="51" fillId="0" borderId="11" xfId="58921" applyNumberFormat="1" applyFont="1" applyFill="1" applyBorder="1" applyAlignment="1">
      <alignment horizontal="center" vertical="center"/>
    </xf>
    <xf numFmtId="170" fontId="51" fillId="0" borderId="11" xfId="58921" applyNumberFormat="1" applyFont="1" applyFill="1" applyBorder="1" applyAlignment="1">
      <alignment horizontal="center" vertical="center"/>
    </xf>
    <xf numFmtId="3" fontId="51" fillId="0" borderId="30" xfId="58921" applyNumberFormat="1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left" vertical="center"/>
    </xf>
    <xf numFmtId="0" fontId="51" fillId="0" borderId="0" xfId="58585" applyFont="1" applyFill="1" applyAlignment="1">
      <alignment horizontal="center" vertical="center"/>
    </xf>
    <xf numFmtId="0" fontId="51" fillId="76" borderId="0" xfId="58585" applyFont="1" applyFill="1" applyAlignment="1">
      <alignment horizontal="center" vertical="center"/>
    </xf>
    <xf numFmtId="3" fontId="51" fillId="74" borderId="0" xfId="58585" applyNumberFormat="1" applyFont="1" applyFill="1" applyAlignment="1">
      <alignment vertical="center"/>
    </xf>
    <xf numFmtId="0" fontId="51" fillId="76" borderId="0" xfId="58585" applyFont="1" applyFill="1" applyAlignment="1">
      <alignment horizontal="right" vertical="center"/>
    </xf>
    <xf numFmtId="0" fontId="51" fillId="76" borderId="0" xfId="58585" applyNumberFormat="1" applyFont="1" applyFill="1" applyBorder="1" applyAlignment="1">
      <alignment horizontal="center" vertical="center" wrapText="1"/>
    </xf>
    <xf numFmtId="3" fontId="123" fillId="74" borderId="0" xfId="58585" applyNumberFormat="1" applyFont="1" applyFill="1" applyBorder="1" applyAlignment="1">
      <alignment horizontal="right" vertical="center"/>
    </xf>
    <xf numFmtId="4" fontId="123" fillId="76" borderId="0" xfId="58585" applyNumberFormat="1" applyFont="1" applyFill="1" applyBorder="1" applyAlignment="1">
      <alignment horizontal="right" vertical="center"/>
    </xf>
    <xf numFmtId="3" fontId="123" fillId="76" borderId="0" xfId="58585" applyNumberFormat="1" applyFont="1" applyFill="1" applyBorder="1" applyAlignment="1">
      <alignment horizontal="right" vertical="center"/>
    </xf>
    <xf numFmtId="0" fontId="48" fillId="76" borderId="0" xfId="58585" applyFont="1" applyFill="1" applyAlignment="1">
      <alignment horizontal="right" vertical="center"/>
    </xf>
    <xf numFmtId="3" fontId="48" fillId="77" borderId="11" xfId="58585" applyNumberFormat="1" applyFont="1" applyFill="1" applyBorder="1" applyAlignment="1">
      <alignment horizontal="right" vertical="center"/>
    </xf>
    <xf numFmtId="3" fontId="48" fillId="0" borderId="11" xfId="58585" applyNumberFormat="1" applyFont="1" applyFill="1" applyBorder="1" applyAlignment="1">
      <alignment horizontal="right" vertical="center"/>
    </xf>
    <xf numFmtId="3" fontId="51" fillId="74" borderId="0" xfId="58585" applyNumberFormat="1" applyFont="1" applyFill="1" applyAlignment="1">
      <alignment horizontal="right" vertical="center"/>
    </xf>
    <xf numFmtId="0" fontId="48" fillId="0" borderId="11" xfId="58585" applyFont="1" applyBorder="1" applyAlignment="1">
      <alignment horizontal="center" vertical="center"/>
    </xf>
    <xf numFmtId="4" fontId="48" fillId="74" borderId="11" xfId="58585" applyNumberFormat="1" applyFont="1" applyFill="1" applyBorder="1" applyAlignment="1">
      <alignment vertical="center" wrapText="1"/>
    </xf>
    <xf numFmtId="4" fontId="48" fillId="74" borderId="11" xfId="58585" applyNumberFormat="1" applyFont="1" applyFill="1" applyBorder="1" applyAlignment="1">
      <alignment horizontal="center" vertical="center" wrapText="1"/>
    </xf>
    <xf numFmtId="3" fontId="51" fillId="74" borderId="11" xfId="58585" applyNumberFormat="1" applyFont="1" applyFill="1" applyBorder="1" applyAlignment="1">
      <alignment vertical="center" wrapText="1"/>
    </xf>
    <xf numFmtId="0" fontId="48" fillId="74" borderId="0" xfId="58585" applyFont="1" applyFill="1" applyAlignment="1">
      <alignment horizontal="right" vertical="center"/>
    </xf>
    <xf numFmtId="0" fontId="51" fillId="0" borderId="11" xfId="58585" applyFont="1" applyBorder="1" applyAlignment="1">
      <alignment horizontal="center" vertical="center"/>
    </xf>
    <xf numFmtId="4" fontId="51" fillId="74" borderId="11" xfId="58585" applyNumberFormat="1" applyFont="1" applyFill="1" applyBorder="1" applyAlignment="1">
      <alignment horizontal="center" vertical="center" wrapText="1"/>
    </xf>
    <xf numFmtId="3" fontId="51" fillId="0" borderId="11" xfId="58585" applyNumberFormat="1" applyFont="1" applyFill="1" applyBorder="1" applyAlignment="1">
      <alignment vertical="center" wrapText="1"/>
    </xf>
    <xf numFmtId="0" fontId="51" fillId="74" borderId="0" xfId="58585" applyFont="1" applyFill="1" applyAlignment="1">
      <alignment horizontal="right" vertical="center"/>
    </xf>
    <xf numFmtId="4" fontId="51" fillId="76" borderId="0" xfId="58585" applyNumberFormat="1" applyFont="1" applyFill="1" applyAlignment="1">
      <alignment horizontal="right" vertical="center"/>
    </xf>
    <xf numFmtId="3" fontId="51" fillId="76" borderId="0" xfId="58585" applyNumberFormat="1" applyFont="1" applyFill="1" applyAlignment="1">
      <alignment horizontal="right" vertical="center"/>
    </xf>
    <xf numFmtId="0" fontId="112" fillId="0" borderId="0" xfId="61314" applyFont="1"/>
    <xf numFmtId="0" fontId="108" fillId="0" borderId="10" xfId="61314" applyFont="1" applyBorder="1" applyAlignment="1">
      <alignment horizontal="center" wrapText="1"/>
    </xf>
    <xf numFmtId="0" fontId="47" fillId="0" borderId="11" xfId="61314" applyFont="1" applyBorder="1" applyAlignment="1">
      <alignment horizontal="center" vertical="center" wrapText="1"/>
    </xf>
    <xf numFmtId="0" fontId="47" fillId="0" borderId="11" xfId="61314" applyFont="1" applyBorder="1" applyAlignment="1">
      <alignment horizontal="center" wrapText="1"/>
    </xf>
    <xf numFmtId="0" fontId="47" fillId="0" borderId="11" xfId="61314" applyFont="1" applyBorder="1" applyAlignment="1">
      <alignment horizontal="center"/>
    </xf>
    <xf numFmtId="49" fontId="47" fillId="0" borderId="11" xfId="61314" applyNumberFormat="1" applyFont="1" applyBorder="1" applyAlignment="1">
      <alignment horizontal="center" vertical="center" wrapText="1"/>
    </xf>
    <xf numFmtId="0" fontId="47" fillId="0" borderId="11" xfId="61314" applyFont="1" applyBorder="1" applyAlignment="1">
      <alignment horizontal="left" vertical="center" wrapText="1"/>
    </xf>
    <xf numFmtId="3" fontId="47" fillId="0" borderId="11" xfId="61314" applyNumberFormat="1" applyFont="1" applyBorder="1" applyAlignment="1">
      <alignment horizontal="center" vertical="center"/>
    </xf>
    <xf numFmtId="0" fontId="51" fillId="74" borderId="11" xfId="58975" applyFont="1" applyFill="1" applyBorder="1" applyAlignment="1">
      <alignment horizontal="center" vertical="center" wrapText="1"/>
    </xf>
    <xf numFmtId="49" fontId="51" fillId="74" borderId="11" xfId="58975" applyNumberFormat="1" applyFont="1" applyFill="1" applyBorder="1" applyAlignment="1">
      <alignment horizontal="center" vertical="center" wrapText="1"/>
    </xf>
    <xf numFmtId="0" fontId="48" fillId="74" borderId="11" xfId="58975" applyFont="1" applyFill="1" applyBorder="1" applyAlignment="1">
      <alignment horizontal="center" vertical="center" wrapText="1"/>
    </xf>
    <xf numFmtId="49" fontId="48" fillId="74" borderId="11" xfId="58975" applyNumberFormat="1" applyFont="1" applyFill="1" applyBorder="1" applyAlignment="1">
      <alignment horizontal="center" vertical="center"/>
    </xf>
    <xf numFmtId="0" fontId="128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5" fillId="78" borderId="11" xfId="0" applyFont="1" applyFill="1" applyBorder="1" applyAlignment="1">
      <alignment horizontal="center" vertical="center" wrapText="1"/>
    </xf>
    <xf numFmtId="0" fontId="129" fillId="0" borderId="11" xfId="0" applyFont="1" applyBorder="1" applyAlignment="1">
      <alignment horizontal="center" vertical="center"/>
    </xf>
    <xf numFmtId="3" fontId="107" fillId="78" borderId="11" xfId="0" applyNumberFormat="1" applyFont="1" applyFill="1" applyBorder="1" applyAlignment="1">
      <alignment horizontal="center" vertical="center" wrapText="1"/>
    </xf>
    <xf numFmtId="0" fontId="107" fillId="78" borderId="11" xfId="0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/>
    </xf>
    <xf numFmtId="0" fontId="55" fillId="78" borderId="11" xfId="0" applyFont="1" applyFill="1" applyBorder="1" applyAlignment="1">
      <alignment vertical="center" wrapText="1"/>
    </xf>
    <xf numFmtId="3" fontId="129" fillId="0" borderId="11" xfId="0" applyNumberFormat="1" applyFont="1" applyBorder="1" applyAlignment="1">
      <alignment horizontal="center" vertical="center"/>
    </xf>
    <xf numFmtId="0" fontId="129" fillId="78" borderId="11" xfId="0" applyFont="1" applyFill="1" applyBorder="1" applyAlignment="1">
      <alignment horizontal="center" vertical="center"/>
    </xf>
    <xf numFmtId="0" fontId="129" fillId="78" borderId="11" xfId="0" applyFont="1" applyFill="1" applyBorder="1" applyAlignment="1">
      <alignment vertical="center" wrapText="1"/>
    </xf>
    <xf numFmtId="0" fontId="113" fillId="0" borderId="11" xfId="0" applyFont="1" applyBorder="1" applyAlignment="1">
      <alignment horizontal="center" vertical="center"/>
    </xf>
    <xf numFmtId="0" fontId="107" fillId="0" borderId="11" xfId="0" applyFont="1" applyBorder="1" applyAlignment="1">
      <alignment horizontal="center" vertical="center"/>
    </xf>
    <xf numFmtId="0" fontId="55" fillId="0" borderId="11" xfId="0" applyFont="1" applyBorder="1" applyAlignment="1">
      <alignment vertical="center" wrapText="1"/>
    </xf>
    <xf numFmtId="0" fontId="55" fillId="0" borderId="0" xfId="0" applyFont="1" applyAlignment="1">
      <alignment horizontal="justify" vertical="center"/>
    </xf>
    <xf numFmtId="0" fontId="85" fillId="0" borderId="0" xfId="0" applyFont="1"/>
    <xf numFmtId="0" fontId="55" fillId="0" borderId="0" xfId="0" applyFont="1" applyAlignment="1">
      <alignment horizontal="left" vertical="center"/>
    </xf>
    <xf numFmtId="3" fontId="55" fillId="0" borderId="0" xfId="0" applyNumberFormat="1" applyFont="1" applyAlignment="1">
      <alignment horizontal="center" vertical="center"/>
    </xf>
    <xf numFmtId="3" fontId="43" fillId="0" borderId="11" xfId="0" applyNumberFormat="1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left" vertical="center"/>
    </xf>
    <xf numFmtId="3" fontId="43" fillId="0" borderId="0" xfId="0" applyNumberFormat="1" applyFont="1" applyFill="1" applyAlignment="1">
      <alignment horizontal="center" vertical="center"/>
    </xf>
    <xf numFmtId="3" fontId="43" fillId="0" borderId="11" xfId="0" applyNumberFormat="1" applyFont="1" applyFill="1" applyBorder="1" applyAlignment="1">
      <alignment horizontal="center" vertical="center"/>
    </xf>
    <xf numFmtId="3" fontId="124" fillId="0" borderId="11" xfId="0" applyNumberFormat="1" applyFont="1" applyFill="1" applyBorder="1" applyAlignment="1">
      <alignment horizontal="center" vertical="center"/>
    </xf>
    <xf numFmtId="3" fontId="51" fillId="0" borderId="0" xfId="0" applyNumberFormat="1" applyFont="1" applyFill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4" fontId="51" fillId="74" borderId="0" xfId="58867" applyNumberFormat="1" applyFont="1" applyFill="1" applyAlignment="1">
      <alignment horizontal="right" vertical="center"/>
    </xf>
    <xf numFmtId="3" fontId="51" fillId="74" borderId="0" xfId="58867" applyNumberFormat="1" applyFont="1" applyFill="1" applyAlignment="1">
      <alignment horizontal="center" vertical="center"/>
    </xf>
    <xf numFmtId="3" fontId="51" fillId="74" borderId="0" xfId="58867" applyNumberFormat="1" applyFont="1" applyFill="1" applyBorder="1" applyAlignment="1">
      <alignment horizontal="center" vertical="center" wrapText="1"/>
    </xf>
    <xf numFmtId="4" fontId="110" fillId="74" borderId="0" xfId="58867" applyNumberFormat="1" applyFont="1" applyFill="1" applyAlignment="1">
      <alignment horizontal="right" vertical="center"/>
    </xf>
    <xf numFmtId="3" fontId="43" fillId="74" borderId="11" xfId="58940" applyNumberFormat="1" applyFont="1" applyFill="1" applyBorder="1" applyAlignment="1">
      <alignment horizontal="center" vertical="center" wrapText="1"/>
    </xf>
    <xf numFmtId="3" fontId="53" fillId="74" borderId="11" xfId="58940" applyNumberFormat="1" applyFont="1" applyFill="1" applyBorder="1" applyAlignment="1">
      <alignment horizontal="left" vertical="center" wrapText="1"/>
    </xf>
    <xf numFmtId="3" fontId="53" fillId="74" borderId="11" xfId="58940" applyNumberFormat="1" applyFont="1" applyFill="1" applyBorder="1" applyAlignment="1">
      <alignment horizontal="center" vertical="center" wrapText="1"/>
    </xf>
    <xf numFmtId="3" fontId="53" fillId="74" borderId="15" xfId="58940" applyNumberFormat="1" applyFont="1" applyFill="1" applyBorder="1" applyAlignment="1">
      <alignment horizontal="left" vertical="center" wrapText="1"/>
    </xf>
    <xf numFmtId="3" fontId="53" fillId="74" borderId="15" xfId="58940" applyNumberFormat="1" applyFont="1" applyFill="1" applyBorder="1" applyAlignment="1">
      <alignment horizontal="center" vertical="center" wrapText="1"/>
    </xf>
    <xf numFmtId="3" fontId="43" fillId="74" borderId="11" xfId="58940" applyNumberFormat="1" applyFont="1" applyFill="1" applyBorder="1" applyAlignment="1">
      <alignment horizontal="center" vertical="center"/>
    </xf>
    <xf numFmtId="3" fontId="43" fillId="74" borderId="15" xfId="58940" applyNumberFormat="1" applyFont="1" applyFill="1" applyBorder="1" applyAlignment="1">
      <alignment horizontal="left" vertical="center" wrapText="1"/>
    </xf>
    <xf numFmtId="3" fontId="43" fillId="74" borderId="15" xfId="58940" applyNumberFormat="1" applyFont="1" applyFill="1" applyBorder="1" applyAlignment="1">
      <alignment horizontal="center" vertical="center" wrapText="1"/>
    </xf>
    <xf numFmtId="3" fontId="51" fillId="74" borderId="11" xfId="58940" applyNumberFormat="1" applyFont="1" applyFill="1" applyBorder="1" applyAlignment="1">
      <alignment horizontal="center" vertical="center" wrapText="1"/>
    </xf>
    <xf numFmtId="3" fontId="51" fillId="74" borderId="15" xfId="58940" applyNumberFormat="1" applyFont="1" applyFill="1" applyBorder="1" applyAlignment="1">
      <alignment horizontal="left" vertical="center" wrapText="1"/>
    </xf>
    <xf numFmtId="3" fontId="51" fillId="74" borderId="15" xfId="58940" applyNumberFormat="1" applyFont="1" applyFill="1" applyBorder="1" applyAlignment="1">
      <alignment horizontal="center" vertical="center" wrapText="1"/>
    </xf>
    <xf numFmtId="49" fontId="43" fillId="74" borderId="11" xfId="58940" applyNumberFormat="1" applyFont="1" applyFill="1" applyBorder="1" applyAlignment="1">
      <alignment horizontal="center" vertical="center" wrapText="1"/>
    </xf>
    <xf numFmtId="0" fontId="43" fillId="74" borderId="11" xfId="58940" applyFont="1" applyFill="1" applyBorder="1" applyAlignment="1">
      <alignment horizontal="left" vertical="center" wrapText="1"/>
    </xf>
    <xf numFmtId="3" fontId="43" fillId="74" borderId="11" xfId="58867" applyNumberFormat="1" applyFont="1" applyFill="1" applyBorder="1" applyAlignment="1">
      <alignment horizontal="center" vertical="center" wrapText="1"/>
    </xf>
    <xf numFmtId="3" fontId="53" fillId="74" borderId="15" xfId="58867" applyNumberFormat="1" applyFont="1" applyFill="1" applyBorder="1" applyAlignment="1">
      <alignment horizontal="left" vertical="center" wrapText="1"/>
    </xf>
    <xf numFmtId="3" fontId="53" fillId="74" borderId="15" xfId="58867" applyNumberFormat="1" applyFont="1" applyFill="1" applyBorder="1" applyAlignment="1">
      <alignment horizontal="center" vertical="center" wrapText="1"/>
    </xf>
    <xf numFmtId="3" fontId="43" fillId="74" borderId="30" xfId="58940" applyNumberFormat="1" applyFont="1" applyFill="1" applyBorder="1" applyAlignment="1">
      <alignment horizontal="center" vertical="center"/>
    </xf>
    <xf numFmtId="3" fontId="43" fillId="74" borderId="30" xfId="58940" applyNumberFormat="1" applyFont="1" applyFill="1" applyBorder="1" applyAlignment="1">
      <alignment horizontal="center" vertical="center" wrapText="1"/>
    </xf>
    <xf numFmtId="49" fontId="43" fillId="74" borderId="11" xfId="61302" applyNumberFormat="1" applyFont="1" applyFill="1" applyBorder="1" applyAlignment="1">
      <alignment horizontal="center" vertical="center"/>
    </xf>
    <xf numFmtId="0" fontId="51" fillId="74" borderId="11" xfId="58940" applyFont="1" applyFill="1" applyBorder="1" applyAlignment="1">
      <alignment horizontal="left" vertical="center" wrapText="1"/>
    </xf>
    <xf numFmtId="3" fontId="43" fillId="74" borderId="11" xfId="58867" applyNumberFormat="1" applyFont="1" applyFill="1" applyBorder="1" applyAlignment="1">
      <alignment horizontal="center" vertical="center"/>
    </xf>
    <xf numFmtId="3" fontId="43" fillId="74" borderId="15" xfId="58867" applyNumberFormat="1" applyFont="1" applyFill="1" applyBorder="1" applyAlignment="1">
      <alignment horizontal="left" vertical="center" wrapText="1"/>
    </xf>
    <xf numFmtId="3" fontId="43" fillId="74" borderId="15" xfId="58867" applyNumberFormat="1" applyFont="1" applyFill="1" applyBorder="1" applyAlignment="1">
      <alignment horizontal="center" vertical="center" wrapText="1"/>
    </xf>
    <xf numFmtId="3" fontId="48" fillId="74" borderId="11" xfId="58867" applyNumberFormat="1" applyFont="1" applyFill="1" applyBorder="1" applyAlignment="1">
      <alignment horizontal="center" vertical="center"/>
    </xf>
    <xf numFmtId="3" fontId="48" fillId="74" borderId="0" xfId="58867" applyNumberFormat="1" applyFont="1" applyFill="1" applyAlignment="1">
      <alignment horizontal="right" vertical="center"/>
    </xf>
    <xf numFmtId="3" fontId="48" fillId="74" borderId="11" xfId="58867" applyNumberFormat="1" applyFont="1" applyFill="1" applyBorder="1" applyAlignment="1">
      <alignment horizontal="center" vertical="center" wrapText="1"/>
    </xf>
    <xf numFmtId="3" fontId="51" fillId="74" borderId="0" xfId="58867" applyNumberFormat="1" applyFont="1" applyFill="1" applyAlignment="1">
      <alignment horizontal="left" vertical="center"/>
    </xf>
    <xf numFmtId="3" fontId="51" fillId="74" borderId="0" xfId="58867" applyNumberFormat="1" applyFont="1" applyFill="1" applyAlignment="1">
      <alignment horizontal="right" vertical="center"/>
    </xf>
    <xf numFmtId="0" fontId="55" fillId="0" borderId="0" xfId="59013" applyFont="1" applyFill="1" applyAlignment="1">
      <alignment vertical="center"/>
    </xf>
    <xf numFmtId="0" fontId="128" fillId="0" borderId="0" xfId="59013" applyFont="1" applyFill="1" applyBorder="1" applyAlignment="1">
      <alignment horizontal="center" vertical="center" wrapText="1"/>
    </xf>
    <xf numFmtId="0" fontId="42" fillId="0" borderId="11" xfId="59013" applyFont="1" applyFill="1" applyBorder="1" applyAlignment="1" applyProtection="1">
      <alignment horizontal="center" vertical="center" wrapText="1"/>
      <protection locked="0"/>
    </xf>
    <xf numFmtId="0" fontId="108" fillId="0" borderId="11" xfId="59013" applyFont="1" applyFill="1" applyBorder="1" applyAlignment="1" applyProtection="1">
      <alignment horizontal="center" vertical="center" wrapText="1"/>
      <protection locked="0"/>
    </xf>
    <xf numFmtId="0" fontId="108" fillId="0" borderId="0" xfId="59013" applyFont="1" applyFill="1" applyAlignment="1" applyProtection="1">
      <alignment vertical="center"/>
      <protection locked="0"/>
    </xf>
    <xf numFmtId="0" fontId="132" fillId="0" borderId="11" xfId="59013" applyFont="1" applyFill="1" applyBorder="1" applyAlignment="1" applyProtection="1">
      <alignment horizontal="center" vertical="center" wrapText="1"/>
      <protection locked="0"/>
    </xf>
    <xf numFmtId="3" fontId="108" fillId="0" borderId="11" xfId="59013" applyNumberFormat="1" applyFont="1" applyFill="1" applyBorder="1" applyAlignment="1" applyProtection="1">
      <alignment horizontal="center" vertical="center"/>
      <protection locked="0"/>
    </xf>
    <xf numFmtId="0" fontId="108" fillId="0" borderId="11" xfId="59013" applyFont="1" applyFill="1" applyBorder="1" applyAlignment="1">
      <alignment vertical="center"/>
    </xf>
    <xf numFmtId="0" fontId="108" fillId="0" borderId="11" xfId="59013" applyFont="1" applyBorder="1" applyAlignment="1">
      <alignment horizontal="center" vertical="center"/>
    </xf>
    <xf numFmtId="3" fontId="108" fillId="0" borderId="11" xfId="59013" applyNumberFormat="1" applyFont="1" applyFill="1" applyBorder="1" applyAlignment="1">
      <alignment horizontal="center" vertical="center"/>
    </xf>
    <xf numFmtId="0" fontId="133" fillId="0" borderId="11" xfId="59013" applyFont="1" applyFill="1" applyBorder="1" applyAlignment="1" applyProtection="1">
      <alignment horizontal="center" vertical="center" wrapText="1"/>
      <protection locked="0"/>
    </xf>
    <xf numFmtId="3" fontId="133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28" fillId="0" borderId="0" xfId="59013" applyFont="1" applyFill="1" applyAlignment="1">
      <alignment vertical="center"/>
    </xf>
    <xf numFmtId="0" fontId="108" fillId="0" borderId="0" xfId="59013" applyFont="1" applyFill="1" applyAlignment="1">
      <alignment vertical="center"/>
    </xf>
    <xf numFmtId="0" fontId="107" fillId="0" borderId="0" xfId="59013" applyFont="1" applyFill="1" applyAlignment="1">
      <alignment vertical="center"/>
    </xf>
    <xf numFmtId="0" fontId="51" fillId="74" borderId="11" xfId="58975" applyFont="1" applyFill="1" applyBorder="1" applyAlignment="1">
      <alignment horizontal="left" vertical="center" wrapText="1"/>
    </xf>
    <xf numFmtId="0" fontId="45" fillId="74" borderId="0" xfId="61317" applyFont="1" applyFill="1" applyAlignment="1">
      <alignment vertical="center"/>
    </xf>
    <xf numFmtId="0" fontId="45" fillId="74" borderId="11" xfId="61317" applyFont="1" applyFill="1" applyBorder="1" applyAlignment="1">
      <alignment horizontal="center" vertical="center" wrapText="1"/>
    </xf>
    <xf numFmtId="3" fontId="45" fillId="74" borderId="11" xfId="61317" applyNumberFormat="1" applyFont="1" applyFill="1" applyBorder="1" applyAlignment="1">
      <alignment horizontal="center" vertical="center"/>
    </xf>
    <xf numFmtId="3" fontId="45" fillId="74" borderId="11" xfId="61317" applyNumberFormat="1" applyFont="1" applyFill="1" applyBorder="1" applyAlignment="1">
      <alignment horizontal="center" vertical="center" wrapText="1"/>
    </xf>
    <xf numFmtId="0" fontId="121" fillId="74" borderId="11" xfId="61317" applyFont="1" applyFill="1" applyBorder="1" applyAlignment="1">
      <alignment vertical="center"/>
    </xf>
    <xf numFmtId="3" fontId="121" fillId="74" borderId="11" xfId="61317" applyNumberFormat="1" applyFont="1" applyFill="1" applyBorder="1" applyAlignment="1">
      <alignment horizontal="center" vertical="center" wrapText="1"/>
    </xf>
    <xf numFmtId="3" fontId="121" fillId="74" borderId="11" xfId="61317" applyNumberFormat="1" applyFont="1" applyFill="1" applyBorder="1" applyAlignment="1">
      <alignment horizontal="center" vertical="center"/>
    </xf>
    <xf numFmtId="49" fontId="51" fillId="74" borderId="11" xfId="58975" applyNumberFormat="1" applyFont="1" applyFill="1" applyBorder="1" applyAlignment="1">
      <alignment horizontal="center" vertical="center"/>
    </xf>
    <xf numFmtId="49" fontId="45" fillId="74" borderId="11" xfId="61317" applyNumberFormat="1" applyFont="1" applyFill="1" applyBorder="1" applyAlignment="1">
      <alignment horizontal="center" vertical="center"/>
    </xf>
    <xf numFmtId="3" fontId="45" fillId="74" borderId="0" xfId="61317" applyNumberFormat="1" applyFont="1" applyFill="1" applyBorder="1" applyAlignment="1">
      <alignment horizontal="left" vertical="center"/>
    </xf>
    <xf numFmtId="49" fontId="45" fillId="74" borderId="0" xfId="61317" applyNumberFormat="1" applyFont="1" applyFill="1" applyBorder="1" applyAlignment="1">
      <alignment horizontal="left" vertical="center"/>
    </xf>
    <xf numFmtId="3" fontId="45" fillId="74" borderId="0" xfId="61317" applyNumberFormat="1" applyFont="1" applyFill="1" applyBorder="1" applyAlignment="1">
      <alignment horizontal="right" vertical="center"/>
    </xf>
    <xf numFmtId="3" fontId="45" fillId="74" borderId="0" xfId="61317" applyNumberFormat="1" applyFont="1" applyFill="1" applyBorder="1" applyAlignment="1">
      <alignment horizontal="center" vertical="center"/>
    </xf>
    <xf numFmtId="3" fontId="45" fillId="74" borderId="0" xfId="61317" applyNumberFormat="1" applyFont="1" applyFill="1" applyBorder="1" applyAlignment="1">
      <alignment vertical="center"/>
    </xf>
    <xf numFmtId="0" fontId="45" fillId="74" borderId="0" xfId="61317" applyFont="1" applyFill="1" applyBorder="1" applyAlignment="1">
      <alignment horizontal="center" vertical="center"/>
    </xf>
    <xf numFmtId="49" fontId="45" fillId="74" borderId="0" xfId="61317" applyNumberFormat="1" applyFont="1" applyFill="1" applyBorder="1" applyAlignment="1">
      <alignment horizontal="center" vertical="center"/>
    </xf>
    <xf numFmtId="0" fontId="45" fillId="74" borderId="0" xfId="61317" applyFont="1" applyFill="1" applyBorder="1" applyAlignment="1">
      <alignment horizontal="right" vertical="center"/>
    </xf>
    <xf numFmtId="0" fontId="45" fillId="74" borderId="0" xfId="61317" applyFont="1" applyFill="1" applyBorder="1" applyAlignment="1">
      <alignment vertical="center"/>
    </xf>
    <xf numFmtId="0" fontId="45" fillId="74" borderId="0" xfId="61317" applyFont="1" applyFill="1" applyAlignment="1">
      <alignment horizontal="center" vertical="center"/>
    </xf>
    <xf numFmtId="49" fontId="45" fillId="74" borderId="0" xfId="61317" applyNumberFormat="1" applyFont="1" applyFill="1" applyAlignment="1">
      <alignment horizontal="center" vertical="center"/>
    </xf>
    <xf numFmtId="3" fontId="45" fillId="74" borderId="0" xfId="61317" applyNumberFormat="1" applyFont="1" applyFill="1" applyAlignment="1">
      <alignment horizontal="center" vertical="center"/>
    </xf>
    <xf numFmtId="3" fontId="45" fillId="74" borderId="0" xfId="61317" applyNumberFormat="1" applyFont="1" applyFill="1" applyAlignment="1">
      <alignment vertical="center"/>
    </xf>
    <xf numFmtId="3" fontId="45" fillId="74" borderId="0" xfId="61317" applyNumberFormat="1" applyFont="1" applyFill="1" applyAlignment="1">
      <alignment horizontal="left" vertical="center"/>
    </xf>
    <xf numFmtId="4" fontId="121" fillId="74" borderId="11" xfId="61317" applyNumberFormat="1" applyFont="1" applyFill="1" applyBorder="1" applyAlignment="1">
      <alignment vertical="center" wrapText="1"/>
    </xf>
    <xf numFmtId="4" fontId="45" fillId="74" borderId="11" xfId="61317" applyNumberFormat="1" applyFont="1" applyFill="1" applyBorder="1" applyAlignment="1">
      <alignment vertical="center" wrapText="1"/>
    </xf>
    <xf numFmtId="3" fontId="45" fillId="74" borderId="11" xfId="61317" applyNumberFormat="1" applyFont="1" applyFill="1" applyBorder="1" applyAlignment="1">
      <alignment horizontal="left" vertical="center"/>
    </xf>
    <xf numFmtId="3" fontId="45" fillId="74" borderId="0" xfId="61317" applyNumberFormat="1" applyFont="1" applyFill="1" applyAlignment="1">
      <alignment horizontal="right" vertical="center"/>
    </xf>
    <xf numFmtId="0" fontId="139" fillId="74" borderId="0" xfId="58923" applyFont="1" applyFill="1" applyAlignment="1">
      <alignment horizontal="center" vertical="center"/>
    </xf>
    <xf numFmtId="0" fontId="139" fillId="74" borderId="0" xfId="58923" applyFont="1" applyFill="1" applyBorder="1" applyAlignment="1">
      <alignment horizontal="left" vertical="center"/>
    </xf>
    <xf numFmtId="0" fontId="140" fillId="74" borderId="0" xfId="58923" applyFont="1" applyFill="1" applyBorder="1" applyAlignment="1">
      <alignment horizontal="center" vertical="center"/>
    </xf>
    <xf numFmtId="0" fontId="97" fillId="74" borderId="0" xfId="58923" applyFont="1" applyFill="1" applyAlignment="1">
      <alignment horizontal="center" vertical="center"/>
    </xf>
    <xf numFmtId="0" fontId="139" fillId="74" borderId="44" xfId="58923" applyFont="1" applyFill="1" applyBorder="1" applyAlignment="1">
      <alignment vertical="center"/>
    </xf>
    <xf numFmtId="0" fontId="107" fillId="74" borderId="34" xfId="58923" applyFont="1" applyFill="1" applyBorder="1" applyAlignment="1">
      <alignment vertical="center"/>
    </xf>
    <xf numFmtId="0" fontId="107" fillId="74" borderId="35" xfId="58923" applyFont="1" applyFill="1" applyBorder="1" applyAlignment="1">
      <alignment vertical="center"/>
    </xf>
    <xf numFmtId="0" fontId="141" fillId="74" borderId="0" xfId="58923" applyFont="1" applyFill="1" applyAlignment="1">
      <alignment horizontal="center" vertical="center"/>
    </xf>
    <xf numFmtId="0" fontId="143" fillId="74" borderId="11" xfId="58923" applyFont="1" applyFill="1" applyBorder="1" applyAlignment="1">
      <alignment horizontal="center" vertical="center" wrapText="1"/>
    </xf>
    <xf numFmtId="0" fontId="147" fillId="74" borderId="11" xfId="58923" applyFont="1" applyFill="1" applyBorder="1" applyAlignment="1">
      <alignment horizontal="center" vertical="center" wrapText="1"/>
    </xf>
    <xf numFmtId="0" fontId="146" fillId="74" borderId="11" xfId="58923" applyFont="1" applyFill="1" applyBorder="1" applyAlignment="1">
      <alignment horizontal="center" vertical="center" wrapText="1"/>
    </xf>
    <xf numFmtId="3" fontId="141" fillId="74" borderId="40" xfId="58923" applyNumberFormat="1" applyFont="1" applyFill="1" applyBorder="1" applyAlignment="1">
      <alignment horizontal="center" vertical="center" wrapText="1"/>
    </xf>
    <xf numFmtId="3" fontId="107" fillId="74" borderId="11" xfId="58923" applyNumberFormat="1" applyFont="1" applyFill="1" applyBorder="1" applyAlignment="1">
      <alignment vertical="center"/>
    </xf>
    <xf numFmtId="3" fontId="148" fillId="74" borderId="14" xfId="58923" applyNumberFormat="1" applyFont="1" applyFill="1" applyBorder="1" applyAlignment="1">
      <alignment horizontal="center" vertical="center" wrapText="1"/>
    </xf>
    <xf numFmtId="3" fontId="149" fillId="74" borderId="11" xfId="58923" applyNumberFormat="1" applyFont="1" applyFill="1" applyBorder="1" applyAlignment="1">
      <alignment horizontal="center" vertical="center" wrapText="1"/>
    </xf>
    <xf numFmtId="3" fontId="148" fillId="74" borderId="11" xfId="58923" applyNumberFormat="1" applyFont="1" applyFill="1" applyBorder="1" applyAlignment="1">
      <alignment horizontal="center" vertical="center" wrapText="1"/>
    </xf>
    <xf numFmtId="3" fontId="148" fillId="74" borderId="39" xfId="58923" applyNumberFormat="1" applyFont="1" applyFill="1" applyBorder="1" applyAlignment="1">
      <alignment horizontal="center" vertical="center"/>
    </xf>
    <xf numFmtId="3" fontId="48" fillId="74" borderId="14" xfId="58923" applyNumberFormat="1" applyFont="1" applyFill="1" applyBorder="1" applyAlignment="1">
      <alignment horizontal="center" vertical="center" wrapText="1"/>
    </xf>
    <xf numFmtId="3" fontId="148" fillId="74" borderId="39" xfId="58923" applyNumberFormat="1" applyFont="1" applyFill="1" applyBorder="1" applyAlignment="1">
      <alignment horizontal="center" vertical="center" wrapText="1"/>
    </xf>
    <xf numFmtId="3" fontId="149" fillId="74" borderId="40" xfId="58923" applyNumberFormat="1" applyFont="1" applyFill="1" applyBorder="1" applyAlignment="1">
      <alignment horizontal="center" vertical="center" wrapText="1"/>
    </xf>
    <xf numFmtId="3" fontId="149" fillId="74" borderId="14" xfId="58923" applyNumberFormat="1" applyFont="1" applyFill="1" applyBorder="1" applyAlignment="1">
      <alignment horizontal="center" vertical="center" wrapText="1"/>
    </xf>
    <xf numFmtId="3" fontId="141" fillId="74" borderId="0" xfId="58923" applyNumberFormat="1" applyFont="1" applyFill="1" applyAlignment="1">
      <alignment horizontal="center" vertical="center"/>
    </xf>
    <xf numFmtId="3" fontId="149" fillId="74" borderId="38" xfId="58923" applyNumberFormat="1" applyFont="1" applyFill="1" applyBorder="1" applyAlignment="1">
      <alignment horizontal="center" vertical="center" wrapText="1"/>
    </xf>
    <xf numFmtId="0" fontId="141" fillId="74" borderId="40" xfId="58923" applyFont="1" applyFill="1" applyBorder="1" applyAlignment="1">
      <alignment horizontal="center" vertical="center"/>
    </xf>
    <xf numFmtId="0" fontId="141" fillId="74" borderId="32" xfId="58923" applyFont="1" applyFill="1" applyBorder="1" applyAlignment="1">
      <alignment horizontal="left" vertical="center" wrapText="1"/>
    </xf>
    <xf numFmtId="0" fontId="141" fillId="74" borderId="11" xfId="58923" applyFont="1" applyFill="1" applyBorder="1" applyAlignment="1">
      <alignment horizontal="left" vertical="center" wrapText="1"/>
    </xf>
    <xf numFmtId="3" fontId="141" fillId="74" borderId="14" xfId="58923" applyNumberFormat="1" applyFont="1" applyFill="1" applyBorder="1" applyAlignment="1">
      <alignment horizontal="center" vertical="center" wrapText="1"/>
    </xf>
    <xf numFmtId="3" fontId="151" fillId="74" borderId="11" xfId="58923" applyNumberFormat="1" applyFont="1" applyFill="1" applyBorder="1" applyAlignment="1">
      <alignment horizontal="center" vertical="center"/>
    </xf>
    <xf numFmtId="3" fontId="141" fillId="74" borderId="11" xfId="58923" applyNumberFormat="1" applyFont="1" applyFill="1" applyBorder="1" applyAlignment="1">
      <alignment horizontal="center" vertical="center" wrapText="1"/>
    </xf>
    <xf numFmtId="3" fontId="141" fillId="74" borderId="39" xfId="58923" applyNumberFormat="1" applyFont="1" applyFill="1" applyBorder="1" applyAlignment="1">
      <alignment horizontal="center" vertical="center"/>
    </xf>
    <xf numFmtId="3" fontId="55" fillId="74" borderId="14" xfId="58923" applyNumberFormat="1" applyFont="1" applyFill="1" applyBorder="1" applyAlignment="1">
      <alignment horizontal="center" vertical="center" wrapText="1"/>
    </xf>
    <xf numFmtId="3" fontId="141" fillId="74" borderId="39" xfId="58923" applyNumberFormat="1" applyFont="1" applyFill="1" applyBorder="1" applyAlignment="1">
      <alignment horizontal="center" vertical="center" wrapText="1"/>
    </xf>
    <xf numFmtId="3" fontId="141" fillId="74" borderId="13" xfId="58923" applyNumberFormat="1" applyFont="1" applyFill="1" applyBorder="1" applyAlignment="1">
      <alignment horizontal="center" vertical="center" wrapText="1"/>
    </xf>
    <xf numFmtId="0" fontId="97" fillId="74" borderId="0" xfId="58923" applyFont="1" applyFill="1" applyAlignment="1">
      <alignment horizontal="left" vertical="center"/>
    </xf>
    <xf numFmtId="3" fontId="151" fillId="74" borderId="11" xfId="58923" applyNumberFormat="1" applyFont="1" applyFill="1" applyBorder="1" applyAlignment="1">
      <alignment horizontal="center" vertical="center" wrapText="1"/>
    </xf>
    <xf numFmtId="0" fontId="141" fillId="74" borderId="11" xfId="58923" applyFont="1" applyFill="1" applyBorder="1" applyAlignment="1">
      <alignment horizontal="center" vertical="center"/>
    </xf>
    <xf numFmtId="171" fontId="141" fillId="74" borderId="32" xfId="58923" applyNumberFormat="1" applyFont="1" applyFill="1" applyBorder="1" applyAlignment="1">
      <alignment horizontal="left" vertical="center" wrapText="1"/>
    </xf>
    <xf numFmtId="0" fontId="97" fillId="74" borderId="0" xfId="58923" applyFont="1" applyFill="1" applyBorder="1" applyAlignment="1">
      <alignment horizontal="left" vertical="center"/>
    </xf>
    <xf numFmtId="0" fontId="141" fillId="74" borderId="0" xfId="58923" applyFont="1" applyFill="1" applyBorder="1" applyAlignment="1">
      <alignment horizontal="left" vertical="center" wrapText="1"/>
    </xf>
    <xf numFmtId="0" fontId="141" fillId="74" borderId="32" xfId="58923" applyFont="1" applyFill="1" applyBorder="1" applyAlignment="1">
      <alignment horizontal="left" vertical="center"/>
    </xf>
    <xf numFmtId="0" fontId="141" fillId="74" borderId="11" xfId="58923" applyFont="1" applyFill="1" applyBorder="1" applyAlignment="1">
      <alignment horizontal="left" vertical="center"/>
    </xf>
    <xf numFmtId="3" fontId="139" fillId="74" borderId="0" xfId="58923" applyNumberFormat="1" applyFont="1" applyFill="1" applyBorder="1" applyAlignment="1">
      <alignment horizontal="center" vertical="center"/>
    </xf>
    <xf numFmtId="3" fontId="139" fillId="74" borderId="0" xfId="58923" applyNumberFormat="1" applyFont="1" applyFill="1" applyBorder="1" applyAlignment="1">
      <alignment horizontal="right" vertical="center"/>
    </xf>
    <xf numFmtId="3" fontId="97" fillId="74" borderId="0" xfId="58923" applyNumberFormat="1" applyFont="1" applyFill="1" applyBorder="1" applyAlignment="1">
      <alignment horizontal="center" vertical="center"/>
    </xf>
    <xf numFmtId="0" fontId="139" fillId="74" borderId="0" xfId="58923" applyFont="1" applyFill="1" applyBorder="1" applyAlignment="1">
      <alignment horizontal="center" vertical="center"/>
    </xf>
    <xf numFmtId="0" fontId="97" fillId="74" borderId="0" xfId="58923" applyFont="1" applyFill="1" applyBorder="1" applyAlignment="1">
      <alignment horizontal="center" vertical="center"/>
    </xf>
    <xf numFmtId="0" fontId="139" fillId="74" borderId="11" xfId="58923" applyFont="1" applyFill="1" applyBorder="1" applyAlignment="1">
      <alignment horizontal="left" vertical="center"/>
    </xf>
    <xf numFmtId="0" fontId="139" fillId="74" borderId="11" xfId="58923" applyFont="1" applyFill="1" applyBorder="1" applyAlignment="1">
      <alignment horizontal="center" vertical="center"/>
    </xf>
    <xf numFmtId="0" fontId="55" fillId="74" borderId="0" xfId="61317" applyFont="1" applyFill="1" applyAlignment="1">
      <alignment horizontal="center" vertical="center"/>
    </xf>
    <xf numFmtId="0" fontId="107" fillId="74" borderId="14" xfId="61320" applyFont="1" applyFill="1" applyBorder="1" applyAlignment="1">
      <alignment horizontal="left" vertical="center" wrapText="1"/>
    </xf>
    <xf numFmtId="0" fontId="55" fillId="74" borderId="14" xfId="61320" applyFont="1" applyFill="1" applyBorder="1" applyAlignment="1">
      <alignment horizontal="left" vertical="center" wrapText="1"/>
    </xf>
    <xf numFmtId="0" fontId="55" fillId="74" borderId="0" xfId="61317" applyFont="1" applyFill="1" applyAlignment="1">
      <alignment horizontal="left" vertical="center"/>
    </xf>
    <xf numFmtId="0" fontId="45" fillId="0" borderId="14" xfId="61321" applyFont="1" applyFill="1" applyBorder="1" applyAlignment="1">
      <alignment horizontal="left" wrapText="1"/>
    </xf>
    <xf numFmtId="0" fontId="55" fillId="74" borderId="0" xfId="61317" applyFont="1" applyFill="1" applyAlignment="1">
      <alignment horizontal="right" vertical="center"/>
    </xf>
    <xf numFmtId="3" fontId="55" fillId="74" borderId="0" xfId="61317" applyNumberFormat="1" applyFont="1" applyFill="1" applyAlignment="1">
      <alignment horizontal="center" vertical="center"/>
    </xf>
    <xf numFmtId="0" fontId="110" fillId="74" borderId="0" xfId="61320" applyFont="1" applyFill="1" applyAlignment="1">
      <alignment vertical="center"/>
    </xf>
    <xf numFmtId="0" fontId="110" fillId="74" borderId="0" xfId="61320" applyFont="1" applyFill="1" applyAlignment="1">
      <alignment horizontal="center" vertical="center"/>
    </xf>
    <xf numFmtId="3" fontId="110" fillId="74" borderId="0" xfId="61320" applyNumberFormat="1" applyFont="1" applyFill="1" applyAlignment="1">
      <alignment horizontal="center" vertical="center"/>
    </xf>
    <xf numFmtId="0" fontId="110" fillId="74" borderId="37" xfId="61320" applyFont="1" applyFill="1" applyBorder="1" applyAlignment="1">
      <alignment horizontal="center" vertical="center"/>
    </xf>
    <xf numFmtId="3" fontId="110" fillId="74" borderId="37" xfId="61320" applyNumberFormat="1" applyFont="1" applyFill="1" applyBorder="1" applyAlignment="1">
      <alignment horizontal="center" vertical="center"/>
    </xf>
    <xf numFmtId="3" fontId="110" fillId="74" borderId="11" xfId="61320" applyNumberFormat="1" applyFont="1" applyFill="1" applyBorder="1" applyAlignment="1">
      <alignment horizontal="center" vertical="center"/>
    </xf>
    <xf numFmtId="3" fontId="110" fillId="74" borderId="53" xfId="61320" applyNumberFormat="1" applyFont="1" applyFill="1" applyBorder="1" applyAlignment="1">
      <alignment horizontal="center" vertical="center"/>
    </xf>
    <xf numFmtId="0" fontId="110" fillId="74" borderId="0" xfId="61320" applyFont="1" applyFill="1" applyBorder="1" applyAlignment="1">
      <alignment horizontal="center" vertical="center"/>
    </xf>
    <xf numFmtId="0" fontId="110" fillId="74" borderId="0" xfId="61320" applyFont="1" applyFill="1" applyBorder="1" applyAlignment="1">
      <alignment horizontal="right" vertical="center"/>
    </xf>
    <xf numFmtId="3" fontId="110" fillId="74" borderId="0" xfId="61320" applyNumberFormat="1" applyFont="1" applyFill="1" applyBorder="1" applyAlignment="1">
      <alignment horizontal="center" vertical="center"/>
    </xf>
    <xf numFmtId="0" fontId="110" fillId="74" borderId="0" xfId="61320" applyFont="1" applyFill="1" applyBorder="1" applyAlignment="1">
      <alignment vertical="center"/>
    </xf>
    <xf numFmtId="0" fontId="130" fillId="74" borderId="0" xfId="61320" applyFont="1" applyFill="1" applyBorder="1" applyAlignment="1">
      <alignment vertical="center"/>
    </xf>
    <xf numFmtId="3" fontId="130" fillId="74" borderId="0" xfId="61320" applyNumberFormat="1" applyFont="1" applyFill="1" applyBorder="1" applyAlignment="1">
      <alignment horizontal="center" vertical="center"/>
    </xf>
    <xf numFmtId="3" fontId="45" fillId="74" borderId="11" xfId="61317" applyNumberFormat="1" applyFont="1" applyFill="1" applyBorder="1" applyAlignment="1">
      <alignment vertical="center"/>
    </xf>
    <xf numFmtId="0" fontId="137" fillId="74" borderId="11" xfId="61317" applyFont="1" applyFill="1" applyBorder="1" applyAlignment="1">
      <alignment horizontal="center" vertical="center" wrapText="1"/>
    </xf>
    <xf numFmtId="3" fontId="55" fillId="74" borderId="11" xfId="61317" applyNumberFormat="1" applyFont="1" applyFill="1" applyBorder="1" applyAlignment="1">
      <alignment horizontal="center" vertical="center"/>
    </xf>
    <xf numFmtId="3" fontId="55" fillId="74" borderId="11" xfId="61317" applyNumberFormat="1" applyFont="1" applyFill="1" applyBorder="1" applyAlignment="1">
      <alignment horizontal="left" vertical="center"/>
    </xf>
    <xf numFmtId="0" fontId="107" fillId="74" borderId="34" xfId="58923" applyFont="1" applyFill="1" applyBorder="1" applyAlignment="1">
      <alignment horizontal="left" vertical="center"/>
    </xf>
    <xf numFmtId="3" fontId="121" fillId="74" borderId="32" xfId="58923" applyNumberFormat="1" applyFont="1" applyFill="1" applyBorder="1" applyAlignment="1">
      <alignment horizontal="center" vertical="center" wrapText="1"/>
    </xf>
    <xf numFmtId="3" fontId="124" fillId="74" borderId="11" xfId="58923" applyNumberFormat="1" applyFont="1" applyFill="1" applyBorder="1" applyAlignment="1">
      <alignment vertical="center" wrapText="1"/>
    </xf>
    <xf numFmtId="3" fontId="141" fillId="74" borderId="37" xfId="58923" applyNumberFormat="1" applyFont="1" applyFill="1" applyBorder="1" applyAlignment="1">
      <alignment horizontal="center" vertical="center" wrapText="1"/>
    </xf>
    <xf numFmtId="0" fontId="141" fillId="74" borderId="37" xfId="58923" applyFont="1" applyFill="1" applyBorder="1" applyAlignment="1">
      <alignment horizontal="center" vertical="center"/>
    </xf>
    <xf numFmtId="0" fontId="141" fillId="74" borderId="54" xfId="58923" applyFont="1" applyFill="1" applyBorder="1" applyAlignment="1">
      <alignment horizontal="left" vertical="center" wrapText="1"/>
    </xf>
    <xf numFmtId="0" fontId="141" fillId="74" borderId="52" xfId="58923" applyFont="1" applyFill="1" applyBorder="1" applyAlignment="1">
      <alignment horizontal="left" vertical="center" wrapText="1"/>
    </xf>
    <xf numFmtId="3" fontId="141" fillId="74" borderId="42" xfId="58923" applyNumberFormat="1" applyFont="1" applyFill="1" applyBorder="1" applyAlignment="1">
      <alignment horizontal="center" vertical="center" wrapText="1"/>
    </xf>
    <xf numFmtId="3" fontId="141" fillId="74" borderId="52" xfId="58923" applyNumberFormat="1" applyFont="1" applyFill="1" applyBorder="1" applyAlignment="1">
      <alignment horizontal="center" vertical="center" wrapText="1"/>
    </xf>
    <xf numFmtId="3" fontId="141" fillId="74" borderId="43" xfId="58923" applyNumberFormat="1" applyFont="1" applyFill="1" applyBorder="1" applyAlignment="1">
      <alignment horizontal="center" vertical="center"/>
    </xf>
    <xf numFmtId="3" fontId="55" fillId="74" borderId="42" xfId="58923" applyNumberFormat="1" applyFont="1" applyFill="1" applyBorder="1" applyAlignment="1">
      <alignment horizontal="center" vertical="center" wrapText="1"/>
    </xf>
    <xf numFmtId="3" fontId="141" fillId="74" borderId="43" xfId="58923" applyNumberFormat="1" applyFont="1" applyFill="1" applyBorder="1" applyAlignment="1">
      <alignment horizontal="center" vertical="center" wrapText="1"/>
    </xf>
    <xf numFmtId="3" fontId="142" fillId="74" borderId="38" xfId="58923" applyNumberFormat="1" applyFont="1" applyFill="1" applyBorder="1" applyAlignment="1">
      <alignment horizontal="center" vertical="center" wrapText="1"/>
    </xf>
    <xf numFmtId="3" fontId="142" fillId="74" borderId="39" xfId="58923" applyNumberFormat="1" applyFont="1" applyFill="1" applyBorder="1" applyAlignment="1">
      <alignment horizontal="center" vertical="center" wrapText="1"/>
    </xf>
    <xf numFmtId="3" fontId="141" fillId="74" borderId="41" xfId="58923" applyNumberFormat="1" applyFont="1" applyFill="1" applyBorder="1" applyAlignment="1">
      <alignment horizontal="center" vertical="center" wrapText="1"/>
    </xf>
    <xf numFmtId="3" fontId="141" fillId="74" borderId="55" xfId="58923" applyNumberFormat="1" applyFont="1" applyFill="1" applyBorder="1" applyAlignment="1">
      <alignment horizontal="center" vertical="center" wrapText="1"/>
    </xf>
    <xf numFmtId="3" fontId="142" fillId="74" borderId="43" xfId="58923" applyNumberFormat="1" applyFont="1" applyFill="1" applyBorder="1" applyAlignment="1">
      <alignment horizontal="center" vertical="center" wrapText="1"/>
    </xf>
    <xf numFmtId="3" fontId="107" fillId="74" borderId="39" xfId="61317" applyNumberFormat="1" applyFont="1" applyFill="1" applyBorder="1" applyAlignment="1">
      <alignment horizontal="center" vertical="center" wrapText="1"/>
    </xf>
    <xf numFmtId="0" fontId="107" fillId="74" borderId="39" xfId="61317" applyFont="1" applyFill="1" applyBorder="1" applyAlignment="1">
      <alignment horizontal="center" vertical="center" wrapText="1"/>
    </xf>
    <xf numFmtId="3" fontId="55" fillId="74" borderId="39" xfId="61317" applyNumberFormat="1" applyFont="1" applyFill="1" applyBorder="1" applyAlignment="1">
      <alignment horizontal="center" vertical="center" wrapText="1"/>
    </xf>
    <xf numFmtId="0" fontId="55" fillId="74" borderId="42" xfId="61317" applyFont="1" applyFill="1" applyBorder="1" applyAlignment="1">
      <alignment horizontal="center" vertical="center" wrapText="1"/>
    </xf>
    <xf numFmtId="0" fontId="55" fillId="74" borderId="42" xfId="61320" applyFont="1" applyFill="1" applyBorder="1" applyAlignment="1">
      <alignment horizontal="left" vertical="center" wrapText="1"/>
    </xf>
    <xf numFmtId="3" fontId="110" fillId="74" borderId="11" xfId="61320" applyNumberFormat="1" applyFont="1" applyFill="1" applyBorder="1" applyAlignment="1">
      <alignment horizontal="center" vertical="center" wrapText="1" shrinkToFit="1"/>
    </xf>
    <xf numFmtId="0" fontId="110" fillId="74" borderId="11" xfId="61320" applyFont="1" applyFill="1" applyBorder="1" applyAlignment="1">
      <alignment horizontal="center" vertical="center"/>
    </xf>
    <xf numFmtId="0" fontId="130" fillId="74" borderId="11" xfId="61320" applyFont="1" applyFill="1" applyBorder="1" applyAlignment="1">
      <alignment vertical="center"/>
    </xf>
    <xf numFmtId="3" fontId="130" fillId="74" borderId="11" xfId="61320" applyNumberFormat="1" applyFont="1" applyFill="1" applyBorder="1" applyAlignment="1">
      <alignment horizontal="center" vertical="center"/>
    </xf>
    <xf numFmtId="3" fontId="110" fillId="74" borderId="11" xfId="61319" applyNumberFormat="1" applyFont="1" applyFill="1" applyBorder="1" applyAlignment="1">
      <alignment horizontal="left" vertical="center" wrapText="1"/>
    </xf>
    <xf numFmtId="3" fontId="110" fillId="74" borderId="11" xfId="58975" applyNumberFormat="1" applyFont="1" applyFill="1" applyBorder="1" applyAlignment="1">
      <alignment horizontal="left" vertical="center" wrapText="1"/>
    </xf>
    <xf numFmtId="1" fontId="110" fillId="74" borderId="11" xfId="61319" applyNumberFormat="1" applyFont="1" applyFill="1" applyBorder="1" applyAlignment="1">
      <alignment horizontal="left" vertical="center" wrapText="1"/>
    </xf>
    <xf numFmtId="3" fontId="110" fillId="74" borderId="11" xfId="61320" applyNumberFormat="1" applyFont="1" applyFill="1" applyBorder="1" applyAlignment="1">
      <alignment vertical="center" wrapText="1"/>
    </xf>
    <xf numFmtId="4" fontId="110" fillId="74" borderId="11" xfId="61319" applyNumberFormat="1" applyFont="1" applyFill="1" applyBorder="1" applyAlignment="1">
      <alignment horizontal="left" vertical="center" wrapText="1"/>
    </xf>
    <xf numFmtId="0" fontId="110" fillId="74" borderId="52" xfId="61320" applyFont="1" applyFill="1" applyBorder="1" applyAlignment="1">
      <alignment horizontal="center" vertical="center"/>
    </xf>
    <xf numFmtId="3" fontId="110" fillId="74" borderId="52" xfId="61319" applyNumberFormat="1" applyFont="1" applyFill="1" applyBorder="1" applyAlignment="1">
      <alignment horizontal="left" vertical="center" wrapText="1"/>
    </xf>
    <xf numFmtId="3" fontId="110" fillId="74" borderId="52" xfId="61320" applyNumberFormat="1" applyFont="1" applyFill="1" applyBorder="1" applyAlignment="1">
      <alignment horizontal="center" vertical="center"/>
    </xf>
    <xf numFmtId="3" fontId="130" fillId="74" borderId="15" xfId="61320" applyNumberFormat="1" applyFont="1" applyFill="1" applyBorder="1" applyAlignment="1">
      <alignment horizontal="center" vertical="center"/>
    </xf>
    <xf numFmtId="3" fontId="110" fillId="74" borderId="15" xfId="61320" applyNumberFormat="1" applyFont="1" applyFill="1" applyBorder="1" applyAlignment="1">
      <alignment horizontal="center" vertical="center"/>
    </xf>
    <xf numFmtId="3" fontId="110" fillId="74" borderId="59" xfId="61320" applyNumberFormat="1" applyFont="1" applyFill="1" applyBorder="1" applyAlignment="1">
      <alignment horizontal="center" vertical="center"/>
    </xf>
    <xf numFmtId="3" fontId="130" fillId="74" borderId="53" xfId="61320" applyNumberFormat="1" applyFont="1" applyFill="1" applyBorder="1" applyAlignment="1">
      <alignment horizontal="center" vertical="center"/>
    </xf>
    <xf numFmtId="3" fontId="110" fillId="74" borderId="60" xfId="61320" applyNumberFormat="1" applyFont="1" applyFill="1" applyBorder="1" applyAlignment="1">
      <alignment horizontal="center" vertical="center"/>
    </xf>
    <xf numFmtId="3" fontId="130" fillId="74" borderId="37" xfId="61320" applyNumberFormat="1" applyFont="1" applyFill="1" applyBorder="1" applyAlignment="1">
      <alignment horizontal="center" vertical="center"/>
    </xf>
    <xf numFmtId="0" fontId="45" fillId="0" borderId="11" xfId="3" applyFont="1" applyFill="1" applyBorder="1" applyAlignment="1">
      <alignment horizontal="left" vertical="center" wrapText="1"/>
    </xf>
    <xf numFmtId="0" fontId="35" fillId="0" borderId="0" xfId="59012"/>
    <xf numFmtId="0" fontId="51" fillId="0" borderId="11" xfId="59012" applyFont="1" applyBorder="1" applyAlignment="1">
      <alignment horizontal="center" vertical="center"/>
    </xf>
    <xf numFmtId="49" fontId="43" fillId="0" borderId="11" xfId="58921" applyNumberFormat="1" applyFont="1" applyBorder="1" applyAlignment="1">
      <alignment horizontal="center" vertical="center" wrapText="1"/>
    </xf>
    <xf numFmtId="0" fontId="53" fillId="0" borderId="11" xfId="58921" applyFont="1" applyBorder="1" applyAlignment="1">
      <alignment horizontal="left" vertical="center" wrapText="1"/>
    </xf>
    <xf numFmtId="0" fontId="43" fillId="0" borderId="11" xfId="58921" applyFont="1" applyBorder="1" applyAlignment="1">
      <alignment horizontal="center" vertical="center" wrapText="1"/>
    </xf>
    <xf numFmtId="49" fontId="43" fillId="0" borderId="11" xfId="58921" applyNumberFormat="1" applyFont="1" applyBorder="1" applyAlignment="1">
      <alignment horizontal="center" vertical="center"/>
    </xf>
    <xf numFmtId="0" fontId="43" fillId="0" borderId="11" xfId="58921" applyFont="1" applyBorder="1" applyAlignment="1">
      <alignment horizontal="left" vertical="center" wrapText="1"/>
    </xf>
    <xf numFmtId="49" fontId="51" fillId="0" borderId="11" xfId="58921" applyNumberFormat="1" applyFont="1" applyBorder="1" applyAlignment="1">
      <alignment horizontal="center" vertical="center" wrapText="1"/>
    </xf>
    <xf numFmtId="0" fontId="51" fillId="0" borderId="11" xfId="58921" applyFont="1" applyBorder="1" applyAlignment="1">
      <alignment horizontal="left" vertical="center" wrapText="1"/>
    </xf>
    <xf numFmtId="0" fontId="51" fillId="0" borderId="11" xfId="4" applyFont="1" applyBorder="1" applyAlignment="1">
      <alignment horizontal="center" vertical="center"/>
    </xf>
    <xf numFmtId="49" fontId="43" fillId="0" borderId="11" xfId="59012" applyNumberFormat="1" applyFont="1" applyBorder="1" applyAlignment="1">
      <alignment horizontal="center" vertical="center" wrapText="1"/>
    </xf>
    <xf numFmtId="0" fontId="53" fillId="0" borderId="11" xfId="59012" applyFont="1" applyBorder="1" applyAlignment="1">
      <alignment horizontal="left" vertical="center" wrapText="1"/>
    </xf>
    <xf numFmtId="49" fontId="51" fillId="0" borderId="11" xfId="58921" applyNumberFormat="1" applyFont="1" applyBorder="1" applyAlignment="1">
      <alignment horizontal="center" vertical="center"/>
    </xf>
    <xf numFmtId="0" fontId="51" fillId="74" borderId="11" xfId="58921" applyFont="1" applyFill="1" applyBorder="1" applyAlignment="1">
      <alignment horizontal="left" vertical="center" wrapText="1"/>
    </xf>
    <xf numFmtId="0" fontId="51" fillId="0" borderId="11" xfId="58975" applyFont="1" applyFill="1" applyBorder="1" applyAlignment="1">
      <alignment horizontal="left" vertical="center" wrapText="1"/>
    </xf>
    <xf numFmtId="49" fontId="43" fillId="0" borderId="11" xfId="59012" applyNumberFormat="1" applyFont="1" applyBorder="1" applyAlignment="1">
      <alignment horizontal="center" vertical="center"/>
    </xf>
    <xf numFmtId="0" fontId="43" fillId="0" borderId="11" xfId="59012" applyFont="1" applyBorder="1" applyAlignment="1">
      <alignment horizontal="left" vertical="center" wrapText="1"/>
    </xf>
    <xf numFmtId="49" fontId="43" fillId="0" borderId="11" xfId="58921" applyNumberFormat="1" applyFont="1" applyBorder="1" applyAlignment="1">
      <alignment horizontal="left" vertical="center" wrapText="1"/>
    </xf>
    <xf numFmtId="49" fontId="55" fillId="0" borderId="11" xfId="58921" applyNumberFormat="1" applyFont="1" applyBorder="1" applyAlignment="1">
      <alignment horizontal="center" vertical="center"/>
    </xf>
    <xf numFmtId="0" fontId="55" fillId="0" borderId="11" xfId="58921" applyFont="1" applyBorder="1" applyAlignment="1">
      <alignment horizontal="left" vertical="center" wrapText="1"/>
    </xf>
    <xf numFmtId="3" fontId="51" fillId="0" borderId="11" xfId="58921" applyNumberFormat="1" applyFont="1" applyBorder="1" applyAlignment="1">
      <alignment horizontal="center" vertical="center"/>
    </xf>
    <xf numFmtId="3" fontId="53" fillId="0" borderId="11" xfId="59012" applyNumberFormat="1" applyFont="1" applyBorder="1" applyAlignment="1">
      <alignment horizontal="left" vertical="center" wrapText="1"/>
    </xf>
    <xf numFmtId="170" fontId="51" fillId="0" borderId="11" xfId="58921" applyNumberFormat="1" applyFont="1" applyBorder="1" applyAlignment="1">
      <alignment horizontal="center" vertical="center"/>
    </xf>
    <xf numFmtId="3" fontId="51" fillId="0" borderId="11" xfId="59012" applyNumberFormat="1" applyFont="1" applyBorder="1" applyAlignment="1">
      <alignment horizontal="left" vertical="center" wrapText="1"/>
    </xf>
    <xf numFmtId="0" fontId="51" fillId="0" borderId="11" xfId="59012" applyFont="1" applyBorder="1" applyAlignment="1">
      <alignment horizontal="left" vertical="center"/>
    </xf>
    <xf numFmtId="3" fontId="35" fillId="0" borderId="0" xfId="59012" applyNumberFormat="1"/>
    <xf numFmtId="3" fontId="110" fillId="0" borderId="30" xfId="0" applyNumberFormat="1" applyFont="1" applyFill="1" applyBorder="1" applyAlignment="1">
      <alignment horizontal="center" vertical="center"/>
    </xf>
    <xf numFmtId="3" fontId="51" fillId="0" borderId="37" xfId="0" applyNumberFormat="1" applyFont="1" applyFill="1" applyBorder="1" applyAlignment="1">
      <alignment horizontal="center" vertical="center"/>
    </xf>
    <xf numFmtId="3" fontId="51" fillId="0" borderId="11" xfId="0" applyNumberFormat="1" applyFont="1" applyFill="1" applyBorder="1" applyAlignment="1">
      <alignment horizontal="center" vertical="center"/>
    </xf>
    <xf numFmtId="3" fontId="43" fillId="0" borderId="11" xfId="58940" applyNumberFormat="1" applyFont="1" applyFill="1" applyBorder="1" applyAlignment="1">
      <alignment horizontal="center" vertical="center" wrapText="1"/>
    </xf>
    <xf numFmtId="3" fontId="43" fillId="0" borderId="11" xfId="58940" applyNumberFormat="1" applyFont="1" applyFill="1" applyBorder="1" applyAlignment="1">
      <alignment horizontal="center" vertical="center"/>
    </xf>
    <xf numFmtId="3" fontId="51" fillId="0" borderId="15" xfId="58940" applyNumberFormat="1" applyFont="1" applyFill="1" applyBorder="1" applyAlignment="1">
      <alignment horizontal="left" vertical="center" wrapText="1"/>
    </xf>
    <xf numFmtId="49" fontId="43" fillId="0" borderId="11" xfId="58940" applyNumberFormat="1" applyFont="1" applyFill="1" applyBorder="1" applyAlignment="1">
      <alignment horizontal="center" vertical="center"/>
    </xf>
    <xf numFmtId="49" fontId="43" fillId="0" borderId="11" xfId="58940" applyNumberFormat="1" applyFont="1" applyFill="1" applyBorder="1" applyAlignment="1">
      <alignment horizontal="center" vertical="center" wrapText="1"/>
    </xf>
    <xf numFmtId="0" fontId="51" fillId="0" borderId="15" xfId="58940" applyFont="1" applyFill="1" applyBorder="1" applyAlignment="1">
      <alignment horizontal="left" vertical="center" wrapText="1"/>
    </xf>
    <xf numFmtId="0" fontId="51" fillId="0" borderId="11" xfId="58940" applyFont="1" applyFill="1" applyBorder="1" applyAlignment="1">
      <alignment horizontal="center" vertical="center" wrapText="1"/>
    </xf>
    <xf numFmtId="0" fontId="48" fillId="0" borderId="15" xfId="58940" applyFont="1" applyFill="1" applyBorder="1" applyAlignment="1">
      <alignment horizontal="left" vertical="center" wrapText="1"/>
    </xf>
    <xf numFmtId="4" fontId="51" fillId="0" borderId="15" xfId="58975" applyNumberFormat="1" applyFont="1" applyFill="1" applyBorder="1" applyAlignment="1">
      <alignment horizontal="left" vertical="center" wrapText="1"/>
    </xf>
    <xf numFmtId="3" fontId="51" fillId="0" borderId="11" xfId="58940" applyNumberFormat="1" applyFont="1" applyFill="1" applyBorder="1" applyAlignment="1">
      <alignment horizontal="center" vertical="center"/>
    </xf>
    <xf numFmtId="170" fontId="51" fillId="0" borderId="11" xfId="58940" applyNumberFormat="1" applyFont="1" applyFill="1" applyBorder="1" applyAlignment="1">
      <alignment horizontal="center" vertical="center"/>
    </xf>
    <xf numFmtId="3" fontId="51" fillId="0" borderId="15" xfId="0" applyNumberFormat="1" applyFont="1" applyFill="1" applyBorder="1" applyAlignment="1">
      <alignment horizontal="left" vertical="center" wrapText="1"/>
    </xf>
    <xf numFmtId="3" fontId="51" fillId="0" borderId="30" xfId="58940" applyNumberFormat="1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51" fillId="0" borderId="52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left" vertical="center"/>
    </xf>
    <xf numFmtId="0" fontId="55" fillId="74" borderId="0" xfId="61329" applyFont="1" applyFill="1" applyAlignment="1">
      <alignment horizontal="center" vertical="center"/>
    </xf>
    <xf numFmtId="0" fontId="55" fillId="74" borderId="11" xfId="61329" applyFont="1" applyFill="1" applyBorder="1" applyAlignment="1">
      <alignment horizontal="center" vertical="center" wrapText="1"/>
    </xf>
    <xf numFmtId="0" fontId="107" fillId="74" borderId="11" xfId="61330" applyFont="1" applyFill="1" applyBorder="1" applyAlignment="1">
      <alignment horizontal="left" vertical="center" wrapText="1"/>
    </xf>
    <xf numFmtId="3" fontId="107" fillId="74" borderId="11" xfId="61329" applyNumberFormat="1" applyFont="1" applyFill="1" applyBorder="1" applyAlignment="1">
      <alignment horizontal="center" vertical="center" wrapText="1"/>
    </xf>
    <xf numFmtId="0" fontId="107" fillId="74" borderId="11" xfId="61329" applyFont="1" applyFill="1" applyBorder="1" applyAlignment="1">
      <alignment horizontal="center" vertical="center" wrapText="1"/>
    </xf>
    <xf numFmtId="0" fontId="55" fillId="74" borderId="11" xfId="61330" applyFont="1" applyFill="1" applyBorder="1" applyAlignment="1">
      <alignment horizontal="left" vertical="center" wrapText="1"/>
    </xf>
    <xf numFmtId="3" fontId="55" fillId="74" borderId="11" xfId="61329" applyNumberFormat="1" applyFont="1" applyFill="1" applyBorder="1" applyAlignment="1">
      <alignment horizontal="center" vertical="center" wrapText="1"/>
    </xf>
    <xf numFmtId="0" fontId="55" fillId="74" borderId="0" xfId="61329" applyFont="1" applyFill="1" applyAlignment="1">
      <alignment horizontal="right" vertical="center"/>
    </xf>
    <xf numFmtId="3" fontId="55" fillId="74" borderId="0" xfId="61329" applyNumberFormat="1" applyFont="1" applyFill="1" applyAlignment="1">
      <alignment horizontal="center" vertical="center"/>
    </xf>
    <xf numFmtId="0" fontId="55" fillId="74" borderId="0" xfId="61329" applyFont="1" applyFill="1" applyAlignment="1">
      <alignment horizontal="left" vertical="center"/>
    </xf>
    <xf numFmtId="49" fontId="51" fillId="0" borderId="11" xfId="58940" applyNumberFormat="1" applyFont="1" applyFill="1" applyBorder="1" applyAlignment="1">
      <alignment horizontal="center" vertical="center" wrapText="1"/>
    </xf>
    <xf numFmtId="3" fontId="53" fillId="0" borderId="11" xfId="57801" applyNumberFormat="1" applyFont="1" applyFill="1" applyBorder="1" applyAlignment="1">
      <alignment horizontal="left" vertical="center" wrapText="1"/>
    </xf>
    <xf numFmtId="3" fontId="51" fillId="0" borderId="11" xfId="57801" applyNumberFormat="1" applyFont="1" applyFill="1" applyBorder="1" applyAlignment="1">
      <alignment horizontal="left" vertical="center" wrapText="1"/>
    </xf>
    <xf numFmtId="0" fontId="51" fillId="0" borderId="11" xfId="57801" applyFont="1" applyFill="1" applyBorder="1" applyAlignment="1">
      <alignment horizontal="center" vertical="center"/>
    </xf>
    <xf numFmtId="0" fontId="51" fillId="0" borderId="11" xfId="57801" applyFont="1" applyFill="1" applyBorder="1" applyAlignment="1">
      <alignment horizontal="left" vertical="center"/>
    </xf>
    <xf numFmtId="0" fontId="45" fillId="0" borderId="0" xfId="59012" applyFont="1" applyAlignment="1">
      <alignment horizontal="center" vertical="center"/>
    </xf>
    <xf numFmtId="0" fontId="121" fillId="0" borderId="10" xfId="59012" applyFont="1" applyBorder="1" applyAlignment="1">
      <alignment vertical="center"/>
    </xf>
    <xf numFmtId="0" fontId="45" fillId="0" borderId="0" xfId="59012" applyFont="1" applyAlignment="1">
      <alignment horizontal="center"/>
    </xf>
    <xf numFmtId="0" fontId="45" fillId="0" borderId="0" xfId="59012" applyFont="1"/>
    <xf numFmtId="0" fontId="51" fillId="74" borderId="0" xfId="59012" applyFont="1" applyFill="1" applyAlignment="1" applyProtection="1">
      <alignment horizontal="center" vertical="center"/>
      <protection locked="0"/>
    </xf>
    <xf numFmtId="0" fontId="48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51" fillId="74" borderId="0" xfId="59012" applyFont="1" applyFill="1" applyProtection="1">
      <protection locked="0"/>
    </xf>
    <xf numFmtId="0" fontId="51" fillId="0" borderId="0" xfId="59012" applyFont="1" applyAlignment="1" applyProtection="1">
      <alignment horizontal="center" vertical="center"/>
      <protection locked="0"/>
    </xf>
    <xf numFmtId="0" fontId="51" fillId="74" borderId="11" xfId="59012" applyFont="1" applyFill="1" applyBorder="1" applyAlignment="1" applyProtection="1">
      <alignment horizontal="center" vertical="center" wrapText="1"/>
      <protection locked="0"/>
    </xf>
    <xf numFmtId="0" fontId="51" fillId="0" borderId="11" xfId="59012" applyFont="1" applyBorder="1" applyAlignment="1" applyProtection="1">
      <alignment horizontal="center" vertical="center" wrapText="1"/>
      <protection locked="0"/>
    </xf>
    <xf numFmtId="0" fontId="51" fillId="0" borderId="0" xfId="59012" applyFont="1" applyProtection="1">
      <protection locked="0"/>
    </xf>
    <xf numFmtId="0" fontId="48" fillId="0" borderId="0" xfId="59012" applyFont="1" applyAlignment="1" applyProtection="1">
      <alignment horizontal="center" vertical="center"/>
      <protection locked="0"/>
    </xf>
    <xf numFmtId="3" fontId="48" fillId="75" borderId="11" xfId="59012" applyNumberFormat="1" applyFont="1" applyFill="1" applyBorder="1" applyAlignment="1" applyProtection="1">
      <alignment horizontal="center" vertical="center"/>
      <protection locked="0"/>
    </xf>
    <xf numFmtId="0" fontId="48" fillId="0" borderId="0" xfId="59012" applyFont="1" applyProtection="1">
      <protection locked="0"/>
    </xf>
    <xf numFmtId="0" fontId="51" fillId="74" borderId="11" xfId="59012" applyFont="1" applyFill="1" applyBorder="1" applyAlignment="1" applyProtection="1">
      <alignment vertical="center" wrapText="1"/>
      <protection locked="0"/>
    </xf>
    <xf numFmtId="3" fontId="51" fillId="0" borderId="11" xfId="59012" applyNumberFormat="1" applyFont="1" applyBorder="1" applyAlignment="1" applyProtection="1">
      <alignment vertical="center" wrapText="1"/>
      <protection locked="0"/>
    </xf>
    <xf numFmtId="3" fontId="51" fillId="74" borderId="30" xfId="59012" applyNumberFormat="1" applyFont="1" applyFill="1" applyBorder="1" applyAlignment="1" applyProtection="1">
      <alignment horizontal="center" vertical="center"/>
      <protection locked="0"/>
    </xf>
    <xf numFmtId="3" fontId="51" fillId="74" borderId="11" xfId="59012" applyNumberFormat="1" applyFont="1" applyFill="1" applyBorder="1" applyAlignment="1" applyProtection="1">
      <alignment horizontal="center" vertical="center"/>
      <protection locked="0"/>
    </xf>
    <xf numFmtId="0" fontId="51" fillId="0" borderId="11" xfId="59012" applyFont="1" applyBorder="1" applyAlignment="1" applyProtection="1">
      <alignment horizontal="center"/>
      <protection locked="0"/>
    </xf>
    <xf numFmtId="3" fontId="51" fillId="0" borderId="30" xfId="59012" applyNumberFormat="1" applyFont="1" applyBorder="1" applyAlignment="1" applyProtection="1">
      <alignment horizontal="center" vertical="center"/>
      <protection locked="0"/>
    </xf>
    <xf numFmtId="3" fontId="51" fillId="0" borderId="11" xfId="59012" applyNumberFormat="1" applyFont="1" applyBorder="1" applyAlignment="1" applyProtection="1">
      <alignment horizontal="center"/>
      <protection locked="0"/>
    </xf>
    <xf numFmtId="3" fontId="51" fillId="74" borderId="11" xfId="59012" applyNumberFormat="1" applyFont="1" applyFill="1" applyBorder="1" applyAlignment="1" applyProtection="1">
      <alignment vertical="center"/>
      <protection locked="0"/>
    </xf>
    <xf numFmtId="0" fontId="51" fillId="74" borderId="11" xfId="59012" applyFont="1" applyFill="1" applyBorder="1" applyAlignment="1" applyProtection="1">
      <alignment horizontal="center"/>
      <protection locked="0"/>
    </xf>
    <xf numFmtId="3" fontId="51" fillId="74" borderId="12" xfId="59012" applyNumberFormat="1" applyFont="1" applyFill="1" applyBorder="1" applyAlignment="1" applyProtection="1">
      <alignment horizontal="center" vertical="center"/>
      <protection locked="0"/>
    </xf>
    <xf numFmtId="3" fontId="51" fillId="74" borderId="12" xfId="59012" applyNumberFormat="1" applyFont="1" applyFill="1" applyBorder="1" applyAlignment="1" applyProtection="1">
      <alignment vertical="center"/>
      <protection locked="0"/>
    </xf>
    <xf numFmtId="3" fontId="51" fillId="0" borderId="11" xfId="59012" applyNumberFormat="1" applyFont="1" applyFill="1" applyBorder="1" applyAlignment="1" applyProtection="1">
      <alignment horizontal="center" vertical="center"/>
      <protection locked="0"/>
    </xf>
    <xf numFmtId="3" fontId="51" fillId="74" borderId="30" xfId="59012" applyNumberFormat="1" applyFont="1" applyFill="1" applyBorder="1" applyAlignment="1" applyProtection="1">
      <alignment vertical="center"/>
      <protection locked="0"/>
    </xf>
    <xf numFmtId="3" fontId="51" fillId="0" borderId="12" xfId="59012" applyNumberFormat="1" applyFont="1" applyFill="1" applyBorder="1" applyAlignment="1" applyProtection="1">
      <alignment horizontal="center" vertical="center"/>
      <protection locked="0"/>
    </xf>
    <xf numFmtId="3" fontId="51" fillId="0" borderId="30" xfId="59012" applyNumberFormat="1" applyFont="1" applyFill="1" applyBorder="1" applyAlignment="1" applyProtection="1">
      <alignment horizontal="center" vertical="center"/>
      <protection locked="0"/>
    </xf>
    <xf numFmtId="0" fontId="51" fillId="0" borderId="11" xfId="59012" applyFont="1" applyFill="1" applyBorder="1" applyAlignment="1" applyProtection="1">
      <alignment vertical="center" wrapText="1"/>
      <protection locked="0"/>
    </xf>
    <xf numFmtId="3" fontId="51" fillId="0" borderId="11" xfId="59012" applyNumberFormat="1" applyFont="1" applyBorder="1" applyAlignment="1" applyProtection="1">
      <alignment horizontal="center" vertical="center"/>
      <protection locked="0"/>
    </xf>
    <xf numFmtId="3" fontId="51" fillId="74" borderId="11" xfId="59012" applyNumberFormat="1" applyFont="1" applyFill="1" applyBorder="1" applyAlignment="1" applyProtection="1">
      <alignment vertical="center" wrapText="1"/>
      <protection locked="0"/>
    </xf>
    <xf numFmtId="3" fontId="51" fillId="74" borderId="14" xfId="59012" applyNumberFormat="1" applyFont="1" applyFill="1" applyBorder="1" applyAlignment="1" applyProtection="1">
      <alignment horizontal="center" vertical="center"/>
      <protection locked="0"/>
    </xf>
    <xf numFmtId="3" fontId="51" fillId="74" borderId="14" xfId="59012" applyNumberFormat="1" applyFont="1" applyFill="1" applyBorder="1" applyAlignment="1" applyProtection="1">
      <alignment vertical="center"/>
      <protection locked="0"/>
    </xf>
    <xf numFmtId="0" fontId="51" fillId="0" borderId="11" xfId="59012" applyFont="1" applyFill="1" applyBorder="1" applyAlignment="1" applyProtection="1">
      <alignment horizontal="center"/>
      <protection locked="0"/>
    </xf>
    <xf numFmtId="0" fontId="51" fillId="74" borderId="15" xfId="59012" applyFont="1" applyFill="1" applyBorder="1" applyAlignment="1" applyProtection="1">
      <alignment vertical="center" wrapText="1"/>
      <protection locked="0"/>
    </xf>
    <xf numFmtId="0" fontId="51" fillId="74" borderId="30" xfId="59012" applyFont="1" applyFill="1" applyBorder="1" applyAlignment="1" applyProtection="1">
      <alignment vertical="center" wrapText="1"/>
      <protection locked="0"/>
    </xf>
    <xf numFmtId="3" fontId="48" fillId="75" borderId="30" xfId="59012" applyNumberFormat="1" applyFont="1" applyFill="1" applyBorder="1" applyAlignment="1" applyProtection="1">
      <alignment horizontal="center" vertical="center"/>
      <protection locked="0"/>
    </xf>
    <xf numFmtId="0" fontId="48" fillId="75" borderId="11" xfId="59012" applyFont="1" applyFill="1" applyBorder="1" applyAlignment="1" applyProtection="1">
      <alignment horizontal="center"/>
      <protection locked="0"/>
    </xf>
    <xf numFmtId="3" fontId="48" fillId="79" borderId="11" xfId="59012" applyNumberFormat="1" applyFont="1" applyFill="1" applyBorder="1" applyAlignment="1" applyProtection="1">
      <alignment horizontal="center" vertical="center"/>
      <protection locked="0"/>
    </xf>
    <xf numFmtId="0" fontId="45" fillId="74" borderId="0" xfId="59012" applyFont="1" applyFill="1" applyAlignment="1">
      <alignment horizontal="center" vertical="center"/>
    </xf>
    <xf numFmtId="0" fontId="122" fillId="74" borderId="0" xfId="59012" applyFont="1" applyFill="1"/>
    <xf numFmtId="0" fontId="156" fillId="74" borderId="0" xfId="59012" applyFont="1" applyFill="1"/>
    <xf numFmtId="0" fontId="156" fillId="74" borderId="0" xfId="59012" applyFont="1" applyFill="1" applyAlignment="1">
      <alignment horizontal="center"/>
    </xf>
    <xf numFmtId="0" fontId="45" fillId="74" borderId="0" xfId="59012" applyFont="1" applyFill="1" applyAlignment="1">
      <alignment horizontal="center"/>
    </xf>
    <xf numFmtId="0" fontId="45" fillId="74" borderId="0" xfId="59012" applyFont="1" applyFill="1"/>
    <xf numFmtId="0" fontId="156" fillId="0" borderId="0" xfId="59012" applyFont="1"/>
    <xf numFmtId="0" fontId="121" fillId="74" borderId="0" xfId="59012" applyFont="1" applyFill="1"/>
    <xf numFmtId="3" fontId="124" fillId="0" borderId="38" xfId="0" applyNumberFormat="1" applyFont="1" applyFill="1" applyBorder="1" applyAlignment="1">
      <alignment horizontal="center" vertical="center"/>
    </xf>
    <xf numFmtId="3" fontId="124" fillId="0" borderId="37" xfId="0" applyNumberFormat="1" applyFont="1" applyFill="1" applyBorder="1" applyAlignment="1">
      <alignment horizontal="center" vertical="center"/>
    </xf>
    <xf numFmtId="3" fontId="43" fillId="0" borderId="37" xfId="0" applyNumberFormat="1" applyFont="1" applyFill="1" applyBorder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3" fontId="43" fillId="0" borderId="52" xfId="0" applyNumberFormat="1" applyFont="1" applyFill="1" applyBorder="1" applyAlignment="1">
      <alignment horizontal="center" vertical="center"/>
    </xf>
    <xf numFmtId="3" fontId="43" fillId="0" borderId="67" xfId="0" applyNumberFormat="1" applyFont="1" applyFill="1" applyBorder="1" applyAlignment="1">
      <alignment horizontal="center" vertical="center"/>
    </xf>
    <xf numFmtId="3" fontId="112" fillId="0" borderId="0" xfId="61314" applyNumberFormat="1" applyFont="1"/>
    <xf numFmtId="0" fontId="114" fillId="0" borderId="0" xfId="0" applyFont="1" applyFill="1"/>
    <xf numFmtId="0" fontId="116" fillId="0" borderId="0" xfId="0" applyFont="1" applyFill="1" applyAlignment="1">
      <alignment horizontal="center" vertical="center"/>
    </xf>
    <xf numFmtId="0" fontId="116" fillId="0" borderId="0" xfId="0" applyFont="1" applyFill="1" applyAlignment="1">
      <alignment horizontal="left" vertical="center"/>
    </xf>
    <xf numFmtId="0" fontId="119" fillId="0" borderId="0" xfId="0" applyFont="1" applyFill="1"/>
    <xf numFmtId="0" fontId="116" fillId="0" borderId="11" xfId="0" applyFont="1" applyFill="1" applyBorder="1" applyAlignment="1">
      <alignment horizontal="center" vertical="center" wrapText="1"/>
    </xf>
    <xf numFmtId="49" fontId="114" fillId="0" borderId="11" xfId="3" applyNumberFormat="1" applyFont="1" applyFill="1" applyBorder="1" applyAlignment="1">
      <alignment horizontal="center" vertical="center" wrapText="1"/>
    </xf>
    <xf numFmtId="0" fontId="158" fillId="0" borderId="11" xfId="3" applyFont="1" applyFill="1" applyBorder="1" applyAlignment="1">
      <alignment horizontal="left" vertical="center" wrapText="1"/>
    </xf>
    <xf numFmtId="3" fontId="114" fillId="0" borderId="11" xfId="0" applyNumberFormat="1" applyFont="1" applyFill="1" applyBorder="1" applyAlignment="1">
      <alignment horizontal="center" vertical="center"/>
    </xf>
    <xf numFmtId="2" fontId="114" fillId="0" borderId="0" xfId="0" applyNumberFormat="1" applyFont="1" applyFill="1"/>
    <xf numFmtId="0" fontId="114" fillId="0" borderId="11" xfId="3" applyFont="1" applyFill="1" applyBorder="1" applyAlignment="1">
      <alignment horizontal="center" vertical="center" wrapText="1"/>
    </xf>
    <xf numFmtId="0" fontId="114" fillId="0" borderId="11" xfId="3" applyFont="1" applyFill="1" applyBorder="1" applyAlignment="1">
      <alignment horizontal="left" vertical="center" wrapText="1"/>
    </xf>
    <xf numFmtId="49" fontId="116" fillId="0" borderId="11" xfId="3" applyNumberFormat="1" applyFont="1" applyFill="1" applyBorder="1" applyAlignment="1">
      <alignment horizontal="center" vertical="center" wrapText="1"/>
    </xf>
    <xf numFmtId="49" fontId="114" fillId="0" borderId="11" xfId="0" applyNumberFormat="1" applyFont="1" applyFill="1" applyBorder="1" applyAlignment="1">
      <alignment horizontal="center" vertical="center" wrapText="1"/>
    </xf>
    <xf numFmtId="0" fontId="158" fillId="0" borderId="11" xfId="0" applyFont="1" applyFill="1" applyBorder="1" applyAlignment="1">
      <alignment horizontal="left" vertical="center" wrapText="1"/>
    </xf>
    <xf numFmtId="49" fontId="116" fillId="0" borderId="11" xfId="3" applyNumberFormat="1" applyFont="1" applyFill="1" applyBorder="1" applyAlignment="1">
      <alignment horizontal="center" vertical="center"/>
    </xf>
    <xf numFmtId="0" fontId="116" fillId="0" borderId="11" xfId="58975" applyFont="1" applyFill="1" applyBorder="1" applyAlignment="1">
      <alignment horizontal="left" vertical="center" wrapText="1"/>
    </xf>
    <xf numFmtId="49" fontId="114" fillId="0" borderId="11" xfId="0" applyNumberFormat="1" applyFont="1" applyFill="1" applyBorder="1" applyAlignment="1">
      <alignment horizontal="center" vertical="center"/>
    </xf>
    <xf numFmtId="0" fontId="114" fillId="0" borderId="11" xfId="0" applyFont="1" applyFill="1" applyBorder="1" applyAlignment="1">
      <alignment horizontal="left" vertical="center" wrapText="1"/>
    </xf>
    <xf numFmtId="49" fontId="114" fillId="0" borderId="11" xfId="3" applyNumberFormat="1" applyFont="1" applyFill="1" applyBorder="1" applyAlignment="1">
      <alignment horizontal="left" vertical="center" wrapText="1"/>
    </xf>
    <xf numFmtId="0" fontId="116" fillId="0" borderId="11" xfId="58921" applyFont="1" applyFill="1" applyBorder="1" applyAlignment="1">
      <alignment horizontal="left" vertical="center" wrapText="1"/>
    </xf>
    <xf numFmtId="3" fontId="116" fillId="0" borderId="11" xfId="58921" applyNumberFormat="1" applyFont="1" applyFill="1" applyBorder="1" applyAlignment="1">
      <alignment horizontal="center" vertical="center"/>
    </xf>
    <xf numFmtId="3" fontId="158" fillId="0" borderId="11" xfId="0" applyNumberFormat="1" applyFont="1" applyFill="1" applyBorder="1" applyAlignment="1">
      <alignment horizontal="left" vertical="center" wrapText="1"/>
    </xf>
    <xf numFmtId="170" fontId="116" fillId="0" borderId="11" xfId="58921" applyNumberFormat="1" applyFont="1" applyFill="1" applyBorder="1" applyAlignment="1">
      <alignment horizontal="center" vertical="center"/>
    </xf>
    <xf numFmtId="3" fontId="116" fillId="0" borderId="11" xfId="0" applyNumberFormat="1" applyFont="1" applyFill="1" applyBorder="1" applyAlignment="1">
      <alignment horizontal="left" vertical="center" wrapText="1"/>
    </xf>
    <xf numFmtId="3" fontId="116" fillId="0" borderId="30" xfId="58921" applyNumberFormat="1" applyFont="1" applyFill="1" applyBorder="1" applyAlignment="1">
      <alignment horizontal="center" vertical="center"/>
    </xf>
    <xf numFmtId="3" fontId="158" fillId="0" borderId="30" xfId="0" applyNumberFormat="1" applyFont="1" applyFill="1" applyBorder="1" applyAlignment="1">
      <alignment horizontal="left" vertical="center" wrapText="1"/>
    </xf>
    <xf numFmtId="0" fontId="116" fillId="0" borderId="11" xfId="0" applyFont="1" applyFill="1" applyBorder="1" applyAlignment="1">
      <alignment horizontal="left" vertical="center"/>
    </xf>
    <xf numFmtId="0" fontId="45" fillId="74" borderId="11" xfId="61317" applyFont="1" applyFill="1" applyBorder="1" applyAlignment="1">
      <alignment horizontal="center" vertical="center" wrapText="1"/>
    </xf>
    <xf numFmtId="3" fontId="45" fillId="74" borderId="11" xfId="61317" applyNumberFormat="1" applyFont="1" applyFill="1" applyBorder="1" applyAlignment="1">
      <alignment horizontal="center" vertical="center" wrapText="1"/>
    </xf>
    <xf numFmtId="3" fontId="159" fillId="74" borderId="0" xfId="61317" applyNumberFormat="1" applyFont="1" applyFill="1" applyAlignment="1">
      <alignment horizontal="center" vertical="center"/>
    </xf>
    <xf numFmtId="0" fontId="50" fillId="0" borderId="11" xfId="61314" applyFont="1" applyBorder="1" applyAlignment="1">
      <alignment horizontal="left" vertical="center" wrapText="1"/>
    </xf>
    <xf numFmtId="3" fontId="50" fillId="0" borderId="11" xfId="61314" applyNumberFormat="1" applyFont="1" applyBorder="1" applyAlignment="1">
      <alignment horizontal="center" vertical="center"/>
    </xf>
    <xf numFmtId="3" fontId="51" fillId="74" borderId="11" xfId="58867" applyNumberFormat="1" applyFont="1" applyFill="1" applyBorder="1" applyAlignment="1">
      <alignment horizontal="center" vertical="center"/>
    </xf>
    <xf numFmtId="3" fontId="51" fillId="74" borderId="11" xfId="59591" applyNumberFormat="1" applyFont="1" applyFill="1" applyBorder="1" applyAlignment="1">
      <alignment horizontal="center" vertical="center" wrapText="1"/>
    </xf>
    <xf numFmtId="3" fontId="51" fillId="74" borderId="65" xfId="59591" applyNumberFormat="1" applyFont="1" applyFill="1" applyBorder="1" applyAlignment="1">
      <alignment horizontal="center" vertical="center" wrapText="1"/>
    </xf>
    <xf numFmtId="3" fontId="43" fillId="74" borderId="65" xfId="58940" applyNumberFormat="1" applyFont="1" applyFill="1" applyBorder="1" applyAlignment="1">
      <alignment horizontal="left" vertical="center" wrapText="1"/>
    </xf>
    <xf numFmtId="3" fontId="43" fillId="74" borderId="65" xfId="58940" applyNumberFormat="1" applyFont="1" applyFill="1" applyBorder="1" applyAlignment="1">
      <alignment horizontal="center" vertical="center" wrapText="1"/>
    </xf>
    <xf numFmtId="3" fontId="53" fillId="74" borderId="65" xfId="58940" applyNumberFormat="1" applyFont="1" applyFill="1" applyBorder="1" applyAlignment="1">
      <alignment horizontal="left" vertical="center" wrapText="1"/>
    </xf>
    <xf numFmtId="3" fontId="53" fillId="74" borderId="65" xfId="58940" applyNumberFormat="1" applyFont="1" applyFill="1" applyBorder="1" applyAlignment="1">
      <alignment horizontal="center" vertical="center" wrapText="1"/>
    </xf>
    <xf numFmtId="3" fontId="51" fillId="74" borderId="69" xfId="58867" applyNumberFormat="1" applyFont="1" applyFill="1" applyBorder="1" applyAlignment="1">
      <alignment horizontal="center" vertical="center"/>
    </xf>
    <xf numFmtId="3" fontId="48" fillId="74" borderId="69" xfId="58867" applyNumberFormat="1" applyFont="1" applyFill="1" applyBorder="1" applyAlignment="1">
      <alignment horizontal="center" vertical="center"/>
    </xf>
    <xf numFmtId="3" fontId="107" fillId="74" borderId="69" xfId="58940" applyNumberFormat="1" applyFont="1" applyFill="1" applyBorder="1" applyAlignment="1">
      <alignment horizontal="center" vertical="center"/>
    </xf>
    <xf numFmtId="3" fontId="124" fillId="74" borderId="68" xfId="58867" applyNumberFormat="1" applyFont="1" applyFill="1" applyBorder="1" applyAlignment="1" applyProtection="1">
      <alignment horizontal="left" vertical="center" wrapText="1"/>
      <protection locked="0"/>
    </xf>
    <xf numFmtId="3" fontId="48" fillId="74" borderId="68" xfId="58867" applyNumberFormat="1" applyFont="1" applyFill="1" applyBorder="1" applyAlignment="1">
      <alignment vertical="center" wrapText="1"/>
    </xf>
    <xf numFmtId="3" fontId="53" fillId="0" borderId="38" xfId="58940" applyNumberFormat="1" applyFont="1" applyFill="1" applyBorder="1" applyAlignment="1">
      <alignment horizontal="left" vertical="center" wrapText="1"/>
    </xf>
    <xf numFmtId="3" fontId="43" fillId="0" borderId="69" xfId="0" applyNumberFormat="1" applyFont="1" applyFill="1" applyBorder="1" applyAlignment="1">
      <alignment horizontal="center" vertical="center"/>
    </xf>
    <xf numFmtId="3" fontId="51" fillId="0" borderId="58" xfId="0" applyNumberFormat="1" applyFont="1" applyFill="1" applyBorder="1" applyAlignment="1">
      <alignment horizontal="center" vertical="center"/>
    </xf>
    <xf numFmtId="3" fontId="48" fillId="0" borderId="40" xfId="0" applyNumberFormat="1" applyFont="1" applyFill="1" applyBorder="1" applyAlignment="1">
      <alignment horizontal="center" vertical="center"/>
    </xf>
    <xf numFmtId="3" fontId="48" fillId="0" borderId="39" xfId="0" applyNumberFormat="1" applyFont="1" applyFill="1" applyBorder="1" applyAlignment="1">
      <alignment horizontal="center" vertical="center"/>
    </xf>
    <xf numFmtId="3" fontId="51" fillId="0" borderId="38" xfId="0" applyNumberFormat="1" applyFont="1" applyFill="1" applyBorder="1" applyAlignment="1">
      <alignment horizontal="center" vertical="center"/>
    </xf>
    <xf numFmtId="3" fontId="124" fillId="0" borderId="69" xfId="0" applyNumberFormat="1" applyFont="1" applyFill="1" applyBorder="1" applyAlignment="1">
      <alignment horizontal="center" vertical="center"/>
    </xf>
    <xf numFmtId="3" fontId="48" fillId="0" borderId="37" xfId="0" applyNumberFormat="1" applyFont="1" applyFill="1" applyBorder="1" applyAlignment="1">
      <alignment horizontal="center" vertical="center"/>
    </xf>
    <xf numFmtId="3" fontId="110" fillId="0" borderId="58" xfId="58940" applyNumberFormat="1" applyFont="1" applyFill="1" applyBorder="1" applyAlignment="1">
      <alignment horizontal="center" vertical="center" wrapText="1"/>
    </xf>
    <xf numFmtId="3" fontId="110" fillId="0" borderId="59" xfId="58940" applyNumberFormat="1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3" fontId="110" fillId="0" borderId="58" xfId="0" applyNumberFormat="1" applyFont="1" applyFill="1" applyBorder="1" applyAlignment="1">
      <alignment horizontal="center" vertical="center" wrapText="1"/>
    </xf>
    <xf numFmtId="3" fontId="110" fillId="0" borderId="66" xfId="0" applyNumberFormat="1" applyFont="1" applyFill="1" applyBorder="1" applyAlignment="1">
      <alignment horizontal="center" vertical="center" wrapText="1"/>
    </xf>
    <xf numFmtId="3" fontId="110" fillId="0" borderId="67" xfId="0" applyNumberFormat="1" applyFont="1" applyFill="1" applyBorder="1" applyAlignment="1">
      <alignment horizontal="center" vertical="center" wrapText="1"/>
    </xf>
    <xf numFmtId="3" fontId="48" fillId="0" borderId="13" xfId="0" applyNumberFormat="1" applyFont="1" applyFill="1" applyBorder="1" applyAlignment="1">
      <alignment horizontal="center" vertical="center"/>
    </xf>
    <xf numFmtId="3" fontId="48" fillId="0" borderId="32" xfId="0" applyNumberFormat="1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center" vertical="center"/>
    </xf>
    <xf numFmtId="3" fontId="51" fillId="0" borderId="15" xfId="0" applyNumberFormat="1" applyFont="1" applyFill="1" applyBorder="1" applyAlignment="1">
      <alignment horizontal="center" vertical="center"/>
    </xf>
    <xf numFmtId="3" fontId="51" fillId="0" borderId="69" xfId="0" applyNumberFormat="1" applyFont="1" applyFill="1" applyBorder="1" applyAlignment="1">
      <alignment horizontal="center" vertical="center"/>
    </xf>
    <xf numFmtId="3" fontId="48" fillId="0" borderId="68" xfId="0" applyNumberFormat="1" applyFont="1" applyFill="1" applyBorder="1" applyAlignment="1">
      <alignment horizontal="center" vertical="center"/>
    </xf>
    <xf numFmtId="3" fontId="48" fillId="0" borderId="72" xfId="0" applyNumberFormat="1" applyFont="1" applyFill="1" applyBorder="1" applyAlignment="1">
      <alignment horizontal="center" vertical="center"/>
    </xf>
    <xf numFmtId="3" fontId="48" fillId="0" borderId="69" xfId="0" applyNumberFormat="1" applyFont="1" applyFill="1" applyBorder="1" applyAlignment="1">
      <alignment horizontal="center" vertical="center"/>
    </xf>
    <xf numFmtId="3" fontId="51" fillId="0" borderId="59" xfId="0" applyNumberFormat="1" applyFont="1" applyFill="1" applyBorder="1" applyAlignment="1">
      <alignment horizontal="center" vertical="center"/>
    </xf>
    <xf numFmtId="3" fontId="51" fillId="0" borderId="66" xfId="0" applyNumberFormat="1" applyFont="1" applyFill="1" applyBorder="1" applyAlignment="1">
      <alignment horizontal="center" vertical="center"/>
    </xf>
    <xf numFmtId="3" fontId="51" fillId="0" borderId="67" xfId="0" applyNumberFormat="1" applyFont="1" applyFill="1" applyBorder="1" applyAlignment="1">
      <alignment horizontal="center" vertical="center"/>
    </xf>
    <xf numFmtId="3" fontId="51" fillId="0" borderId="0" xfId="0" applyNumberFormat="1" applyFont="1" applyFill="1" applyAlignment="1">
      <alignment horizontal="left" vertical="center"/>
    </xf>
    <xf numFmtId="49" fontId="51" fillId="0" borderId="11" xfId="0" applyNumberFormat="1" applyFont="1" applyFill="1" applyBorder="1" applyAlignment="1">
      <alignment horizontal="center" vertical="center"/>
    </xf>
    <xf numFmtId="3" fontId="51" fillId="0" borderId="65" xfId="58940" applyNumberFormat="1" applyFont="1" applyFill="1" applyBorder="1" applyAlignment="1">
      <alignment horizontal="left" vertical="center" wrapText="1"/>
    </xf>
    <xf numFmtId="3" fontId="51" fillId="0" borderId="65" xfId="0" applyNumberFormat="1" applyFont="1" applyFill="1" applyBorder="1" applyAlignment="1">
      <alignment horizontal="left" vertical="center" wrapText="1"/>
    </xf>
    <xf numFmtId="3" fontId="48" fillId="0" borderId="11" xfId="0" applyNumberFormat="1" applyFont="1" applyFill="1" applyBorder="1" applyAlignment="1">
      <alignment horizontal="center" vertical="center"/>
    </xf>
    <xf numFmtId="3" fontId="51" fillId="0" borderId="11" xfId="58940" applyNumberFormat="1" applyFont="1" applyFill="1" applyBorder="1" applyAlignment="1">
      <alignment horizontal="center" vertical="center" wrapText="1"/>
    </xf>
    <xf numFmtId="3" fontId="51" fillId="0" borderId="11" xfId="0" applyNumberFormat="1" applyFont="1" applyFill="1" applyBorder="1" applyAlignment="1">
      <alignment horizontal="center" vertical="center" wrapText="1"/>
    </xf>
    <xf numFmtId="0" fontId="51" fillId="0" borderId="37" xfId="0" applyFont="1" applyFill="1" applyBorder="1" applyAlignment="1">
      <alignment horizontal="center" vertical="center"/>
    </xf>
    <xf numFmtId="49" fontId="51" fillId="0" borderId="11" xfId="58940" applyNumberFormat="1" applyFont="1" applyFill="1" applyBorder="1" applyAlignment="1">
      <alignment horizontal="center" vertical="center"/>
    </xf>
    <xf numFmtId="3" fontId="51" fillId="0" borderId="14" xfId="0" applyNumberFormat="1" applyFont="1" applyFill="1" applyBorder="1" applyAlignment="1">
      <alignment horizontal="center" vertical="center"/>
    </xf>
    <xf numFmtId="3" fontId="55" fillId="0" borderId="0" xfId="0" applyNumberFormat="1" applyFont="1" applyFill="1" applyAlignment="1">
      <alignment horizontal="center"/>
    </xf>
    <xf numFmtId="3" fontId="51" fillId="0" borderId="37" xfId="58940" applyNumberFormat="1" applyFont="1" applyFill="1" applyBorder="1" applyAlignment="1">
      <alignment horizontal="center" vertical="center" wrapText="1"/>
    </xf>
    <xf numFmtId="3" fontId="51" fillId="0" borderId="38" xfId="58940" applyNumberFormat="1" applyFont="1" applyFill="1" applyBorder="1" applyAlignment="1">
      <alignment horizontal="center" vertical="center" wrapText="1"/>
    </xf>
    <xf numFmtId="3" fontId="51" fillId="0" borderId="69" xfId="58940" applyNumberFormat="1" applyFont="1" applyFill="1" applyBorder="1" applyAlignment="1">
      <alignment horizontal="center" vertical="center" wrapText="1"/>
    </xf>
    <xf numFmtId="3" fontId="51" fillId="0" borderId="38" xfId="0" applyNumberFormat="1" applyFont="1" applyFill="1" applyBorder="1" applyAlignment="1">
      <alignment horizontal="center" vertical="center" wrapText="1"/>
    </xf>
    <xf numFmtId="3" fontId="51" fillId="0" borderId="69" xfId="0" applyNumberFormat="1" applyFont="1" applyFill="1" applyBorder="1" applyAlignment="1">
      <alignment horizontal="center" vertical="center" wrapText="1"/>
    </xf>
    <xf numFmtId="0" fontId="51" fillId="0" borderId="58" xfId="0" applyFont="1" applyFill="1" applyBorder="1" applyAlignment="1">
      <alignment horizontal="center" vertical="center" wrapText="1"/>
    </xf>
    <xf numFmtId="0" fontId="51" fillId="0" borderId="52" xfId="0" applyFont="1" applyFill="1" applyBorder="1" applyAlignment="1">
      <alignment horizontal="center" vertical="center" wrapText="1"/>
    </xf>
    <xf numFmtId="0" fontId="51" fillId="0" borderId="59" xfId="0" applyFont="1" applyFill="1" applyBorder="1" applyAlignment="1">
      <alignment horizontal="center" vertical="center" wrapText="1"/>
    </xf>
    <xf numFmtId="3" fontId="51" fillId="0" borderId="58" xfId="58940" applyNumberFormat="1" applyFont="1" applyFill="1" applyBorder="1" applyAlignment="1">
      <alignment horizontal="center" vertical="center" wrapText="1"/>
    </xf>
    <xf numFmtId="3" fontId="51" fillId="0" borderId="66" xfId="58940" applyNumberFormat="1" applyFont="1" applyFill="1" applyBorder="1" applyAlignment="1">
      <alignment horizontal="center" vertical="center" wrapText="1"/>
    </xf>
    <xf numFmtId="3" fontId="51" fillId="0" borderId="67" xfId="58940" applyNumberFormat="1" applyFont="1" applyFill="1" applyBorder="1" applyAlignment="1">
      <alignment horizontal="center" vertical="center" wrapText="1"/>
    </xf>
    <xf numFmtId="3" fontId="51" fillId="0" borderId="66" xfId="0" applyNumberFormat="1" applyFont="1" applyFill="1" applyBorder="1" applyAlignment="1">
      <alignment horizontal="center" vertical="center" wrapText="1"/>
    </xf>
    <xf numFmtId="3" fontId="51" fillId="0" borderId="67" xfId="0" applyNumberFormat="1" applyFont="1" applyFill="1" applyBorder="1" applyAlignment="1">
      <alignment horizontal="center" vertical="center" wrapText="1"/>
    </xf>
    <xf numFmtId="3" fontId="121" fillId="0" borderId="40" xfId="58940" applyNumberFormat="1" applyFont="1" applyFill="1" applyBorder="1" applyAlignment="1">
      <alignment horizontal="center" vertical="center" wrapText="1"/>
    </xf>
    <xf numFmtId="3" fontId="121" fillId="0" borderId="39" xfId="58940" applyNumberFormat="1" applyFont="1" applyFill="1" applyBorder="1" applyAlignment="1">
      <alignment horizontal="center" vertical="center" wrapText="1"/>
    </xf>
    <xf numFmtId="3" fontId="121" fillId="0" borderId="32" xfId="58940" applyNumberFormat="1" applyFont="1" applyFill="1" applyBorder="1" applyAlignment="1">
      <alignment horizontal="center" vertical="center" wrapText="1"/>
    </xf>
    <xf numFmtId="3" fontId="45" fillId="0" borderId="38" xfId="58940" applyNumberFormat="1" applyFont="1" applyFill="1" applyBorder="1" applyAlignment="1">
      <alignment horizontal="center" vertical="center" wrapText="1"/>
    </xf>
    <xf numFmtId="3" fontId="45" fillId="0" borderId="69" xfId="58940" applyNumberFormat="1" applyFont="1" applyFill="1" applyBorder="1" applyAlignment="1">
      <alignment horizontal="center" vertical="center" wrapText="1"/>
    </xf>
    <xf numFmtId="3" fontId="45" fillId="0" borderId="38" xfId="0" applyNumberFormat="1" applyFont="1" applyFill="1" applyBorder="1" applyAlignment="1">
      <alignment horizontal="center" vertical="center" wrapText="1"/>
    </xf>
    <xf numFmtId="3" fontId="45" fillId="0" borderId="69" xfId="0" applyNumberFormat="1" applyFont="1" applyFill="1" applyBorder="1" applyAlignment="1">
      <alignment horizontal="center" vertical="center" wrapText="1"/>
    </xf>
    <xf numFmtId="3" fontId="107" fillId="0" borderId="53" xfId="0" applyNumberFormat="1" applyFont="1" applyFill="1" applyBorder="1" applyAlignment="1">
      <alignment horizontal="center"/>
    </xf>
    <xf numFmtId="3" fontId="107" fillId="0" borderId="15" xfId="0" applyNumberFormat="1" applyFont="1" applyFill="1" applyBorder="1" applyAlignment="1">
      <alignment horizontal="center"/>
    </xf>
    <xf numFmtId="3" fontId="107" fillId="0" borderId="37" xfId="0" applyNumberFormat="1" applyFont="1" applyFill="1" applyBorder="1" applyAlignment="1">
      <alignment horizontal="center"/>
    </xf>
    <xf numFmtId="3" fontId="107" fillId="0" borderId="38" xfId="0" applyNumberFormat="1" applyFont="1" applyFill="1" applyBorder="1" applyAlignment="1">
      <alignment horizontal="center"/>
    </xf>
    <xf numFmtId="3" fontId="107" fillId="0" borderId="69" xfId="0" applyNumberFormat="1" applyFont="1" applyFill="1" applyBorder="1" applyAlignment="1">
      <alignment horizontal="center"/>
    </xf>
    <xf numFmtId="3" fontId="107" fillId="0" borderId="72" xfId="0" applyNumberFormat="1" applyFont="1" applyFill="1" applyBorder="1" applyAlignment="1">
      <alignment horizontal="center"/>
    </xf>
    <xf numFmtId="0" fontId="107" fillId="0" borderId="0" xfId="0" applyFont="1" applyFill="1"/>
    <xf numFmtId="3" fontId="55" fillId="0" borderId="11" xfId="58940" applyNumberFormat="1" applyFont="1" applyFill="1" applyBorder="1" applyAlignment="1">
      <alignment horizontal="center" vertical="center" wrapText="1"/>
    </xf>
    <xf numFmtId="3" fontId="111" fillId="0" borderId="15" xfId="58940" applyNumberFormat="1" applyFont="1" applyFill="1" applyBorder="1" applyAlignment="1">
      <alignment horizontal="left" vertical="center" wrapText="1"/>
    </xf>
    <xf numFmtId="3" fontId="55" fillId="0" borderId="38" xfId="0" applyNumberFormat="1" applyFont="1" applyFill="1" applyBorder="1" applyAlignment="1">
      <alignment horizontal="center"/>
    </xf>
    <xf numFmtId="3" fontId="55" fillId="0" borderId="69" xfId="0" applyNumberFormat="1" applyFont="1" applyFill="1" applyBorder="1" applyAlignment="1">
      <alignment horizontal="center"/>
    </xf>
    <xf numFmtId="4" fontId="45" fillId="0" borderId="69" xfId="58940" applyNumberFormat="1" applyFont="1" applyFill="1" applyBorder="1" applyAlignment="1">
      <alignment horizontal="center" vertical="center"/>
    </xf>
    <xf numFmtId="3" fontId="55" fillId="0" borderId="11" xfId="58940" applyNumberFormat="1" applyFont="1" applyFill="1" applyBorder="1" applyAlignment="1">
      <alignment horizontal="center" vertical="center"/>
    </xf>
    <xf numFmtId="3" fontId="55" fillId="0" borderId="15" xfId="58940" applyNumberFormat="1" applyFont="1" applyFill="1" applyBorder="1" applyAlignment="1">
      <alignment horizontal="left" vertical="center" wrapText="1"/>
    </xf>
    <xf numFmtId="3" fontId="45" fillId="0" borderId="69" xfId="58940" applyNumberFormat="1" applyFont="1" applyFill="1" applyBorder="1" applyAlignment="1">
      <alignment horizontal="center" vertical="center"/>
    </xf>
    <xf numFmtId="3" fontId="45" fillId="0" borderId="15" xfId="58940" applyNumberFormat="1" applyFont="1" applyFill="1" applyBorder="1" applyAlignment="1">
      <alignment horizontal="left" vertical="center" wrapText="1"/>
    </xf>
    <xf numFmtId="49" fontId="55" fillId="0" borderId="11" xfId="58940" applyNumberFormat="1" applyFont="1" applyFill="1" applyBorder="1" applyAlignment="1">
      <alignment horizontal="center" vertical="center"/>
    </xf>
    <xf numFmtId="0" fontId="111" fillId="0" borderId="15" xfId="58940" applyFont="1" applyFill="1" applyBorder="1" applyAlignment="1">
      <alignment horizontal="left" vertical="center" wrapText="1"/>
    </xf>
    <xf numFmtId="49" fontId="55" fillId="0" borderId="11" xfId="58940" applyNumberFormat="1" applyFont="1" applyFill="1" applyBorder="1" applyAlignment="1">
      <alignment horizontal="center" vertical="center" wrapText="1"/>
    </xf>
    <xf numFmtId="0" fontId="55" fillId="0" borderId="15" xfId="58940" applyFont="1" applyFill="1" applyBorder="1" applyAlignment="1">
      <alignment horizontal="left" vertical="center" wrapText="1"/>
    </xf>
    <xf numFmtId="3" fontId="55" fillId="0" borderId="11" xfId="0" applyNumberFormat="1" applyFont="1" applyFill="1" applyBorder="1" applyAlignment="1">
      <alignment horizontal="center" vertical="center" wrapText="1"/>
    </xf>
    <xf numFmtId="3" fontId="111" fillId="0" borderId="15" xfId="0" applyNumberFormat="1" applyFont="1" applyFill="1" applyBorder="1" applyAlignment="1">
      <alignment horizontal="left" vertical="center" wrapText="1"/>
    </xf>
    <xf numFmtId="3" fontId="55" fillId="0" borderId="37" xfId="0" applyNumberFormat="1" applyFont="1" applyFill="1" applyBorder="1" applyAlignment="1">
      <alignment horizontal="center"/>
    </xf>
    <xf numFmtId="0" fontId="45" fillId="0" borderId="15" xfId="58940" applyFont="1" applyFill="1" applyBorder="1" applyAlignment="1">
      <alignment horizontal="left" vertical="center" wrapText="1"/>
    </xf>
    <xf numFmtId="0" fontId="45" fillId="0" borderId="11" xfId="58940" applyFont="1" applyFill="1" applyBorder="1" applyAlignment="1">
      <alignment horizontal="center" vertical="center" wrapText="1"/>
    </xf>
    <xf numFmtId="0" fontId="121" fillId="0" borderId="15" xfId="58940" applyFont="1" applyFill="1" applyBorder="1" applyAlignment="1">
      <alignment horizontal="left" vertical="center" wrapText="1"/>
    </xf>
    <xf numFmtId="4" fontId="45" fillId="0" borderId="15" xfId="58975" applyNumberFormat="1" applyFont="1" applyFill="1" applyBorder="1" applyAlignment="1">
      <alignment horizontal="left" vertical="center" wrapText="1"/>
    </xf>
    <xf numFmtId="49" fontId="55" fillId="0" borderId="11" xfId="0" applyNumberFormat="1" applyFont="1" applyFill="1" applyBorder="1" applyAlignment="1">
      <alignment horizontal="center" vertical="center"/>
    </xf>
    <xf numFmtId="3" fontId="55" fillId="0" borderId="11" xfId="0" applyNumberFormat="1" applyFont="1" applyFill="1" applyBorder="1" applyAlignment="1">
      <alignment horizontal="center" vertical="center"/>
    </xf>
    <xf numFmtId="3" fontId="55" fillId="0" borderId="15" xfId="0" applyNumberFormat="1" applyFont="1" applyFill="1" applyBorder="1" applyAlignment="1">
      <alignment horizontal="left" vertical="center" wrapText="1"/>
    </xf>
    <xf numFmtId="3" fontId="45" fillId="0" borderId="11" xfId="58940" applyNumberFormat="1" applyFont="1" applyFill="1" applyBorder="1" applyAlignment="1">
      <alignment horizontal="center" vertical="center"/>
    </xf>
    <xf numFmtId="170" fontId="45" fillId="0" borderId="11" xfId="58940" applyNumberFormat="1" applyFont="1" applyFill="1" applyBorder="1" applyAlignment="1">
      <alignment horizontal="center" vertical="center"/>
    </xf>
    <xf numFmtId="3" fontId="45" fillId="0" borderId="15" xfId="0" applyNumberFormat="1" applyFont="1" applyFill="1" applyBorder="1" applyAlignment="1">
      <alignment horizontal="left" vertical="center" wrapText="1"/>
    </xf>
    <xf numFmtId="3" fontId="55" fillId="0" borderId="58" xfId="0" applyNumberFormat="1" applyFont="1" applyFill="1" applyBorder="1" applyAlignment="1">
      <alignment horizontal="center"/>
    </xf>
    <xf numFmtId="3" fontId="55" fillId="0" borderId="66" xfId="0" applyNumberFormat="1" applyFont="1" applyFill="1" applyBorder="1" applyAlignment="1">
      <alignment horizontal="center"/>
    </xf>
    <xf numFmtId="3" fontId="55" fillId="0" borderId="67" xfId="0" applyNumberFormat="1" applyFont="1" applyFill="1" applyBorder="1" applyAlignment="1">
      <alignment horizontal="center"/>
    </xf>
    <xf numFmtId="4" fontId="45" fillId="0" borderId="67" xfId="58940" applyNumberFormat="1" applyFont="1" applyFill="1" applyBorder="1" applyAlignment="1">
      <alignment horizontal="center" vertical="center"/>
    </xf>
    <xf numFmtId="3" fontId="55" fillId="0" borderId="53" xfId="0" applyNumberFormat="1" applyFont="1" applyFill="1" applyBorder="1" applyAlignment="1">
      <alignment horizontal="center" vertical="center"/>
    </xf>
    <xf numFmtId="3" fontId="55" fillId="0" borderId="38" xfId="0" applyNumberFormat="1" applyFont="1" applyFill="1" applyBorder="1" applyAlignment="1">
      <alignment horizontal="center" vertical="center"/>
    </xf>
    <xf numFmtId="3" fontId="45" fillId="74" borderId="11" xfId="61317" applyNumberFormat="1" applyFont="1" applyFill="1" applyBorder="1" applyAlignment="1">
      <alignment horizontal="center" vertical="center" wrapText="1"/>
    </xf>
    <xf numFmtId="3" fontId="110" fillId="74" borderId="53" xfId="61320" applyNumberFormat="1" applyFont="1" applyFill="1" applyBorder="1" applyAlignment="1">
      <alignment horizontal="center" vertical="center"/>
    </xf>
    <xf numFmtId="0" fontId="55" fillId="74" borderId="11" xfId="61329" applyFont="1" applyFill="1" applyBorder="1" applyAlignment="1">
      <alignment horizontal="center" vertical="center" wrapText="1"/>
    </xf>
    <xf numFmtId="0" fontId="114" fillId="0" borderId="11" xfId="0" applyFont="1" applyFill="1" applyBorder="1" applyAlignment="1">
      <alignment horizontal="center" vertical="center" wrapText="1"/>
    </xf>
    <xf numFmtId="3" fontId="51" fillId="0" borderId="30" xfId="58921" applyNumberFormat="1" applyFont="1" applyBorder="1" applyAlignment="1">
      <alignment horizontal="center" vertical="center"/>
    </xf>
    <xf numFmtId="3" fontId="53" fillId="0" borderId="30" xfId="59012" applyNumberFormat="1" applyFont="1" applyBorder="1" applyAlignment="1">
      <alignment horizontal="left" vertical="center" wrapText="1"/>
    </xf>
    <xf numFmtId="3" fontId="119" fillId="0" borderId="0" xfId="0" applyNumberFormat="1" applyFont="1" applyFill="1"/>
    <xf numFmtId="3" fontId="53" fillId="0" borderId="30" xfId="57801" applyNumberFormat="1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horizontal="left" vertical="center"/>
    </xf>
    <xf numFmtId="0" fontId="110" fillId="0" borderId="30" xfId="0" applyFont="1" applyFill="1" applyBorder="1" applyAlignment="1">
      <alignment horizontal="center" vertical="center"/>
    </xf>
    <xf numFmtId="49" fontId="55" fillId="0" borderId="11" xfId="3" applyNumberFormat="1" applyFont="1" applyFill="1" applyBorder="1" applyAlignment="1">
      <alignment horizontal="center" vertical="center" wrapText="1"/>
    </xf>
    <xf numFmtId="2" fontId="55" fillId="0" borderId="0" xfId="0" applyNumberFormat="1" applyFont="1" applyFill="1"/>
    <xf numFmtId="0" fontId="55" fillId="0" borderId="11" xfId="3" applyFont="1" applyFill="1" applyBorder="1" applyAlignment="1">
      <alignment horizontal="center" vertical="center" wrapText="1"/>
    </xf>
    <xf numFmtId="49" fontId="55" fillId="0" borderId="11" xfId="3" applyNumberFormat="1" applyFont="1" applyFill="1" applyBorder="1" applyAlignment="1">
      <alignment horizontal="center" vertical="center"/>
    </xf>
    <xf numFmtId="49" fontId="45" fillId="0" borderId="11" xfId="3" applyNumberFormat="1" applyFont="1" applyFill="1" applyBorder="1" applyAlignment="1">
      <alignment horizontal="center" vertical="center" wrapText="1"/>
    </xf>
    <xf numFmtId="49" fontId="55" fillId="0" borderId="11" xfId="0" applyNumberFormat="1" applyFont="1" applyFill="1" applyBorder="1" applyAlignment="1">
      <alignment horizontal="center" vertical="center" wrapText="1"/>
    </xf>
    <xf numFmtId="0" fontId="111" fillId="0" borderId="11" xfId="0" applyFont="1" applyFill="1" applyBorder="1" applyAlignment="1">
      <alignment horizontal="left" vertical="center" wrapText="1"/>
    </xf>
    <xf numFmtId="49" fontId="51" fillId="0" borderId="11" xfId="3" applyNumberFormat="1" applyFont="1" applyFill="1" applyBorder="1" applyAlignment="1">
      <alignment horizontal="center" vertical="center"/>
    </xf>
    <xf numFmtId="0" fontId="43" fillId="0" borderId="11" xfId="3" applyFont="1" applyFill="1" applyBorder="1" applyAlignment="1">
      <alignment horizontal="left" vertical="center" wrapText="1"/>
    </xf>
    <xf numFmtId="0" fontId="55" fillId="0" borderId="11" xfId="0" applyFont="1" applyFill="1" applyBorder="1" applyAlignment="1">
      <alignment horizontal="left" vertical="center" wrapText="1"/>
    </xf>
    <xf numFmtId="49" fontId="55" fillId="0" borderId="11" xfId="3" applyNumberFormat="1" applyFont="1" applyFill="1" applyBorder="1" applyAlignment="1">
      <alignment horizontal="left" vertical="center" wrapText="1"/>
    </xf>
    <xf numFmtId="0" fontId="55" fillId="0" borderId="0" xfId="0" applyFont="1" applyFill="1" applyAlignment="1">
      <alignment vertical="center" wrapText="1"/>
    </xf>
    <xf numFmtId="0" fontId="46" fillId="0" borderId="61" xfId="0" applyFont="1" applyFill="1" applyBorder="1" applyAlignment="1">
      <alignment horizontal="center" vertical="center" wrapText="1"/>
    </xf>
    <xf numFmtId="4" fontId="116" fillId="0" borderId="11" xfId="61361" applyNumberFormat="1" applyFont="1" applyFill="1" applyBorder="1" applyAlignment="1">
      <alignment vertical="center" wrapText="1"/>
    </xf>
    <xf numFmtId="49" fontId="114" fillId="74" borderId="11" xfId="3" applyNumberFormat="1" applyFont="1" applyFill="1" applyBorder="1" applyAlignment="1">
      <alignment horizontal="center" vertical="center" wrapText="1"/>
    </xf>
    <xf numFmtId="0" fontId="116" fillId="74" borderId="11" xfId="3" applyFont="1" applyFill="1" applyBorder="1" applyAlignment="1">
      <alignment horizontal="left" vertical="center" wrapText="1"/>
    </xf>
    <xf numFmtId="4" fontId="116" fillId="0" borderId="11" xfId="61361" applyNumberFormat="1" applyFont="1" applyFill="1" applyBorder="1" applyAlignment="1">
      <alignment horizontal="left" vertical="center" wrapText="1"/>
    </xf>
    <xf numFmtId="0" fontId="43" fillId="0" borderId="0" xfId="0" applyFont="1" applyFill="1" applyAlignment="1">
      <alignment horizontal="right" vertical="center"/>
    </xf>
    <xf numFmtId="0" fontId="51" fillId="0" borderId="52" xfId="0" quotePrefix="1" applyFont="1" applyFill="1" applyBorder="1" applyAlignment="1">
      <alignment horizontal="center" vertical="center"/>
    </xf>
    <xf numFmtId="3" fontId="47" fillId="0" borderId="11" xfId="0" applyNumberFormat="1" applyFont="1" applyFill="1" applyBorder="1" applyAlignment="1">
      <alignment horizontal="center" vertical="center" wrapText="1"/>
    </xf>
    <xf numFmtId="3" fontId="51" fillId="74" borderId="11" xfId="58867" applyNumberFormat="1" applyFont="1" applyFill="1" applyBorder="1" applyAlignment="1">
      <alignment horizontal="center" vertical="center"/>
    </xf>
    <xf numFmtId="0" fontId="108" fillId="0" borderId="0" xfId="0" applyFont="1" applyFill="1"/>
    <xf numFmtId="0" fontId="50" fillId="0" borderId="0" xfId="0" applyFont="1" applyFill="1"/>
    <xf numFmtId="3" fontId="153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11" xfId="0" applyFont="1" applyFill="1" applyBorder="1" applyAlignment="1" applyProtection="1">
      <alignment horizontal="center" vertical="center"/>
      <protection locked="0"/>
    </xf>
    <xf numFmtId="49" fontId="47" fillId="0" borderId="11" xfId="3" applyNumberFormat="1" applyFont="1" applyFill="1" applyBorder="1" applyAlignment="1">
      <alignment horizontal="center" vertical="center"/>
    </xf>
    <xf numFmtId="0" fontId="47" fillId="0" borderId="11" xfId="0" applyFont="1" applyFill="1" applyBorder="1" applyAlignment="1" applyProtection="1">
      <alignment vertical="center" wrapText="1"/>
      <protection locked="0"/>
    </xf>
    <xf numFmtId="3" fontId="50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10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47" fillId="0" borderId="11" xfId="3" applyNumberFormat="1" applyFont="1" applyFill="1" applyBorder="1" applyAlignment="1">
      <alignment horizontal="center" vertical="center" wrapText="1"/>
    </xf>
    <xf numFmtId="0" fontId="47" fillId="0" borderId="11" xfId="0" applyFont="1" applyFill="1" applyBorder="1" applyAlignment="1" applyProtection="1">
      <alignment vertical="center"/>
      <protection locked="0"/>
    </xf>
    <xf numFmtId="3" fontId="47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10" fillId="0" borderId="11" xfId="3" applyNumberFormat="1" applyFont="1" applyFill="1" applyBorder="1" applyAlignment="1">
      <alignment horizontal="center" vertical="center" wrapText="1"/>
    </xf>
    <xf numFmtId="0" fontId="47" fillId="0" borderId="11" xfId="3" applyFont="1" applyFill="1" applyBorder="1" applyAlignment="1">
      <alignment horizontal="center" vertical="center" wrapText="1"/>
    </xf>
    <xf numFmtId="0" fontId="50" fillId="0" borderId="11" xfId="0" applyFont="1" applyFill="1" applyBorder="1" applyAlignment="1" applyProtection="1">
      <alignment horizontal="center" vertical="center"/>
      <protection locked="0"/>
    </xf>
    <xf numFmtId="0" fontId="50" fillId="0" borderId="11" xfId="0" applyFont="1" applyFill="1" applyBorder="1" applyAlignment="1" applyProtection="1">
      <alignment vertical="center"/>
      <protection locked="0"/>
    </xf>
    <xf numFmtId="0" fontId="50" fillId="0" borderId="11" xfId="0" applyFont="1" applyFill="1" applyBorder="1" applyAlignment="1" applyProtection="1">
      <alignment vertical="center" wrapText="1"/>
      <protection locked="0"/>
    </xf>
    <xf numFmtId="4" fontId="51" fillId="74" borderId="11" xfId="58867" applyNumberFormat="1" applyFont="1" applyFill="1" applyBorder="1" applyAlignment="1">
      <alignment horizontal="right" vertical="center"/>
    </xf>
    <xf numFmtId="0" fontId="121" fillId="0" borderId="10" xfId="59012" applyFont="1" applyBorder="1" applyAlignment="1">
      <alignment horizontal="center" vertical="center" wrapText="1"/>
    </xf>
    <xf numFmtId="3" fontId="110" fillId="74" borderId="47" xfId="0" applyNumberFormat="1" applyFont="1" applyFill="1" applyBorder="1" applyAlignment="1">
      <alignment horizontal="center" vertical="center" wrapText="1"/>
    </xf>
    <xf numFmtId="3" fontId="130" fillId="74" borderId="38" xfId="61320" applyNumberFormat="1" applyFont="1" applyFill="1" applyBorder="1" applyAlignment="1">
      <alignment horizontal="center" vertical="center"/>
    </xf>
    <xf numFmtId="3" fontId="110" fillId="74" borderId="38" xfId="61320" applyNumberFormat="1" applyFont="1" applyFill="1" applyBorder="1" applyAlignment="1">
      <alignment horizontal="center" vertical="center"/>
    </xf>
    <xf numFmtId="3" fontId="110" fillId="74" borderId="58" xfId="61320" applyNumberFormat="1" applyFont="1" applyFill="1" applyBorder="1" applyAlignment="1">
      <alignment horizontal="center" vertical="center"/>
    </xf>
    <xf numFmtId="0" fontId="48" fillId="74" borderId="15" xfId="59012" applyFont="1" applyFill="1" applyBorder="1" applyAlignment="1" applyProtection="1">
      <alignment horizontal="center" vertical="center" wrapText="1"/>
      <protection locked="0"/>
    </xf>
    <xf numFmtId="0" fontId="48" fillId="74" borderId="11" xfId="59012" applyFont="1" applyFill="1" applyBorder="1" applyAlignment="1" applyProtection="1">
      <alignment horizontal="center" vertical="center" wrapText="1"/>
      <protection locked="0"/>
    </xf>
    <xf numFmtId="3" fontId="45" fillId="74" borderId="11" xfId="60150" applyNumberFormat="1" applyFont="1" applyFill="1" applyBorder="1" applyAlignment="1">
      <alignment horizontal="center" vertical="center"/>
    </xf>
    <xf numFmtId="0" fontId="45" fillId="74" borderId="11" xfId="60150" applyFont="1" applyFill="1" applyBorder="1" applyAlignment="1">
      <alignment horizontal="center" vertical="center" wrapText="1"/>
    </xf>
    <xf numFmtId="0" fontId="45" fillId="74" borderId="11" xfId="60150" applyFont="1" applyFill="1" applyBorder="1" applyAlignment="1">
      <alignment horizontal="left" vertical="center" wrapText="1"/>
    </xf>
    <xf numFmtId="0" fontId="45" fillId="74" borderId="11" xfId="60150" applyFont="1" applyFill="1" applyBorder="1" applyAlignment="1">
      <alignment horizontal="center" vertical="center"/>
    </xf>
    <xf numFmtId="0" fontId="45" fillId="74" borderId="0" xfId="60150" applyFont="1" applyFill="1"/>
    <xf numFmtId="3" fontId="121" fillId="74" borderId="11" xfId="60150" applyNumberFormat="1" applyFont="1" applyFill="1" applyBorder="1" applyAlignment="1">
      <alignment horizontal="center" vertical="center"/>
    </xf>
    <xf numFmtId="0" fontId="45" fillId="74" borderId="11" xfId="60150" applyFont="1" applyFill="1" applyBorder="1" applyAlignment="1">
      <alignment horizontal="right" vertical="center" wrapText="1"/>
    </xf>
    <xf numFmtId="0" fontId="121" fillId="74" borderId="11" xfId="60150" applyFont="1" applyFill="1" applyBorder="1" applyAlignment="1">
      <alignment horizontal="left" vertical="center" wrapText="1"/>
    </xf>
    <xf numFmtId="0" fontId="45" fillId="74" borderId="30" xfId="60150" applyFont="1" applyFill="1" applyBorder="1" applyAlignment="1">
      <alignment horizontal="center" vertical="center"/>
    </xf>
    <xf numFmtId="3" fontId="45" fillId="74" borderId="30" xfId="60150" applyNumberFormat="1" applyFont="1" applyFill="1" applyBorder="1" applyAlignment="1">
      <alignment horizontal="center" vertical="center"/>
    </xf>
    <xf numFmtId="0" fontId="121" fillId="74" borderId="11" xfId="60150" applyFont="1" applyFill="1" applyBorder="1" applyAlignment="1">
      <alignment horizontal="center" vertical="center"/>
    </xf>
    <xf numFmtId="0" fontId="121" fillId="74" borderId="0" xfId="60150" applyFont="1" applyFill="1"/>
    <xf numFmtId="0" fontId="45" fillId="74" borderId="30" xfId="60150" applyFont="1" applyFill="1" applyBorder="1" applyAlignment="1">
      <alignment horizontal="center" vertical="center" wrapText="1"/>
    </xf>
    <xf numFmtId="1" fontId="45" fillId="74" borderId="30" xfId="60150" applyNumberFormat="1" applyFont="1" applyFill="1" applyBorder="1" applyAlignment="1">
      <alignment horizontal="center" vertical="center"/>
    </xf>
    <xf numFmtId="3" fontId="45" fillId="74" borderId="0" xfId="60150" applyNumberFormat="1" applyFont="1" applyFill="1" applyAlignment="1">
      <alignment horizontal="center" vertical="center"/>
    </xf>
    <xf numFmtId="3" fontId="51" fillId="74" borderId="11" xfId="60150" applyNumberFormat="1" applyFont="1" applyFill="1" applyBorder="1" applyAlignment="1">
      <alignment horizontal="center" vertical="center" wrapText="1"/>
    </xf>
    <xf numFmtId="49" fontId="51" fillId="74" borderId="30" xfId="58975" applyNumberFormat="1" applyFont="1" applyFill="1" applyBorder="1" applyAlignment="1">
      <alignment horizontal="center" vertical="center"/>
    </xf>
    <xf numFmtId="49" fontId="51" fillId="74" borderId="11" xfId="60150" applyNumberFormat="1" applyFont="1" applyFill="1" applyBorder="1" applyAlignment="1">
      <alignment horizontal="center" vertical="center" wrapText="1"/>
    </xf>
    <xf numFmtId="0" fontId="45" fillId="74" borderId="11" xfId="60150" applyFont="1" applyFill="1" applyBorder="1" applyAlignment="1">
      <alignment horizontal="justify" vertical="center" wrapText="1"/>
    </xf>
    <xf numFmtId="0" fontId="121" fillId="74" borderId="11" xfId="60150" applyFont="1" applyFill="1" applyBorder="1" applyAlignment="1">
      <alignment horizontal="center" vertical="center" wrapText="1"/>
    </xf>
    <xf numFmtId="1" fontId="45" fillId="74" borderId="11" xfId="60150" applyNumberFormat="1" applyFont="1" applyFill="1" applyBorder="1" applyAlignment="1">
      <alignment horizontal="center" vertical="center"/>
    </xf>
    <xf numFmtId="49" fontId="48" fillId="74" borderId="11" xfId="58975" applyNumberFormat="1" applyFont="1" applyFill="1" applyBorder="1" applyAlignment="1">
      <alignment horizontal="center" vertical="center" wrapText="1"/>
    </xf>
    <xf numFmtId="3" fontId="45" fillId="74" borderId="30" xfId="60150" applyNumberFormat="1" applyFont="1" applyFill="1" applyBorder="1" applyAlignment="1">
      <alignment horizontal="center" vertical="center" wrapText="1"/>
    </xf>
    <xf numFmtId="0" fontId="45" fillId="74" borderId="11" xfId="60150" applyFont="1" applyFill="1" applyBorder="1" applyAlignment="1" applyProtection="1">
      <alignment horizontal="center" vertical="center" wrapText="1"/>
      <protection locked="0"/>
    </xf>
    <xf numFmtId="49" fontId="48" fillId="74" borderId="11" xfId="58921" applyNumberFormat="1" applyFont="1" applyFill="1" applyBorder="1" applyAlignment="1">
      <alignment horizontal="center" vertical="center"/>
    </xf>
    <xf numFmtId="0" fontId="121" fillId="74" borderId="11" xfId="60170" applyFont="1" applyFill="1" applyBorder="1" applyAlignment="1">
      <alignment horizontal="left" vertical="center" wrapText="1"/>
    </xf>
    <xf numFmtId="0" fontId="121" fillId="74" borderId="15" xfId="60150" applyFont="1" applyFill="1" applyBorder="1" applyAlignment="1">
      <alignment horizontal="center" vertical="center" wrapText="1"/>
    </xf>
    <xf numFmtId="0" fontId="121" fillId="74" borderId="68" xfId="60150" applyFont="1" applyFill="1" applyBorder="1" applyAlignment="1">
      <alignment horizontal="center" vertical="center" wrapText="1"/>
    </xf>
    <xf numFmtId="0" fontId="121" fillId="74" borderId="69" xfId="60150" applyFont="1" applyFill="1" applyBorder="1" applyAlignment="1">
      <alignment horizontal="center" vertical="center" wrapText="1"/>
    </xf>
    <xf numFmtId="0" fontId="45" fillId="74" borderId="0" xfId="60150" applyFont="1" applyFill="1" applyAlignment="1">
      <alignment horizontal="right"/>
    </xf>
    <xf numFmtId="3" fontId="45" fillId="74" borderId="0" xfId="60150" applyNumberFormat="1" applyFont="1" applyFill="1"/>
    <xf numFmtId="0" fontId="45" fillId="74" borderId="0" xfId="60150" applyFont="1" applyFill="1" applyAlignment="1">
      <alignment horizontal="center" vertical="center"/>
    </xf>
    <xf numFmtId="173" fontId="51" fillId="74" borderId="0" xfId="58585" applyNumberFormat="1" applyFont="1" applyFill="1" applyAlignment="1">
      <alignment horizontal="right" vertical="center"/>
    </xf>
    <xf numFmtId="174" fontId="51" fillId="74" borderId="0" xfId="58585" applyNumberFormat="1" applyFont="1" applyFill="1" applyAlignment="1">
      <alignment horizontal="right" vertical="center"/>
    </xf>
    <xf numFmtId="3" fontId="121" fillId="0" borderId="11" xfId="0" applyNumberFormat="1" applyFont="1" applyFill="1" applyBorder="1" applyAlignment="1">
      <alignment horizontal="center" vertical="center" wrapText="1"/>
    </xf>
    <xf numFmtId="3" fontId="121" fillId="0" borderId="38" xfId="0" applyNumberFormat="1" applyFont="1" applyFill="1" applyBorder="1" applyAlignment="1">
      <alignment horizontal="center" vertical="center" wrapText="1"/>
    </xf>
    <xf numFmtId="3" fontId="45" fillId="0" borderId="15" xfId="58940" applyNumberFormat="1" applyFont="1" applyFill="1" applyBorder="1" applyAlignment="1">
      <alignment horizontal="center" vertical="center" wrapText="1"/>
    </xf>
    <xf numFmtId="0" fontId="45" fillId="0" borderId="58" xfId="0" applyFont="1" applyFill="1" applyBorder="1" applyAlignment="1">
      <alignment horizontal="center" vertical="center" wrapText="1"/>
    </xf>
    <xf numFmtId="0" fontId="45" fillId="0" borderId="52" xfId="0" applyFont="1" applyFill="1" applyBorder="1" applyAlignment="1">
      <alignment horizontal="center" vertical="center" wrapText="1"/>
    </xf>
    <xf numFmtId="0" fontId="45" fillId="0" borderId="59" xfId="0" applyFont="1" applyFill="1" applyBorder="1" applyAlignment="1">
      <alignment horizontal="center" vertical="center" wrapText="1"/>
    </xf>
    <xf numFmtId="3" fontId="45" fillId="0" borderId="15" xfId="0" applyNumberFormat="1" applyFont="1" applyFill="1" applyBorder="1" applyAlignment="1">
      <alignment horizontal="center" vertical="center"/>
    </xf>
    <xf numFmtId="3" fontId="45" fillId="0" borderId="37" xfId="0" applyNumberFormat="1" applyFont="1" applyFill="1" applyBorder="1" applyAlignment="1">
      <alignment horizontal="center" vertical="center"/>
    </xf>
    <xf numFmtId="3" fontId="45" fillId="0" borderId="38" xfId="0" applyNumberFormat="1" applyFont="1" applyFill="1" applyBorder="1" applyAlignment="1">
      <alignment horizontal="center" vertical="center"/>
    </xf>
    <xf numFmtId="3" fontId="45" fillId="0" borderId="37" xfId="58940" applyNumberFormat="1" applyFont="1" applyFill="1" applyBorder="1" applyAlignment="1">
      <alignment horizontal="center" vertical="center"/>
    </xf>
    <xf numFmtId="3" fontId="51" fillId="0" borderId="30" xfId="0" applyNumberFormat="1" applyFont="1" applyFill="1" applyBorder="1" applyAlignment="1">
      <alignment horizontal="center" vertical="center"/>
    </xf>
    <xf numFmtId="3" fontId="48" fillId="76" borderId="0" xfId="58585" applyNumberFormat="1" applyFont="1" applyFill="1" applyAlignment="1">
      <alignment horizontal="right" vertical="center"/>
    </xf>
    <xf numFmtId="3" fontId="150" fillId="74" borderId="69" xfId="58923" applyNumberFormat="1" applyFont="1" applyFill="1" applyBorder="1" applyAlignment="1">
      <alignment horizontal="center" vertical="center"/>
    </xf>
    <xf numFmtId="3" fontId="150" fillId="74" borderId="67" xfId="58923" applyNumberFormat="1" applyFont="1" applyFill="1" applyBorder="1" applyAlignment="1">
      <alignment horizontal="center" vertical="center"/>
    </xf>
    <xf numFmtId="3" fontId="151" fillId="74" borderId="52" xfId="58923" applyNumberFormat="1" applyFont="1" applyFill="1" applyBorder="1" applyAlignment="1">
      <alignment horizontal="center" vertical="center"/>
    </xf>
    <xf numFmtId="0" fontId="45" fillId="0" borderId="69" xfId="61321" applyFont="1" applyFill="1" applyBorder="1" applyAlignment="1">
      <alignment horizontal="left" wrapText="1"/>
    </xf>
    <xf numFmtId="0" fontId="55" fillId="74" borderId="41" xfId="61317" applyFont="1" applyFill="1" applyBorder="1" applyAlignment="1">
      <alignment horizontal="center" vertical="center" wrapText="1"/>
    </xf>
    <xf numFmtId="3" fontId="55" fillId="74" borderId="43" xfId="61317" applyNumberFormat="1" applyFont="1" applyFill="1" applyBorder="1" applyAlignment="1">
      <alignment horizontal="center" vertical="center" wrapText="1"/>
    </xf>
    <xf numFmtId="0" fontId="55" fillId="74" borderId="11" xfId="61317" applyFont="1" applyFill="1" applyBorder="1" applyAlignment="1">
      <alignment horizontal="center" vertical="center" wrapText="1"/>
    </xf>
    <xf numFmtId="0" fontId="55" fillId="74" borderId="11" xfId="61320" applyFont="1" applyFill="1" applyBorder="1" applyAlignment="1">
      <alignment horizontal="left" vertical="center" wrapText="1"/>
    </xf>
    <xf numFmtId="3" fontId="55" fillId="0" borderId="37" xfId="0" applyNumberFormat="1" applyFont="1" applyFill="1" applyBorder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horizontal="left" vertical="center"/>
    </xf>
    <xf numFmtId="3" fontId="55" fillId="0" borderId="0" xfId="0" applyNumberFormat="1" applyFont="1" applyFill="1" applyAlignment="1">
      <alignment horizontal="center" vertical="center"/>
    </xf>
    <xf numFmtId="3" fontId="107" fillId="0" borderId="0" xfId="0" applyNumberFormat="1" applyFont="1" applyFill="1" applyAlignment="1">
      <alignment horizontal="center" vertical="center"/>
    </xf>
    <xf numFmtId="0" fontId="107" fillId="0" borderId="0" xfId="0" applyFont="1" applyFill="1" applyAlignment="1">
      <alignment horizontal="center" vertical="center"/>
    </xf>
    <xf numFmtId="0" fontId="55" fillId="0" borderId="69" xfId="0" applyFont="1" applyFill="1" applyBorder="1" applyAlignment="1">
      <alignment horizontal="center" vertical="center" wrapText="1"/>
    </xf>
    <xf numFmtId="3" fontId="55" fillId="0" borderId="58" xfId="0" applyNumberFormat="1" applyFont="1" applyFill="1" applyBorder="1" applyAlignment="1">
      <alignment horizontal="center" vertical="center"/>
    </xf>
    <xf numFmtId="3" fontId="55" fillId="0" borderId="52" xfId="0" applyNumberFormat="1" applyFont="1" applyFill="1" applyBorder="1" applyAlignment="1">
      <alignment horizontal="center" vertical="center"/>
    </xf>
    <xf numFmtId="3" fontId="55" fillId="0" borderId="66" xfId="0" applyNumberFormat="1" applyFont="1" applyFill="1" applyBorder="1" applyAlignment="1">
      <alignment horizontal="center" vertical="center"/>
    </xf>
    <xf numFmtId="3" fontId="55" fillId="0" borderId="67" xfId="0" applyNumberFormat="1" applyFont="1" applyFill="1" applyBorder="1" applyAlignment="1">
      <alignment horizontal="center" vertical="center"/>
    </xf>
    <xf numFmtId="3" fontId="55" fillId="0" borderId="59" xfId="0" applyNumberFormat="1" applyFont="1" applyFill="1" applyBorder="1" applyAlignment="1">
      <alignment horizontal="center" vertical="center"/>
    </xf>
    <xf numFmtId="3" fontId="107" fillId="0" borderId="40" xfId="0" applyNumberFormat="1" applyFont="1" applyFill="1" applyBorder="1" applyAlignment="1">
      <alignment horizontal="center" vertical="center"/>
    </xf>
    <xf numFmtId="3" fontId="107" fillId="0" borderId="14" xfId="0" applyNumberFormat="1" applyFont="1" applyFill="1" applyBorder="1" applyAlignment="1">
      <alignment horizontal="center" vertical="center"/>
    </xf>
    <xf numFmtId="3" fontId="107" fillId="0" borderId="39" xfId="0" applyNumberFormat="1" applyFont="1" applyFill="1" applyBorder="1" applyAlignment="1">
      <alignment horizontal="center" vertical="center"/>
    </xf>
    <xf numFmtId="3" fontId="107" fillId="0" borderId="32" xfId="0" applyNumberFormat="1" applyFont="1" applyFill="1" applyBorder="1" applyAlignment="1">
      <alignment horizontal="center" vertical="center"/>
    </xf>
    <xf numFmtId="3" fontId="107" fillId="0" borderId="13" xfId="0" applyNumberFormat="1" applyFont="1" applyFill="1" applyBorder="1" applyAlignment="1">
      <alignment horizontal="center" vertical="center"/>
    </xf>
    <xf numFmtId="3" fontId="107" fillId="0" borderId="11" xfId="0" applyNumberFormat="1" applyFont="1" applyFill="1" applyBorder="1" applyAlignment="1">
      <alignment horizontal="center" vertical="center"/>
    </xf>
    <xf numFmtId="3" fontId="107" fillId="0" borderId="38" xfId="0" applyNumberFormat="1" applyFont="1" applyFill="1" applyBorder="1" applyAlignment="1">
      <alignment horizontal="center" vertical="center"/>
    </xf>
    <xf numFmtId="3" fontId="55" fillId="0" borderId="69" xfId="0" applyNumberFormat="1" applyFont="1" applyFill="1" applyBorder="1" applyAlignment="1">
      <alignment horizontal="center" vertical="center"/>
    </xf>
    <xf numFmtId="3" fontId="55" fillId="0" borderId="15" xfId="0" applyNumberFormat="1" applyFont="1" applyFill="1" applyBorder="1" applyAlignment="1">
      <alignment horizontal="center" vertical="center"/>
    </xf>
    <xf numFmtId="3" fontId="107" fillId="0" borderId="37" xfId="0" applyNumberFormat="1" applyFont="1" applyFill="1" applyBorder="1" applyAlignment="1">
      <alignment horizontal="center" vertical="center"/>
    </xf>
    <xf numFmtId="3" fontId="107" fillId="0" borderId="69" xfId="0" applyNumberFormat="1" applyFont="1" applyFill="1" applyBorder="1" applyAlignment="1">
      <alignment horizontal="center" vertical="center"/>
    </xf>
    <xf numFmtId="3" fontId="107" fillId="0" borderId="15" xfId="0" applyNumberFormat="1" applyFont="1" applyFill="1" applyBorder="1" applyAlignment="1">
      <alignment horizontal="center" vertical="center"/>
    </xf>
    <xf numFmtId="3" fontId="159" fillId="0" borderId="11" xfId="0" applyNumberFormat="1" applyFont="1" applyFill="1" applyBorder="1" applyAlignment="1">
      <alignment horizontal="center" vertical="center"/>
    </xf>
    <xf numFmtId="3" fontId="159" fillId="0" borderId="69" xfId="0" applyNumberFormat="1" applyFont="1" applyFill="1" applyBorder="1" applyAlignment="1">
      <alignment horizontal="center" vertical="center"/>
    </xf>
    <xf numFmtId="3" fontId="159" fillId="0" borderId="15" xfId="0" applyNumberFormat="1" applyFont="1" applyFill="1" applyBorder="1" applyAlignment="1">
      <alignment horizontal="center" vertical="center"/>
    </xf>
    <xf numFmtId="3" fontId="159" fillId="0" borderId="37" xfId="0" applyNumberFormat="1" applyFont="1" applyFill="1" applyBorder="1" applyAlignment="1">
      <alignment horizontal="center" vertical="center"/>
    </xf>
    <xf numFmtId="3" fontId="159" fillId="0" borderId="38" xfId="0" applyNumberFormat="1" applyFont="1" applyFill="1" applyBorder="1" applyAlignment="1">
      <alignment horizontal="center" vertical="center"/>
    </xf>
    <xf numFmtId="0" fontId="159" fillId="0" borderId="0" xfId="0" applyFont="1" applyFill="1" applyAlignment="1">
      <alignment horizontal="center" vertical="center"/>
    </xf>
    <xf numFmtId="3" fontId="107" fillId="0" borderId="52" xfId="0" applyNumberFormat="1" applyFont="1" applyFill="1" applyBorder="1" applyAlignment="1">
      <alignment horizontal="center" vertical="center"/>
    </xf>
    <xf numFmtId="3" fontId="124" fillId="0" borderId="0" xfId="0" applyNumberFormat="1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3" fontId="124" fillId="0" borderId="15" xfId="0" applyNumberFormat="1" applyFont="1" applyFill="1" applyBorder="1" applyAlignment="1">
      <alignment horizontal="center" vertical="center"/>
    </xf>
    <xf numFmtId="0" fontId="124" fillId="0" borderId="0" xfId="0" applyFont="1" applyFill="1" applyAlignment="1">
      <alignment horizontal="center" vertical="center"/>
    </xf>
    <xf numFmtId="3" fontId="53" fillId="0" borderId="15" xfId="0" applyNumberFormat="1" applyFont="1" applyFill="1" applyBorder="1" applyAlignment="1">
      <alignment horizontal="left" vertical="center" wrapText="1"/>
    </xf>
    <xf numFmtId="3" fontId="43" fillId="0" borderId="30" xfId="58940" applyNumberFormat="1" applyFont="1" applyFill="1" applyBorder="1" applyAlignment="1">
      <alignment horizontal="center" vertical="center"/>
    </xf>
    <xf numFmtId="3" fontId="43" fillId="0" borderId="30" xfId="0" applyNumberFormat="1" applyFont="1" applyFill="1" applyBorder="1" applyAlignment="1">
      <alignment horizontal="center" vertical="center"/>
    </xf>
    <xf numFmtId="3" fontId="43" fillId="0" borderId="58" xfId="0" applyNumberFormat="1" applyFont="1" applyFill="1" applyBorder="1" applyAlignment="1">
      <alignment horizontal="center" vertical="center"/>
    </xf>
    <xf numFmtId="3" fontId="124" fillId="0" borderId="52" xfId="0" applyNumberFormat="1" applyFont="1" applyFill="1" applyBorder="1" applyAlignment="1">
      <alignment horizontal="center" vertical="center"/>
    </xf>
    <xf numFmtId="0" fontId="51" fillId="0" borderId="11" xfId="0" quotePrefix="1" applyFont="1" applyFill="1" applyBorder="1" applyAlignment="1">
      <alignment horizontal="center" vertical="center"/>
    </xf>
    <xf numFmtId="3" fontId="51" fillId="0" borderId="52" xfId="0" applyNumberFormat="1" applyFont="1" applyFill="1" applyBorder="1" applyAlignment="1">
      <alignment horizontal="center" vertical="center"/>
    </xf>
    <xf numFmtId="0" fontId="116" fillId="74" borderId="0" xfId="61317" applyFont="1" applyFill="1" applyAlignment="1">
      <alignment horizontal="center" vertical="center"/>
    </xf>
    <xf numFmtId="49" fontId="116" fillId="74" borderId="0" xfId="61317" applyNumberFormat="1" applyFont="1" applyFill="1" applyAlignment="1">
      <alignment horizontal="center" vertical="center"/>
    </xf>
    <xf numFmtId="0" fontId="116" fillId="74" borderId="0" xfId="61317" applyFont="1" applyFill="1" applyAlignment="1">
      <alignment vertical="center"/>
    </xf>
    <xf numFmtId="3" fontId="116" fillId="74" borderId="0" xfId="61317" applyNumberFormat="1" applyFont="1" applyFill="1" applyAlignment="1">
      <alignment horizontal="center" vertical="center"/>
    </xf>
    <xf numFmtId="0" fontId="116" fillId="74" borderId="11" xfId="61317" applyFont="1" applyFill="1" applyBorder="1" applyAlignment="1">
      <alignment horizontal="center" vertical="center" wrapText="1"/>
    </xf>
    <xf numFmtId="3" fontId="116" fillId="74" borderId="11" xfId="61317" applyNumberFormat="1" applyFont="1" applyFill="1" applyBorder="1" applyAlignment="1">
      <alignment horizontal="center" vertical="center"/>
    </xf>
    <xf numFmtId="3" fontId="116" fillId="74" borderId="11" xfId="61317" applyNumberFormat="1" applyFont="1" applyFill="1" applyBorder="1" applyAlignment="1">
      <alignment horizontal="center" vertical="center" wrapText="1"/>
    </xf>
    <xf numFmtId="49" fontId="116" fillId="74" borderId="14" xfId="61317" applyNumberFormat="1" applyFont="1" applyFill="1" applyBorder="1" applyAlignment="1">
      <alignment horizontal="center" vertical="center" wrapText="1"/>
    </xf>
    <xf numFmtId="0" fontId="157" fillId="74" borderId="11" xfId="61317" applyFont="1" applyFill="1" applyBorder="1" applyAlignment="1">
      <alignment vertical="center"/>
    </xf>
    <xf numFmtId="3" fontId="157" fillId="74" borderId="11" xfId="61317" applyNumberFormat="1" applyFont="1" applyFill="1" applyBorder="1" applyAlignment="1">
      <alignment horizontal="center" vertical="center" wrapText="1"/>
    </xf>
    <xf numFmtId="3" fontId="157" fillId="74" borderId="11" xfId="61317" applyNumberFormat="1" applyFont="1" applyFill="1" applyBorder="1" applyAlignment="1">
      <alignment horizontal="center" vertical="center"/>
    </xf>
    <xf numFmtId="4" fontId="157" fillId="74" borderId="16" xfId="61317" applyNumberFormat="1" applyFont="1" applyFill="1" applyBorder="1" applyAlignment="1">
      <alignment vertical="center" wrapText="1"/>
    </xf>
    <xf numFmtId="3" fontId="116" fillId="74" borderId="11" xfId="61318" applyNumberFormat="1" applyFont="1" applyFill="1" applyBorder="1" applyAlignment="1">
      <alignment horizontal="center" vertical="center" wrapText="1"/>
    </xf>
    <xf numFmtId="0" fontId="116" fillId="74" borderId="11" xfId="61317" applyFont="1" applyFill="1" applyBorder="1" applyAlignment="1">
      <alignment horizontal="center" vertical="center"/>
    </xf>
    <xf numFmtId="49" fontId="116" fillId="74" borderId="11" xfId="58975" applyNumberFormat="1" applyFont="1" applyFill="1" applyBorder="1" applyAlignment="1">
      <alignment horizontal="center" vertical="center"/>
    </xf>
    <xf numFmtId="0" fontId="116" fillId="74" borderId="11" xfId="58975" applyFont="1" applyFill="1" applyBorder="1" applyAlignment="1">
      <alignment horizontal="left" vertical="center" wrapText="1"/>
    </xf>
    <xf numFmtId="49" fontId="116" fillId="74" borderId="11" xfId="58975" applyNumberFormat="1" applyFont="1" applyFill="1" applyBorder="1" applyAlignment="1">
      <alignment horizontal="center" vertical="center" wrapText="1"/>
    </xf>
    <xf numFmtId="0" fontId="116" fillId="74" borderId="11" xfId="58975" applyFont="1" applyFill="1" applyBorder="1" applyAlignment="1">
      <alignment horizontal="center" vertical="center" wrapText="1"/>
    </xf>
    <xf numFmtId="0" fontId="51" fillId="74" borderId="11" xfId="59012" applyFont="1" applyFill="1" applyBorder="1" applyAlignment="1">
      <alignment horizontal="center" vertical="center"/>
    </xf>
    <xf numFmtId="0" fontId="53" fillId="74" borderId="11" xfId="58940" applyFont="1" applyFill="1" applyBorder="1" applyAlignment="1">
      <alignment horizontal="left" vertical="center" wrapText="1"/>
    </xf>
    <xf numFmtId="0" fontId="43" fillId="74" borderId="11" xfId="58940" applyFont="1" applyFill="1" applyBorder="1" applyAlignment="1">
      <alignment horizontal="center" vertical="center" wrapText="1"/>
    </xf>
    <xf numFmtId="49" fontId="43" fillId="74" borderId="11" xfId="58940" applyNumberFormat="1" applyFont="1" applyFill="1" applyBorder="1" applyAlignment="1">
      <alignment horizontal="center" vertical="center"/>
    </xf>
    <xf numFmtId="49" fontId="51" fillId="74" borderId="11" xfId="58940" applyNumberFormat="1" applyFont="1" applyFill="1" applyBorder="1" applyAlignment="1">
      <alignment horizontal="center" vertical="center" wrapText="1"/>
    </xf>
    <xf numFmtId="0" fontId="51" fillId="74" borderId="11" xfId="4" applyFont="1" applyFill="1" applyBorder="1" applyAlignment="1">
      <alignment horizontal="center" vertical="center"/>
    </xf>
    <xf numFmtId="49" fontId="43" fillId="74" borderId="11" xfId="59012" applyNumberFormat="1" applyFont="1" applyFill="1" applyBorder="1" applyAlignment="1">
      <alignment horizontal="center" vertical="center" wrapText="1"/>
    </xf>
    <xf numFmtId="0" fontId="53" fillId="74" borderId="11" xfId="59012" applyFont="1" applyFill="1" applyBorder="1" applyAlignment="1">
      <alignment horizontal="left" vertical="center" wrapText="1"/>
    </xf>
    <xf numFmtId="49" fontId="51" fillId="74" borderId="11" xfId="58940" applyNumberFormat="1" applyFont="1" applyFill="1" applyBorder="1" applyAlignment="1">
      <alignment horizontal="center" vertical="center"/>
    </xf>
    <xf numFmtId="49" fontId="43" fillId="74" borderId="11" xfId="59012" applyNumberFormat="1" applyFont="1" applyFill="1" applyBorder="1" applyAlignment="1">
      <alignment horizontal="center" vertical="center"/>
    </xf>
    <xf numFmtId="0" fontId="43" fillId="74" borderId="11" xfId="59012" applyFont="1" applyFill="1" applyBorder="1" applyAlignment="1">
      <alignment horizontal="left" vertical="center" wrapText="1"/>
    </xf>
    <xf numFmtId="49" fontId="43" fillId="74" borderId="11" xfId="58940" applyNumberFormat="1" applyFont="1" applyFill="1" applyBorder="1" applyAlignment="1">
      <alignment horizontal="left" vertical="center" wrapText="1"/>
    </xf>
    <xf numFmtId="3" fontId="51" fillId="74" borderId="11" xfId="58921" applyNumberFormat="1" applyFont="1" applyFill="1" applyBorder="1" applyAlignment="1">
      <alignment horizontal="center" vertical="center"/>
    </xf>
    <xf numFmtId="3" fontId="53" fillId="74" borderId="11" xfId="59012" applyNumberFormat="1" applyFont="1" applyFill="1" applyBorder="1" applyAlignment="1">
      <alignment horizontal="left" vertical="center" wrapText="1"/>
    </xf>
    <xf numFmtId="170" fontId="51" fillId="74" borderId="11" xfId="58921" applyNumberFormat="1" applyFont="1" applyFill="1" applyBorder="1" applyAlignment="1">
      <alignment horizontal="center" vertical="center"/>
    </xf>
    <xf numFmtId="3" fontId="51" fillId="74" borderId="11" xfId="59012" applyNumberFormat="1" applyFont="1" applyFill="1" applyBorder="1" applyAlignment="1">
      <alignment horizontal="left" vertical="center" wrapText="1"/>
    </xf>
    <xf numFmtId="3" fontId="51" fillId="74" borderId="30" xfId="58921" applyNumberFormat="1" applyFont="1" applyFill="1" applyBorder="1" applyAlignment="1">
      <alignment horizontal="center" vertical="center"/>
    </xf>
    <xf numFmtId="3" fontId="53" fillId="74" borderId="30" xfId="59012" applyNumberFormat="1" applyFont="1" applyFill="1" applyBorder="1" applyAlignment="1">
      <alignment horizontal="left" vertical="center" wrapText="1"/>
    </xf>
    <xf numFmtId="0" fontId="51" fillId="74" borderId="11" xfId="59012" applyFont="1" applyFill="1" applyBorder="1" applyAlignment="1">
      <alignment horizontal="left" vertical="center"/>
    </xf>
    <xf numFmtId="3" fontId="95" fillId="74" borderId="11" xfId="61293" applyNumberFormat="1" applyFill="1" applyBorder="1" applyAlignment="1">
      <alignment horizontal="center" vertical="center"/>
    </xf>
    <xf numFmtId="0" fontId="95" fillId="74" borderId="0" xfId="61293" applyFill="1" applyAlignment="1">
      <alignment horizontal="center" vertical="center"/>
    </xf>
    <xf numFmtId="0" fontId="95" fillId="74" borderId="0" xfId="61293" applyFill="1" applyAlignment="1">
      <alignment horizontal="center"/>
    </xf>
    <xf numFmtId="0" fontId="95" fillId="74" borderId="0" xfId="61293" applyFill="1"/>
    <xf numFmtId="0" fontId="117" fillId="74" borderId="11" xfId="61293" applyFont="1" applyFill="1" applyBorder="1" applyAlignment="1">
      <alignment horizontal="center" vertical="center"/>
    </xf>
    <xf numFmtId="0" fontId="117" fillId="74" borderId="11" xfId="61293" applyFont="1" applyFill="1" applyBorder="1" applyAlignment="1">
      <alignment horizontal="center"/>
    </xf>
    <xf numFmtId="0" fontId="117" fillId="74" borderId="11" xfId="61293" applyFont="1" applyFill="1" applyBorder="1" applyAlignment="1">
      <alignment horizontal="center" vertical="center" wrapText="1"/>
    </xf>
    <xf numFmtId="0" fontId="117" fillId="74" borderId="0" xfId="61293" applyFont="1" applyFill="1"/>
    <xf numFmtId="3" fontId="117" fillId="74" borderId="11" xfId="61293" applyNumberFormat="1" applyFont="1" applyFill="1" applyBorder="1" applyAlignment="1">
      <alignment horizontal="center" vertical="center"/>
    </xf>
    <xf numFmtId="0" fontId="95" fillId="74" borderId="11" xfId="61293" applyFill="1" applyBorder="1" applyAlignment="1">
      <alignment horizontal="center" vertical="center"/>
    </xf>
    <xf numFmtId="49" fontId="95" fillId="74" borderId="11" xfId="61293" applyNumberFormat="1" applyFill="1" applyBorder="1" applyAlignment="1">
      <alignment horizontal="center"/>
    </xf>
    <xf numFmtId="0" fontId="55" fillId="74" borderId="11" xfId="61293" applyFont="1" applyFill="1" applyBorder="1" applyAlignment="1">
      <alignment vertical="center" wrapText="1"/>
    </xf>
    <xf numFmtId="3" fontId="95" fillId="74" borderId="0" xfId="61293" applyNumberFormat="1" applyFill="1"/>
    <xf numFmtId="49" fontId="43" fillId="74" borderId="11" xfId="61390" applyNumberFormat="1" applyFont="1" applyFill="1" applyBorder="1" applyAlignment="1">
      <alignment horizontal="center" vertical="center" wrapText="1"/>
    </xf>
    <xf numFmtId="0" fontId="53" fillId="74" borderId="11" xfId="61390" applyFont="1" applyFill="1" applyBorder="1" applyAlignment="1">
      <alignment horizontal="left" vertical="center" wrapText="1"/>
    </xf>
    <xf numFmtId="0" fontId="43" fillId="74" borderId="11" xfId="6139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37" xfId="0" applyFont="1" applyFill="1" applyBorder="1" applyAlignment="1">
      <alignment horizontal="center" vertical="center"/>
    </xf>
    <xf numFmtId="49" fontId="45" fillId="0" borderId="11" xfId="58940" applyNumberFormat="1" applyFont="1" applyFill="1" applyBorder="1" applyAlignment="1">
      <alignment horizontal="center" vertical="center"/>
    </xf>
    <xf numFmtId="3" fontId="47" fillId="0" borderId="69" xfId="0" applyNumberFormat="1" applyFont="1" applyFill="1" applyBorder="1" applyAlignment="1">
      <alignment horizontal="center" vertical="center" wrapText="1"/>
    </xf>
    <xf numFmtId="3" fontId="47" fillId="0" borderId="11" xfId="0" applyNumberFormat="1" applyFont="1" applyFill="1" applyBorder="1" applyAlignment="1">
      <alignment horizontal="center" vertical="center" wrapText="1"/>
    </xf>
    <xf numFmtId="3" fontId="47" fillId="0" borderId="37" xfId="0" applyNumberFormat="1" applyFont="1" applyFill="1" applyBorder="1" applyAlignment="1">
      <alignment horizontal="center" vertical="center" wrapText="1"/>
    </xf>
    <xf numFmtId="3" fontId="50" fillId="0" borderId="11" xfId="0" applyNumberFormat="1" applyFont="1" applyFill="1" applyBorder="1" applyAlignment="1">
      <alignment horizontal="center" vertical="center" wrapText="1"/>
    </xf>
    <xf numFmtId="0" fontId="51" fillId="0" borderId="37" xfId="0" applyFont="1" applyFill="1" applyBorder="1" applyAlignment="1">
      <alignment horizontal="center" vertical="center"/>
    </xf>
    <xf numFmtId="49" fontId="51" fillId="0" borderId="11" xfId="58940" applyNumberFormat="1" applyFont="1" applyFill="1" applyBorder="1" applyAlignment="1">
      <alignment horizontal="center" vertical="center"/>
    </xf>
    <xf numFmtId="3" fontId="45" fillId="0" borderId="37" xfId="58940" applyNumberFormat="1" applyFont="1" applyFill="1" applyBorder="1" applyAlignment="1">
      <alignment horizontal="center" vertical="center" wrapText="1"/>
    </xf>
    <xf numFmtId="3" fontId="45" fillId="0" borderId="11" xfId="58940" applyNumberFormat="1" applyFont="1" applyFill="1" applyBorder="1" applyAlignment="1">
      <alignment horizontal="center" vertical="center" wrapText="1"/>
    </xf>
    <xf numFmtId="3" fontId="55" fillId="0" borderId="40" xfId="0" applyNumberFormat="1" applyFont="1" applyFill="1" applyBorder="1" applyAlignment="1">
      <alignment horizontal="center"/>
    </xf>
    <xf numFmtId="0" fontId="45" fillId="0" borderId="15" xfId="0" applyFont="1" applyFill="1" applyBorder="1" applyAlignment="1">
      <alignment horizontal="left" vertical="center"/>
    </xf>
    <xf numFmtId="3" fontId="45" fillId="0" borderId="11" xfId="0" quotePrefix="1" applyNumberFormat="1" applyFont="1" applyFill="1" applyBorder="1" applyAlignment="1">
      <alignment horizontal="center" vertical="center"/>
    </xf>
    <xf numFmtId="3" fontId="45" fillId="0" borderId="15" xfId="0" applyNumberFormat="1" applyFont="1" applyFill="1" applyBorder="1" applyAlignment="1">
      <alignment horizontal="left" vertical="center"/>
    </xf>
    <xf numFmtId="3" fontId="45" fillId="0" borderId="58" xfId="0" applyNumberFormat="1" applyFont="1" applyFill="1" applyBorder="1" applyAlignment="1">
      <alignment horizontal="center" vertical="center"/>
    </xf>
    <xf numFmtId="3" fontId="45" fillId="0" borderId="52" xfId="0" quotePrefix="1" applyNumberFormat="1" applyFont="1" applyFill="1" applyBorder="1" applyAlignment="1">
      <alignment horizontal="center" vertical="center"/>
    </xf>
    <xf numFmtId="3" fontId="45" fillId="0" borderId="59" xfId="0" applyNumberFormat="1" applyFont="1" applyFill="1" applyBorder="1" applyAlignment="1">
      <alignment horizontal="left" vertical="center"/>
    </xf>
    <xf numFmtId="3" fontId="45" fillId="0" borderId="0" xfId="0" applyNumberFormat="1" applyFont="1" applyFill="1" applyAlignment="1">
      <alignment horizontal="center" vertical="center"/>
    </xf>
    <xf numFmtId="3" fontId="51" fillId="0" borderId="52" xfId="58940" applyNumberFormat="1" applyFont="1" applyFill="1" applyBorder="1" applyAlignment="1">
      <alignment horizontal="center" vertical="center" wrapText="1"/>
    </xf>
    <xf numFmtId="3" fontId="107" fillId="0" borderId="47" xfId="0" applyNumberFormat="1" applyFont="1" applyFill="1" applyBorder="1" applyAlignment="1">
      <alignment horizontal="center" vertical="center"/>
    </xf>
    <xf numFmtId="3" fontId="107" fillId="0" borderId="49" xfId="0" applyNumberFormat="1" applyFont="1" applyFill="1" applyBorder="1" applyAlignment="1">
      <alignment horizontal="center" vertical="center"/>
    </xf>
    <xf numFmtId="3" fontId="121" fillId="0" borderId="32" xfId="0" applyNumberFormat="1" applyFont="1" applyFill="1" applyBorder="1" applyAlignment="1">
      <alignment horizontal="center" vertical="center"/>
    </xf>
    <xf numFmtId="3" fontId="121" fillId="0" borderId="39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3" fontId="45" fillId="0" borderId="69" xfId="0" applyNumberFormat="1" applyFont="1" applyFill="1" applyBorder="1" applyAlignment="1">
      <alignment horizontal="center" vertical="center"/>
    </xf>
    <xf numFmtId="3" fontId="121" fillId="0" borderId="69" xfId="0" applyNumberFormat="1" applyFont="1" applyFill="1" applyBorder="1" applyAlignment="1">
      <alignment horizontal="center" vertical="center"/>
    </xf>
    <xf numFmtId="3" fontId="121" fillId="0" borderId="38" xfId="0" applyNumberFormat="1" applyFont="1" applyFill="1" applyBorder="1" applyAlignment="1">
      <alignment horizontal="center" vertical="center"/>
    </xf>
    <xf numFmtId="3" fontId="111" fillId="0" borderId="38" xfId="58940" applyNumberFormat="1" applyFont="1" applyFill="1" applyBorder="1" applyAlignment="1">
      <alignment horizontal="left" vertical="center" wrapText="1"/>
    </xf>
    <xf numFmtId="3" fontId="45" fillId="0" borderId="38" xfId="58940" applyNumberFormat="1" applyFont="1" applyFill="1" applyBorder="1" applyAlignment="1">
      <alignment horizontal="center" vertical="center"/>
    </xf>
    <xf numFmtId="3" fontId="55" fillId="0" borderId="38" xfId="58940" applyNumberFormat="1" applyFont="1" applyFill="1" applyBorder="1" applyAlignment="1">
      <alignment horizontal="left" vertical="center" wrapText="1"/>
    </xf>
    <xf numFmtId="3" fontId="45" fillId="0" borderId="38" xfId="58940" applyNumberFormat="1" applyFont="1" applyFill="1" applyBorder="1" applyAlignment="1">
      <alignment horizontal="left" vertical="center" wrapText="1"/>
    </xf>
    <xf numFmtId="0" fontId="111" fillId="0" borderId="38" xfId="58940" applyFont="1" applyFill="1" applyBorder="1" applyAlignment="1">
      <alignment horizontal="left" vertical="center" wrapText="1"/>
    </xf>
    <xf numFmtId="0" fontId="55" fillId="0" borderId="38" xfId="58940" applyFont="1" applyFill="1" applyBorder="1" applyAlignment="1">
      <alignment horizontal="left" vertical="center" wrapText="1"/>
    </xf>
    <xf numFmtId="3" fontId="111" fillId="0" borderId="38" xfId="0" applyNumberFormat="1" applyFont="1" applyFill="1" applyBorder="1" applyAlignment="1">
      <alignment horizontal="left" vertical="center" wrapText="1"/>
    </xf>
    <xf numFmtId="0" fontId="45" fillId="0" borderId="38" xfId="58940" applyFont="1" applyFill="1" applyBorder="1" applyAlignment="1">
      <alignment horizontal="left" vertical="center" wrapText="1"/>
    </xf>
    <xf numFmtId="0" fontId="121" fillId="0" borderId="38" xfId="58940" applyFont="1" applyFill="1" applyBorder="1" applyAlignment="1">
      <alignment horizontal="left" vertical="center" wrapText="1"/>
    </xf>
    <xf numFmtId="4" fontId="45" fillId="0" borderId="38" xfId="58975" applyNumberFormat="1" applyFont="1" applyFill="1" applyBorder="1" applyAlignment="1">
      <alignment horizontal="left" vertical="center" wrapText="1"/>
    </xf>
    <xf numFmtId="3" fontId="55" fillId="0" borderId="38" xfId="0" applyNumberFormat="1" applyFont="1" applyFill="1" applyBorder="1" applyAlignment="1">
      <alignment horizontal="left" vertical="center" wrapText="1"/>
    </xf>
    <xf numFmtId="3" fontId="45" fillId="0" borderId="38" xfId="0" applyNumberFormat="1" applyFont="1" applyFill="1" applyBorder="1" applyAlignment="1">
      <alignment horizontal="left" vertical="center" wrapText="1"/>
    </xf>
    <xf numFmtId="3" fontId="45" fillId="0" borderId="67" xfId="0" applyNumberFormat="1" applyFont="1" applyFill="1" applyBorder="1" applyAlignment="1">
      <alignment horizontal="center" vertical="center"/>
    </xf>
    <xf numFmtId="3" fontId="45" fillId="0" borderId="66" xfId="58940" applyNumberFormat="1" applyFont="1" applyFill="1" applyBorder="1" applyAlignment="1">
      <alignment horizontal="center" vertical="center"/>
    </xf>
    <xf numFmtId="3" fontId="45" fillId="0" borderId="67" xfId="58940" applyNumberFormat="1" applyFont="1" applyFill="1" applyBorder="1" applyAlignment="1">
      <alignment horizontal="center" vertical="center"/>
    </xf>
    <xf numFmtId="3" fontId="55" fillId="0" borderId="0" xfId="0" applyNumberFormat="1" applyFont="1" applyFill="1" applyAlignment="1">
      <alignment horizontal="left" vertical="center"/>
    </xf>
    <xf numFmtId="3" fontId="55" fillId="0" borderId="64" xfId="0" applyNumberFormat="1" applyFont="1" applyFill="1" applyBorder="1" applyAlignment="1">
      <alignment horizontal="center" vertical="center"/>
    </xf>
    <xf numFmtId="3" fontId="55" fillId="0" borderId="30" xfId="0" applyNumberFormat="1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left" vertical="center"/>
    </xf>
    <xf numFmtId="3" fontId="51" fillId="0" borderId="11" xfId="0" quotePrefix="1" applyNumberFormat="1" applyFont="1" applyFill="1" applyBorder="1" applyAlignment="1">
      <alignment horizontal="center" vertical="center"/>
    </xf>
    <xf numFmtId="3" fontId="51" fillId="0" borderId="38" xfId="0" applyNumberFormat="1" applyFont="1" applyFill="1" applyBorder="1" applyAlignment="1">
      <alignment horizontal="left" vertical="center"/>
    </xf>
    <xf numFmtId="3" fontId="51" fillId="0" borderId="52" xfId="0" quotePrefix="1" applyNumberFormat="1" applyFont="1" applyFill="1" applyBorder="1" applyAlignment="1">
      <alignment horizontal="center" vertical="center"/>
    </xf>
    <xf numFmtId="3" fontId="51" fillId="0" borderId="66" xfId="0" applyNumberFormat="1" applyFont="1" applyFill="1" applyBorder="1" applyAlignment="1">
      <alignment horizontal="left" vertical="center"/>
    </xf>
    <xf numFmtId="3" fontId="107" fillId="0" borderId="59" xfId="0" applyNumberFormat="1" applyFont="1" applyFill="1" applyBorder="1" applyAlignment="1">
      <alignment horizontal="center" vertical="center"/>
    </xf>
    <xf numFmtId="3" fontId="50" fillId="0" borderId="38" xfId="0" applyNumberFormat="1" applyFont="1" applyFill="1" applyBorder="1" applyAlignment="1">
      <alignment horizontal="center" vertical="center" wrapText="1"/>
    </xf>
    <xf numFmtId="0" fontId="110" fillId="0" borderId="64" xfId="0" applyFont="1" applyFill="1" applyBorder="1" applyAlignment="1">
      <alignment horizontal="center" vertical="center" wrapText="1"/>
    </xf>
    <xf numFmtId="0" fontId="110" fillId="0" borderId="30" xfId="0" applyFont="1" applyFill="1" applyBorder="1" applyAlignment="1">
      <alignment horizontal="center" vertical="center" wrapText="1"/>
    </xf>
    <xf numFmtId="0" fontId="110" fillId="0" borderId="65" xfId="0" applyFont="1" applyFill="1" applyBorder="1" applyAlignment="1">
      <alignment horizontal="center" vertical="center" wrapText="1"/>
    </xf>
    <xf numFmtId="3" fontId="110" fillId="0" borderId="64" xfId="0" applyNumberFormat="1" applyFont="1" applyFill="1" applyBorder="1" applyAlignment="1">
      <alignment horizontal="center" vertical="center"/>
    </xf>
    <xf numFmtId="3" fontId="110" fillId="0" borderId="36" xfId="0" applyNumberFormat="1" applyFont="1" applyFill="1" applyBorder="1" applyAlignment="1">
      <alignment horizontal="center" vertical="center"/>
    </xf>
    <xf numFmtId="3" fontId="47" fillId="0" borderId="61" xfId="0" applyNumberFormat="1" applyFont="1" applyFill="1" applyBorder="1" applyAlignment="1">
      <alignment horizontal="center" vertical="center"/>
    </xf>
    <xf numFmtId="3" fontId="47" fillId="0" borderId="30" xfId="0" applyNumberFormat="1" applyFont="1" applyFill="1" applyBorder="1" applyAlignment="1">
      <alignment horizontal="center" vertical="center"/>
    </xf>
    <xf numFmtId="3" fontId="47" fillId="0" borderId="36" xfId="0" applyNumberFormat="1" applyFont="1" applyFill="1" applyBorder="1" applyAlignment="1">
      <alignment horizontal="center" vertical="center"/>
    </xf>
    <xf numFmtId="3" fontId="48" fillId="0" borderId="47" xfId="0" applyNumberFormat="1" applyFont="1" applyFill="1" applyBorder="1" applyAlignment="1">
      <alignment horizontal="center" vertical="center"/>
    </xf>
    <xf numFmtId="3" fontId="48" fillId="0" borderId="46" xfId="0" applyNumberFormat="1" applyFont="1" applyFill="1" applyBorder="1" applyAlignment="1">
      <alignment horizontal="center" vertical="center"/>
    </xf>
    <xf numFmtId="3" fontId="48" fillId="0" borderId="49" xfId="0" applyNumberFormat="1" applyFont="1" applyFill="1" applyBorder="1" applyAlignment="1">
      <alignment horizontal="center" vertical="center"/>
    </xf>
    <xf numFmtId="3" fontId="48" fillId="0" borderId="63" xfId="0" applyNumberFormat="1" applyFont="1" applyFill="1" applyBorder="1" applyAlignment="1">
      <alignment horizontal="center" vertical="center"/>
    </xf>
    <xf numFmtId="3" fontId="124" fillId="0" borderId="68" xfId="0" applyNumberFormat="1" applyFont="1" applyFill="1" applyBorder="1" applyAlignment="1">
      <alignment horizontal="center" vertical="center"/>
    </xf>
    <xf numFmtId="3" fontId="124" fillId="0" borderId="72" xfId="0" applyNumberFormat="1" applyFont="1" applyFill="1" applyBorder="1" applyAlignment="1">
      <alignment horizontal="center" vertical="center"/>
    </xf>
    <xf numFmtId="3" fontId="43" fillId="0" borderId="15" xfId="58940" applyNumberFormat="1" applyFont="1" applyFill="1" applyBorder="1" applyAlignment="1">
      <alignment horizontal="left" vertical="center" wrapText="1"/>
    </xf>
    <xf numFmtId="3" fontId="53" fillId="0" borderId="15" xfId="58940" applyNumberFormat="1" applyFont="1" applyFill="1" applyBorder="1" applyAlignment="1">
      <alignment horizontal="left" vertical="center" wrapText="1"/>
    </xf>
    <xf numFmtId="0" fontId="53" fillId="0" borderId="15" xfId="58940" applyFont="1" applyFill="1" applyBorder="1" applyAlignment="1">
      <alignment horizontal="left" vertical="center" wrapText="1"/>
    </xf>
    <xf numFmtId="0" fontId="43" fillId="0" borderId="15" xfId="58940" applyFont="1" applyFill="1" applyBorder="1" applyAlignment="1">
      <alignment horizontal="left" vertical="center" wrapText="1"/>
    </xf>
    <xf numFmtId="3" fontId="43" fillId="0" borderId="15" xfId="0" applyNumberFormat="1" applyFont="1" applyFill="1" applyBorder="1" applyAlignment="1">
      <alignment horizontal="left" vertical="center" wrapText="1"/>
    </xf>
    <xf numFmtId="3" fontId="43" fillId="0" borderId="65" xfId="58940" applyNumberFormat="1" applyFont="1" applyFill="1" applyBorder="1" applyAlignment="1">
      <alignment horizontal="left" vertical="center" wrapText="1"/>
    </xf>
    <xf numFmtId="3" fontId="53" fillId="0" borderId="65" xfId="0" applyNumberFormat="1" applyFont="1" applyFill="1" applyBorder="1" applyAlignment="1">
      <alignment horizontal="left" vertical="center" wrapText="1"/>
    </xf>
    <xf numFmtId="0" fontId="51" fillId="0" borderId="11" xfId="0" applyFont="1" applyFill="1" applyBorder="1" applyAlignment="1">
      <alignment horizontal="center" vertical="center"/>
    </xf>
    <xf numFmtId="0" fontId="51" fillId="0" borderId="15" xfId="0" applyFont="1" applyFill="1" applyBorder="1" applyAlignment="1">
      <alignment horizontal="left" vertical="center"/>
    </xf>
    <xf numFmtId="3" fontId="124" fillId="0" borderId="66" xfId="0" applyNumberFormat="1" applyFont="1" applyFill="1" applyBorder="1" applyAlignment="1">
      <alignment horizontal="center" vertical="center"/>
    </xf>
    <xf numFmtId="3" fontId="45" fillId="74" borderId="11" xfId="61317" applyNumberFormat="1" applyFont="1" applyFill="1" applyBorder="1" applyAlignment="1">
      <alignment horizontal="center" vertical="center" wrapText="1"/>
    </xf>
    <xf numFmtId="0" fontId="55" fillId="74" borderId="40" xfId="61317" applyFont="1" applyFill="1" applyBorder="1" applyAlignment="1">
      <alignment horizontal="center" vertical="center" wrapText="1"/>
    </xf>
    <xf numFmtId="0" fontId="55" fillId="74" borderId="14" xfId="61317" applyFont="1" applyFill="1" applyBorder="1" applyAlignment="1">
      <alignment horizontal="center" vertical="center" wrapText="1"/>
    </xf>
    <xf numFmtId="3" fontId="110" fillId="74" borderId="48" xfId="0" applyNumberFormat="1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110" fillId="0" borderId="11" xfId="0" applyFont="1" applyFill="1" applyBorder="1" applyAlignment="1">
      <alignment horizontal="center" vertical="center" wrapText="1"/>
    </xf>
    <xf numFmtId="0" fontId="47" fillId="0" borderId="11" xfId="0" applyFont="1" applyFill="1" applyBorder="1" applyAlignment="1">
      <alignment horizontal="center" vertical="center" wrapText="1"/>
    </xf>
    <xf numFmtId="3" fontId="116" fillId="74" borderId="0" xfId="61317" applyNumberFormat="1" applyFont="1" applyFill="1" applyBorder="1" applyAlignment="1">
      <alignment horizontal="center" vertical="center"/>
    </xf>
    <xf numFmtId="3" fontId="55" fillId="74" borderId="0" xfId="58923" applyNumberFormat="1" applyFont="1" applyFill="1" applyBorder="1" applyAlignment="1">
      <alignment horizontal="center" vertical="center" wrapText="1"/>
    </xf>
    <xf numFmtId="3" fontId="48" fillId="74" borderId="40" xfId="58923" applyNumberFormat="1" applyFont="1" applyFill="1" applyBorder="1" applyAlignment="1">
      <alignment horizontal="center" vertical="center" wrapText="1"/>
    </xf>
    <xf numFmtId="3" fontId="55" fillId="74" borderId="40" xfId="58923" applyNumberFormat="1" applyFont="1" applyFill="1" applyBorder="1" applyAlignment="1">
      <alignment horizontal="center" vertical="center" wrapText="1"/>
    </xf>
    <xf numFmtId="3" fontId="55" fillId="74" borderId="41" xfId="58923" applyNumberFormat="1" applyFont="1" applyFill="1" applyBorder="1" applyAlignment="1">
      <alignment horizontal="center" vertical="center" wrapText="1"/>
    </xf>
    <xf numFmtId="0" fontId="51" fillId="0" borderId="11" xfId="59012" applyFont="1" applyFill="1" applyBorder="1" applyAlignment="1">
      <alignment horizontal="center" vertical="center"/>
    </xf>
    <xf numFmtId="49" fontId="43" fillId="0" borderId="11" xfId="58921" applyNumberFormat="1" applyFont="1" applyFill="1" applyBorder="1" applyAlignment="1">
      <alignment horizontal="center" vertical="center" wrapText="1"/>
    </xf>
    <xf numFmtId="0" fontId="53" fillId="0" borderId="11" xfId="58921" applyFont="1" applyFill="1" applyBorder="1" applyAlignment="1">
      <alignment horizontal="left" vertical="center" wrapText="1"/>
    </xf>
    <xf numFmtId="0" fontId="43" fillId="0" borderId="11" xfId="58921" applyFont="1" applyFill="1" applyBorder="1" applyAlignment="1">
      <alignment horizontal="center" vertical="center" wrapText="1"/>
    </xf>
    <xf numFmtId="49" fontId="43" fillId="0" borderId="11" xfId="58921" applyNumberFormat="1" applyFont="1" applyFill="1" applyBorder="1" applyAlignment="1">
      <alignment horizontal="center" vertical="center"/>
    </xf>
    <xf numFmtId="0" fontId="43" fillId="0" borderId="11" xfId="58921" applyFont="1" applyFill="1" applyBorder="1" applyAlignment="1">
      <alignment horizontal="left" vertical="center" wrapText="1"/>
    </xf>
    <xf numFmtId="49" fontId="51" fillId="0" borderId="11" xfId="58921" applyNumberFormat="1" applyFont="1" applyFill="1" applyBorder="1" applyAlignment="1">
      <alignment horizontal="center" vertical="center" wrapText="1"/>
    </xf>
    <xf numFmtId="0" fontId="51" fillId="0" borderId="11" xfId="4" applyFont="1" applyFill="1" applyBorder="1" applyAlignment="1">
      <alignment horizontal="center" vertical="center"/>
    </xf>
    <xf numFmtId="49" fontId="43" fillId="0" borderId="11" xfId="59012" applyNumberFormat="1" applyFont="1" applyFill="1" applyBorder="1" applyAlignment="1">
      <alignment horizontal="center" vertical="center" wrapText="1"/>
    </xf>
    <xf numFmtId="0" fontId="53" fillId="0" borderId="11" xfId="59012" applyFont="1" applyFill="1" applyBorder="1" applyAlignment="1">
      <alignment horizontal="left" vertical="center" wrapText="1"/>
    </xf>
    <xf numFmtId="49" fontId="51" fillId="0" borderId="11" xfId="58921" applyNumberFormat="1" applyFont="1" applyFill="1" applyBorder="1" applyAlignment="1">
      <alignment horizontal="center" vertical="center"/>
    </xf>
    <xf numFmtId="49" fontId="43" fillId="0" borderId="11" xfId="59012" applyNumberFormat="1" applyFont="1" applyFill="1" applyBorder="1" applyAlignment="1">
      <alignment horizontal="center" vertical="center"/>
    </xf>
    <xf numFmtId="0" fontId="43" fillId="0" borderId="11" xfId="59012" applyFont="1" applyFill="1" applyBorder="1" applyAlignment="1">
      <alignment horizontal="left" vertical="center" wrapText="1"/>
    </xf>
    <xf numFmtId="49" fontId="43" fillId="0" borderId="11" xfId="58921" applyNumberFormat="1" applyFont="1" applyFill="1" applyBorder="1" applyAlignment="1">
      <alignment horizontal="left" vertical="center" wrapText="1"/>
    </xf>
    <xf numFmtId="49" fontId="55" fillId="0" borderId="11" xfId="58921" applyNumberFormat="1" applyFont="1" applyFill="1" applyBorder="1" applyAlignment="1">
      <alignment horizontal="center" vertical="center"/>
    </xf>
    <xf numFmtId="0" fontId="55" fillId="0" borderId="11" xfId="58921" applyFont="1" applyFill="1" applyBorder="1" applyAlignment="1">
      <alignment horizontal="left" vertical="center" wrapText="1"/>
    </xf>
    <xf numFmtId="3" fontId="53" fillId="0" borderId="11" xfId="59012" applyNumberFormat="1" applyFont="1" applyFill="1" applyBorder="1" applyAlignment="1">
      <alignment horizontal="left" vertical="center" wrapText="1"/>
    </xf>
    <xf numFmtId="3" fontId="51" fillId="0" borderId="11" xfId="59012" applyNumberFormat="1" applyFont="1" applyFill="1" applyBorder="1" applyAlignment="1">
      <alignment horizontal="left" vertical="center" wrapText="1"/>
    </xf>
    <xf numFmtId="3" fontId="53" fillId="0" borderId="30" xfId="59012" applyNumberFormat="1" applyFont="1" applyFill="1" applyBorder="1" applyAlignment="1">
      <alignment horizontal="left" vertical="center" wrapText="1"/>
    </xf>
    <xf numFmtId="0" fontId="51" fillId="0" borderId="11" xfId="59012" applyFont="1" applyFill="1" applyBorder="1" applyAlignment="1">
      <alignment horizontal="left" vertical="center"/>
    </xf>
    <xf numFmtId="0" fontId="114" fillId="0" borderId="0" xfId="57801" applyFont="1" applyFill="1"/>
    <xf numFmtId="3" fontId="114" fillId="0" borderId="0" xfId="57801" applyNumberFormat="1" applyFont="1" applyFill="1"/>
    <xf numFmtId="0" fontId="110" fillId="0" borderId="11" xfId="58585" applyFont="1" applyFill="1" applyBorder="1" applyAlignment="1">
      <alignment horizontal="center" vertical="center" wrapText="1"/>
    </xf>
    <xf numFmtId="0" fontId="47" fillId="0" borderId="11" xfId="57801" applyFont="1" applyFill="1" applyBorder="1" applyAlignment="1">
      <alignment horizontal="center" wrapText="1"/>
    </xf>
    <xf numFmtId="0" fontId="47" fillId="0" borderId="11" xfId="57801" applyFont="1" applyFill="1" applyBorder="1" applyAlignment="1">
      <alignment horizontal="center" vertical="center" wrapText="1"/>
    </xf>
    <xf numFmtId="0" fontId="47" fillId="0" borderId="0" xfId="57801" applyFont="1" applyFill="1"/>
    <xf numFmtId="3" fontId="119" fillId="0" borderId="11" xfId="57801" applyNumberFormat="1" applyFont="1" applyFill="1" applyBorder="1" applyAlignment="1">
      <alignment horizontal="center" vertical="center" wrapText="1"/>
    </xf>
    <xf numFmtId="3" fontId="47" fillId="0" borderId="0" xfId="57801" applyNumberFormat="1" applyFont="1" applyFill="1"/>
    <xf numFmtId="3" fontId="114" fillId="0" borderId="11" xfId="57801" applyNumberFormat="1" applyFont="1" applyFill="1" applyBorder="1" applyAlignment="1">
      <alignment horizontal="center" vertical="center" wrapText="1"/>
    </xf>
    <xf numFmtId="3" fontId="114" fillId="0" borderId="0" xfId="57801" applyNumberFormat="1" applyFont="1" applyFill="1" applyAlignment="1">
      <alignment horizontal="center" vertical="center"/>
    </xf>
    <xf numFmtId="0" fontId="51" fillId="0" borderId="11" xfId="58585" applyFont="1" applyFill="1" applyBorder="1" applyAlignment="1">
      <alignment horizontal="center" vertical="center"/>
    </xf>
    <xf numFmtId="49" fontId="43" fillId="0" borderId="11" xfId="3" applyNumberFormat="1" applyFont="1" applyFill="1" applyBorder="1" applyAlignment="1">
      <alignment horizontal="center" vertical="center" wrapText="1"/>
    </xf>
    <xf numFmtId="0" fontId="53" fillId="0" borderId="11" xfId="3" applyFont="1" applyFill="1" applyBorder="1" applyAlignment="1">
      <alignment horizontal="left" vertical="center" wrapText="1"/>
    </xf>
    <xf numFmtId="0" fontId="43" fillId="0" borderId="11" xfId="3" applyFont="1" applyFill="1" applyBorder="1" applyAlignment="1">
      <alignment horizontal="center" vertical="center" wrapText="1"/>
    </xf>
    <xf numFmtId="49" fontId="43" fillId="0" borderId="11" xfId="3" applyNumberFormat="1" applyFont="1" applyFill="1" applyBorder="1" applyAlignment="1">
      <alignment horizontal="center" vertical="center"/>
    </xf>
    <xf numFmtId="49" fontId="51" fillId="0" borderId="11" xfId="3" applyNumberFormat="1" applyFont="1" applyFill="1" applyBorder="1" applyAlignment="1">
      <alignment horizontal="center" vertical="center" wrapText="1"/>
    </xf>
    <xf numFmtId="49" fontId="43" fillId="0" borderId="11" xfId="58585" applyNumberFormat="1" applyFont="1" applyFill="1" applyBorder="1" applyAlignment="1">
      <alignment horizontal="center" vertical="center" wrapText="1"/>
    </xf>
    <xf numFmtId="0" fontId="53" fillId="0" borderId="11" xfId="58585" applyFont="1" applyFill="1" applyBorder="1" applyAlignment="1">
      <alignment horizontal="left" vertical="center" wrapText="1"/>
    </xf>
    <xf numFmtId="49" fontId="43" fillId="0" borderId="11" xfId="58585" applyNumberFormat="1" applyFont="1" applyFill="1" applyBorder="1" applyAlignment="1">
      <alignment horizontal="center" vertical="center"/>
    </xf>
    <xf numFmtId="0" fontId="43" fillId="0" borderId="11" xfId="58585" applyFont="1" applyFill="1" applyBorder="1" applyAlignment="1">
      <alignment horizontal="left" vertical="center" wrapText="1"/>
    </xf>
    <xf numFmtId="49" fontId="43" fillId="0" borderId="11" xfId="3" applyNumberFormat="1" applyFont="1" applyFill="1" applyBorder="1" applyAlignment="1">
      <alignment horizontal="left" vertical="center" wrapText="1"/>
    </xf>
    <xf numFmtId="0" fontId="51" fillId="0" borderId="0" xfId="58585" applyFont="1" applyFill="1" applyAlignment="1">
      <alignment horizontal="left" vertical="center"/>
    </xf>
    <xf numFmtId="0" fontId="109" fillId="0" borderId="0" xfId="61398" applyFont="1" applyFill="1" applyAlignment="1">
      <alignment vertical="center" wrapText="1"/>
    </xf>
    <xf numFmtId="0" fontId="55" fillId="0" borderId="11" xfId="61398" applyFont="1" applyFill="1" applyBorder="1" applyAlignment="1">
      <alignment horizontal="center" vertical="center" wrapText="1"/>
    </xf>
    <xf numFmtId="0" fontId="47" fillId="0" borderId="61" xfId="61398" applyFont="1" applyFill="1" applyBorder="1" applyAlignment="1">
      <alignment horizontal="center" vertical="center" wrapText="1"/>
    </xf>
    <xf numFmtId="0" fontId="47" fillId="0" borderId="30" xfId="61398" applyFont="1" applyFill="1" applyBorder="1" applyAlignment="1">
      <alignment horizontal="center" vertical="center" wrapText="1"/>
    </xf>
    <xf numFmtId="0" fontId="47" fillId="0" borderId="11" xfId="61398" applyFont="1" applyFill="1" applyBorder="1" applyAlignment="1">
      <alignment horizontal="center" vertical="center" wrapText="1"/>
    </xf>
    <xf numFmtId="3" fontId="107" fillId="0" borderId="11" xfId="61398" applyNumberFormat="1" applyFont="1" applyFill="1" applyBorder="1" applyAlignment="1">
      <alignment horizontal="center" vertical="center" wrapText="1"/>
    </xf>
    <xf numFmtId="0" fontId="2" fillId="74" borderId="0" xfId="61403" applyFill="1"/>
    <xf numFmtId="0" fontId="2" fillId="0" borderId="0" xfId="61403" applyFill="1"/>
    <xf numFmtId="0" fontId="108" fillId="74" borderId="0" xfId="61403" applyFont="1" applyFill="1" applyAlignment="1"/>
    <xf numFmtId="0" fontId="43" fillId="74" borderId="11" xfId="61404" applyFont="1" applyFill="1" applyBorder="1" applyAlignment="1">
      <alignment horizontal="center" vertical="center" wrapText="1"/>
    </xf>
    <xf numFmtId="0" fontId="44" fillId="74" borderId="11" xfId="61403" applyFont="1" applyFill="1" applyBorder="1" applyAlignment="1">
      <alignment horizontal="center" vertical="center" wrapText="1"/>
    </xf>
    <xf numFmtId="0" fontId="43" fillId="74" borderId="11" xfId="61403" applyFont="1" applyFill="1" applyBorder="1" applyAlignment="1">
      <alignment horizontal="center" vertical="center" wrapText="1"/>
    </xf>
    <xf numFmtId="0" fontId="43" fillId="74" borderId="11" xfId="61403" applyFont="1" applyFill="1" applyBorder="1" applyAlignment="1">
      <alignment horizontal="center" vertical="center"/>
    </xf>
    <xf numFmtId="0" fontId="43" fillId="74" borderId="11" xfId="61403" applyFont="1" applyFill="1" applyBorder="1" applyAlignment="1">
      <alignment vertical="center" wrapText="1"/>
    </xf>
    <xf numFmtId="3" fontId="44" fillId="74" borderId="11" xfId="61403" applyNumberFormat="1" applyFont="1" applyFill="1" applyBorder="1" applyAlignment="1">
      <alignment horizontal="center" vertical="center" wrapText="1"/>
    </xf>
    <xf numFmtId="0" fontId="124" fillId="74" borderId="11" xfId="61403" applyFont="1" applyFill="1" applyBorder="1" applyAlignment="1">
      <alignment vertical="center" wrapText="1"/>
    </xf>
    <xf numFmtId="0" fontId="43" fillId="0" borderId="11" xfId="61403" applyFont="1" applyFill="1" applyBorder="1" applyAlignment="1">
      <alignment horizontal="center" vertical="center"/>
    </xf>
    <xf numFmtId="0" fontId="43" fillId="0" borderId="11" xfId="61403" applyFont="1" applyFill="1" applyBorder="1" applyAlignment="1">
      <alignment vertical="center" wrapText="1"/>
    </xf>
    <xf numFmtId="0" fontId="43" fillId="0" borderId="11" xfId="61403" applyFont="1" applyFill="1" applyBorder="1" applyAlignment="1">
      <alignment vertical="center"/>
    </xf>
    <xf numFmtId="3" fontId="125" fillId="0" borderId="11" xfId="61403" applyNumberFormat="1" applyFont="1" applyFill="1" applyBorder="1" applyAlignment="1">
      <alignment horizontal="center" vertical="center"/>
    </xf>
    <xf numFmtId="0" fontId="108" fillId="74" borderId="0" xfId="61403" applyFont="1" applyFill="1" applyAlignment="1">
      <alignment horizontal="center" vertical="center" wrapText="1"/>
    </xf>
    <xf numFmtId="0" fontId="126" fillId="74" borderId="11" xfId="61403" applyFont="1" applyFill="1" applyBorder="1" applyAlignment="1">
      <alignment horizontal="center" vertical="center" wrapText="1"/>
    </xf>
    <xf numFmtId="0" fontId="126" fillId="74" borderId="15" xfId="61403" applyFont="1" applyFill="1" applyBorder="1" applyAlignment="1">
      <alignment horizontal="center" vertical="center" wrapText="1"/>
    </xf>
    <xf numFmtId="0" fontId="46" fillId="74" borderId="11" xfId="61403" applyFont="1" applyFill="1" applyBorder="1" applyAlignment="1">
      <alignment horizontal="center" vertical="center" wrapText="1"/>
    </xf>
    <xf numFmtId="0" fontId="46" fillId="74" borderId="11" xfId="61403" applyFont="1" applyFill="1" applyBorder="1" applyAlignment="1">
      <alignment horizontal="center" vertical="center"/>
    </xf>
    <xf numFmtId="0" fontId="46" fillId="74" borderId="15" xfId="61403" applyFont="1" applyFill="1" applyBorder="1" applyAlignment="1">
      <alignment horizontal="center" vertical="center" wrapText="1"/>
    </xf>
    <xf numFmtId="49" fontId="127" fillId="74" borderId="11" xfId="61403" applyNumberFormat="1" applyFont="1" applyFill="1" applyBorder="1" applyAlignment="1">
      <alignment horizontal="center" vertical="center" wrapText="1"/>
    </xf>
    <xf numFmtId="0" fontId="46" fillId="74" borderId="11" xfId="61403" applyFont="1" applyFill="1" applyBorder="1" applyAlignment="1">
      <alignment vertical="center" wrapText="1"/>
    </xf>
    <xf numFmtId="3" fontId="46" fillId="74" borderId="11" xfId="61403" applyNumberFormat="1" applyFont="1" applyFill="1" applyBorder="1" applyAlignment="1">
      <alignment horizontal="right" vertical="center" wrapText="1"/>
    </xf>
    <xf numFmtId="0" fontId="46" fillId="74" borderId="11" xfId="61403" applyFont="1" applyFill="1" applyBorder="1" applyAlignment="1">
      <alignment horizontal="right" vertical="center"/>
    </xf>
    <xf numFmtId="0" fontId="46" fillId="74" borderId="11" xfId="61403" applyFont="1" applyFill="1" applyBorder="1" applyAlignment="1">
      <alignment horizontal="right" vertical="center" wrapText="1"/>
    </xf>
    <xf numFmtId="3" fontId="2" fillId="74" borderId="0" xfId="61403" applyNumberFormat="1" applyFill="1"/>
    <xf numFmtId="0" fontId="49" fillId="74" borderId="11" xfId="61403" applyFont="1" applyFill="1" applyBorder="1" applyAlignment="1">
      <alignment horizontal="center" vertical="center"/>
    </xf>
    <xf numFmtId="0" fontId="49" fillId="74" borderId="11" xfId="61403" applyFont="1" applyFill="1" applyBorder="1" applyAlignment="1">
      <alignment vertical="center" wrapText="1"/>
    </xf>
    <xf numFmtId="3" fontId="49" fillId="74" borderId="11" xfId="61403" applyNumberFormat="1" applyFont="1" applyFill="1" applyBorder="1" applyAlignment="1">
      <alignment horizontal="right" vertical="center" wrapText="1"/>
    </xf>
    <xf numFmtId="0" fontId="116" fillId="0" borderId="30" xfId="0" applyFont="1" applyFill="1" applyBorder="1" applyAlignment="1">
      <alignment horizontal="center" vertical="center"/>
    </xf>
    <xf numFmtId="0" fontId="114" fillId="0" borderId="11" xfId="0" applyFont="1" applyFill="1" applyBorder="1" applyAlignment="1">
      <alignment horizontal="center" vertical="center" wrapText="1"/>
    </xf>
    <xf numFmtId="3" fontId="43" fillId="74" borderId="0" xfId="61405" applyNumberFormat="1" applyFont="1" applyFill="1"/>
    <xf numFmtId="3" fontId="43" fillId="74" borderId="30" xfId="61405" applyNumberFormat="1" applyFont="1" applyFill="1" applyBorder="1" applyAlignment="1">
      <alignment horizontal="center" vertical="center" wrapText="1"/>
    </xf>
    <xf numFmtId="3" fontId="44" fillId="74" borderId="30" xfId="61405" applyNumberFormat="1" applyFont="1" applyFill="1" applyBorder="1" applyAlignment="1">
      <alignment horizontal="center" vertical="center" wrapText="1"/>
    </xf>
    <xf numFmtId="3" fontId="44" fillId="74" borderId="14" xfId="61406" applyNumberFormat="1" applyFont="1" applyFill="1" applyBorder="1" applyAlignment="1">
      <alignment horizontal="center" vertical="center" wrapText="1"/>
    </xf>
    <xf numFmtId="0" fontId="43" fillId="74" borderId="0" xfId="61407" applyFont="1" applyFill="1" applyAlignment="1">
      <alignment horizontal="center" vertical="center" wrapText="1"/>
    </xf>
    <xf numFmtId="3" fontId="46" fillId="74" borderId="11" xfId="61405" applyNumberFormat="1" applyFont="1" applyFill="1" applyBorder="1" applyAlignment="1">
      <alignment horizontal="center" vertical="center" wrapText="1"/>
    </xf>
    <xf numFmtId="3" fontId="46" fillId="74" borderId="11" xfId="61405" applyNumberFormat="1" applyFont="1" applyFill="1" applyBorder="1" applyAlignment="1">
      <alignment horizontal="center" vertical="center"/>
    </xf>
    <xf numFmtId="3" fontId="47" fillId="74" borderId="11" xfId="61405" applyNumberFormat="1" applyFont="1" applyFill="1" applyBorder="1" applyAlignment="1">
      <alignment horizontal="center"/>
    </xf>
    <xf numFmtId="3" fontId="47" fillId="74" borderId="0" xfId="61405" applyNumberFormat="1" applyFont="1" applyFill="1"/>
    <xf numFmtId="3" fontId="49" fillId="74" borderId="11" xfId="61405" applyNumberFormat="1" applyFont="1" applyFill="1" applyBorder="1" applyAlignment="1">
      <alignment horizontal="center" vertical="center"/>
    </xf>
    <xf numFmtId="3" fontId="49" fillId="74" borderId="11" xfId="61405" applyNumberFormat="1" applyFont="1" applyFill="1" applyBorder="1" applyAlignment="1">
      <alignment horizontal="center" vertical="center" wrapText="1"/>
    </xf>
    <xf numFmtId="3" fontId="50" fillId="74" borderId="11" xfId="61405" applyNumberFormat="1" applyFont="1" applyFill="1" applyBorder="1" applyAlignment="1">
      <alignment horizontal="center" vertical="center"/>
    </xf>
    <xf numFmtId="172" fontId="47" fillId="74" borderId="0" xfId="61405" applyNumberFormat="1" applyFont="1" applyFill="1"/>
    <xf numFmtId="173" fontId="47" fillId="74" borderId="0" xfId="61405" applyNumberFormat="1" applyFont="1" applyFill="1"/>
    <xf numFmtId="4" fontId="47" fillId="74" borderId="0" xfId="61405" applyNumberFormat="1" applyFont="1" applyFill="1"/>
    <xf numFmtId="3" fontId="47" fillId="74" borderId="11" xfId="61405" applyNumberFormat="1" applyFont="1" applyFill="1" applyBorder="1" applyAlignment="1">
      <alignment horizontal="center" vertical="center"/>
    </xf>
    <xf numFmtId="3" fontId="44" fillId="74" borderId="11" xfId="61405" applyNumberFormat="1" applyFont="1" applyFill="1" applyBorder="1" applyAlignment="1">
      <alignment horizontal="center" vertical="center"/>
    </xf>
    <xf numFmtId="3" fontId="43" fillId="74" borderId="11" xfId="61405" applyNumberFormat="1" applyFont="1" applyFill="1" applyBorder="1" applyAlignment="1">
      <alignment horizontal="center" vertical="center"/>
    </xf>
    <xf numFmtId="4" fontId="43" fillId="74" borderId="0" xfId="61405" applyNumberFormat="1" applyFont="1" applyFill="1"/>
    <xf numFmtId="3" fontId="43" fillId="74" borderId="11" xfId="61405" applyNumberFormat="1" applyFont="1" applyFill="1" applyBorder="1" applyAlignment="1">
      <alignment horizontal="center" vertical="center" wrapText="1"/>
    </xf>
    <xf numFmtId="3" fontId="43" fillId="74" borderId="11" xfId="61405" applyNumberFormat="1" applyFont="1" applyFill="1" applyBorder="1" applyAlignment="1">
      <alignment horizontal="center"/>
    </xf>
    <xf numFmtId="0" fontId="1" fillId="0" borderId="0" xfId="61408" applyFill="1"/>
    <xf numFmtId="3" fontId="1" fillId="0" borderId="0" xfId="61408" applyNumberFormat="1" applyFill="1"/>
    <xf numFmtId="0" fontId="44" fillId="0" borderId="11" xfId="61409" applyFont="1" applyFill="1" applyBorder="1" applyAlignment="1">
      <alignment horizontal="center" vertical="center" wrapText="1"/>
    </xf>
    <xf numFmtId="0" fontId="43" fillId="0" borderId="11" xfId="61409" applyFont="1" applyFill="1" applyBorder="1" applyAlignment="1">
      <alignment horizontal="center" vertical="center" wrapText="1"/>
    </xf>
    <xf numFmtId="0" fontId="46" fillId="0" borderId="11" xfId="61408" applyFont="1" applyFill="1" applyBorder="1" applyAlignment="1">
      <alignment horizontal="center" vertical="center" wrapText="1"/>
    </xf>
    <xf numFmtId="3" fontId="44" fillId="0" borderId="11" xfId="61408" applyNumberFormat="1" applyFont="1" applyFill="1" applyBorder="1" applyAlignment="1">
      <alignment horizontal="center" vertical="center"/>
    </xf>
    <xf numFmtId="3" fontId="125" fillId="0" borderId="11" xfId="61408" applyNumberFormat="1" applyFont="1" applyFill="1" applyBorder="1" applyAlignment="1">
      <alignment horizontal="center" vertical="center"/>
    </xf>
    <xf numFmtId="0" fontId="155" fillId="0" borderId="0" xfId="61408" applyFont="1" applyFill="1"/>
    <xf numFmtId="3" fontId="155" fillId="0" borderId="0" xfId="61408" applyNumberFormat="1" applyFont="1" applyFill="1"/>
    <xf numFmtId="0" fontId="43" fillId="0" borderId="0" xfId="61410" applyFont="1" applyFill="1"/>
    <xf numFmtId="3" fontId="43" fillId="0" borderId="0" xfId="61410" applyNumberFormat="1" applyFont="1" applyFill="1"/>
    <xf numFmtId="0" fontId="46" fillId="0" borderId="11" xfId="61410" applyFont="1" applyFill="1" applyBorder="1" applyAlignment="1">
      <alignment horizontal="center" vertical="center" wrapText="1"/>
    </xf>
    <xf numFmtId="0" fontId="46" fillId="0" borderId="11" xfId="61410" applyFont="1" applyFill="1" applyBorder="1" applyAlignment="1">
      <alignment horizontal="center" vertical="center"/>
    </xf>
    <xf numFmtId="3" fontId="46" fillId="0" borderId="11" xfId="61410" applyNumberFormat="1" applyFont="1" applyFill="1" applyBorder="1" applyAlignment="1">
      <alignment horizontal="center" vertical="center"/>
    </xf>
    <xf numFmtId="0" fontId="47" fillId="0" borderId="0" xfId="61410" applyFont="1" applyFill="1"/>
    <xf numFmtId="3" fontId="49" fillId="0" borderId="11" xfId="61410" applyNumberFormat="1" applyFont="1" applyFill="1" applyBorder="1" applyAlignment="1">
      <alignment horizontal="center" vertical="center"/>
    </xf>
    <xf numFmtId="3" fontId="50" fillId="0" borderId="0" xfId="61410" applyNumberFormat="1" applyFont="1" applyFill="1"/>
    <xf numFmtId="3" fontId="47" fillId="0" borderId="0" xfId="61410" applyNumberFormat="1" applyFont="1" applyFill="1"/>
    <xf numFmtId="3" fontId="44" fillId="0" borderId="11" xfId="61410" applyNumberFormat="1" applyFont="1" applyFill="1" applyBorder="1" applyAlignment="1">
      <alignment horizontal="center" vertical="center"/>
    </xf>
    <xf numFmtId="3" fontId="43" fillId="0" borderId="11" xfId="61410" applyNumberFormat="1" applyFont="1" applyFill="1" applyBorder="1" applyAlignment="1">
      <alignment horizontal="center" vertical="center"/>
    </xf>
    <xf numFmtId="0" fontId="43" fillId="0" borderId="11" xfId="61410" applyFont="1" applyFill="1" applyBorder="1" applyAlignment="1">
      <alignment horizontal="center"/>
    </xf>
    <xf numFmtId="3" fontId="43" fillId="0" borderId="11" xfId="61410" applyNumberFormat="1" applyFont="1" applyFill="1" applyBorder="1" applyAlignment="1">
      <alignment horizontal="center"/>
    </xf>
    <xf numFmtId="0" fontId="43" fillId="0" borderId="0" xfId="61412" applyFont="1" applyFill="1"/>
    <xf numFmtId="0" fontId="44" fillId="0" borderId="15" xfId="61412" applyFont="1" applyFill="1" applyBorder="1" applyAlignment="1">
      <alignment horizontal="center" vertical="center" wrapText="1"/>
    </xf>
    <xf numFmtId="0" fontId="43" fillId="0" borderId="11" xfId="61412" applyFont="1" applyFill="1" applyBorder="1" applyAlignment="1">
      <alignment horizontal="center" vertical="center" wrapText="1"/>
    </xf>
    <xf numFmtId="0" fontId="46" fillId="0" borderId="11" xfId="61412" applyFont="1" applyFill="1" applyBorder="1" applyAlignment="1">
      <alignment horizontal="center" vertical="center" wrapText="1"/>
    </xf>
    <xf numFmtId="0" fontId="46" fillId="0" borderId="11" xfId="61412" applyFont="1" applyFill="1" applyBorder="1" applyAlignment="1">
      <alignment horizontal="center" vertical="center"/>
    </xf>
    <xf numFmtId="3" fontId="46" fillId="0" borderId="11" xfId="61412" applyNumberFormat="1" applyFont="1" applyFill="1" applyBorder="1" applyAlignment="1">
      <alignment horizontal="center" vertical="center"/>
    </xf>
    <xf numFmtId="0" fontId="47" fillId="0" borderId="11" xfId="61412" applyFont="1" applyFill="1" applyBorder="1" applyAlignment="1">
      <alignment horizontal="center"/>
    </xf>
    <xf numFmtId="0" fontId="47" fillId="0" borderId="0" xfId="61412" applyFont="1" applyFill="1"/>
    <xf numFmtId="3" fontId="49" fillId="0" borderId="11" xfId="61412" applyNumberFormat="1" applyFont="1" applyFill="1" applyBorder="1" applyAlignment="1">
      <alignment horizontal="center" vertical="center"/>
    </xf>
    <xf numFmtId="3" fontId="44" fillId="0" borderId="11" xfId="61412" applyNumberFormat="1" applyFont="1" applyFill="1" applyBorder="1" applyAlignment="1">
      <alignment horizontal="center" vertical="center"/>
    </xf>
    <xf numFmtId="0" fontId="43" fillId="0" borderId="11" xfId="61412" applyFont="1" applyFill="1" applyBorder="1" applyAlignment="1">
      <alignment horizontal="center"/>
    </xf>
    <xf numFmtId="0" fontId="44" fillId="0" borderId="30" xfId="61412" applyFont="1" applyBorder="1" applyAlignment="1">
      <alignment horizontal="center" vertical="center" wrapText="1"/>
    </xf>
    <xf numFmtId="0" fontId="44" fillId="0" borderId="15" xfId="61412" applyFont="1" applyBorder="1" applyAlignment="1">
      <alignment horizontal="center" vertical="center" wrapText="1"/>
    </xf>
    <xf numFmtId="0" fontId="43" fillId="0" borderId="11" xfId="61412" applyFont="1" applyBorder="1" applyAlignment="1">
      <alignment horizontal="center" vertical="center" wrapText="1"/>
    </xf>
    <xf numFmtId="0" fontId="46" fillId="0" borderId="11" xfId="61412" applyFont="1" applyBorder="1" applyAlignment="1">
      <alignment horizontal="center" vertical="center" wrapText="1"/>
    </xf>
    <xf numFmtId="0" fontId="46" fillId="0" borderId="11" xfId="61412" applyFont="1" applyBorder="1" applyAlignment="1">
      <alignment horizontal="center" vertical="center"/>
    </xf>
    <xf numFmtId="3" fontId="46" fillId="0" borderId="11" xfId="61412" applyNumberFormat="1" applyFont="1" applyBorder="1" applyAlignment="1">
      <alignment horizontal="center" vertical="center"/>
    </xf>
    <xf numFmtId="3" fontId="49" fillId="0" borderId="11" xfId="61412" applyNumberFormat="1" applyFont="1" applyBorder="1" applyAlignment="1">
      <alignment horizontal="center" vertical="center"/>
    </xf>
    <xf numFmtId="0" fontId="114" fillId="0" borderId="0" xfId="61411" applyFont="1" applyFill="1" applyAlignment="1">
      <alignment vertical="center" wrapText="1"/>
    </xf>
    <xf numFmtId="0" fontId="114" fillId="0" borderId="11" xfId="61411" applyFont="1" applyFill="1" applyBorder="1" applyAlignment="1">
      <alignment horizontal="center" vertical="center" wrapText="1"/>
    </xf>
    <xf numFmtId="0" fontId="114" fillId="0" borderId="61" xfId="61411" applyFont="1" applyFill="1" applyBorder="1" applyAlignment="1">
      <alignment horizontal="center" vertical="center" wrapText="1"/>
    </xf>
    <xf numFmtId="0" fontId="114" fillId="0" borderId="30" xfId="61411" applyFont="1" applyFill="1" applyBorder="1" applyAlignment="1">
      <alignment horizontal="center" vertical="center" wrapText="1"/>
    </xf>
    <xf numFmtId="3" fontId="119" fillId="0" borderId="11" xfId="61411" applyNumberFormat="1" applyFont="1" applyFill="1" applyBorder="1" applyAlignment="1">
      <alignment horizontal="center" vertical="center" wrapText="1"/>
    </xf>
    <xf numFmtId="4" fontId="119" fillId="0" borderId="0" xfId="0" applyNumberFormat="1" applyFont="1" applyFill="1"/>
    <xf numFmtId="0" fontId="110" fillId="74" borderId="79" xfId="61320" applyFont="1" applyFill="1" applyBorder="1" applyAlignment="1">
      <alignment vertical="center"/>
    </xf>
    <xf numFmtId="0" fontId="110" fillId="74" borderId="80" xfId="61320" applyFont="1" applyFill="1" applyBorder="1" applyAlignment="1">
      <alignment vertical="center"/>
    </xf>
    <xf numFmtId="3" fontId="110" fillId="74" borderId="66" xfId="61320" applyNumberFormat="1" applyFont="1" applyFill="1" applyBorder="1" applyAlignment="1">
      <alignment horizontal="center" vertical="center"/>
    </xf>
    <xf numFmtId="0" fontId="110" fillId="74" borderId="79" xfId="61320" applyFont="1" applyFill="1" applyBorder="1" applyAlignment="1">
      <alignment horizontal="center" vertical="center"/>
    </xf>
    <xf numFmtId="3" fontId="43" fillId="74" borderId="11" xfId="0" applyNumberFormat="1" applyFont="1" applyFill="1" applyBorder="1" applyAlignment="1">
      <alignment horizontal="center" vertical="center"/>
    </xf>
    <xf numFmtId="0" fontId="122" fillId="74" borderId="0" xfId="60150" applyFont="1" applyFill="1" applyBorder="1" applyAlignment="1">
      <alignment horizontal="center" vertical="center" wrapText="1"/>
    </xf>
    <xf numFmtId="3" fontId="51" fillId="74" borderId="15" xfId="60150" applyNumberFormat="1" applyFont="1" applyFill="1" applyBorder="1" applyAlignment="1">
      <alignment horizontal="center" vertical="center" wrapText="1"/>
    </xf>
    <xf numFmtId="3" fontId="51" fillId="74" borderId="68" xfId="60150" applyNumberFormat="1" applyFont="1" applyFill="1" applyBorder="1" applyAlignment="1">
      <alignment horizontal="center" vertical="center" wrapText="1"/>
    </xf>
    <xf numFmtId="3" fontId="51" fillId="74" borderId="11" xfId="60150" applyNumberFormat="1" applyFont="1" applyFill="1" applyBorder="1" applyAlignment="1">
      <alignment horizontal="center" vertical="center" wrapText="1"/>
    </xf>
    <xf numFmtId="3" fontId="51" fillId="0" borderId="11" xfId="60150" applyNumberFormat="1" applyFont="1" applyFill="1" applyBorder="1" applyAlignment="1">
      <alignment horizontal="center" vertical="center" wrapText="1"/>
    </xf>
    <xf numFmtId="3" fontId="51" fillId="74" borderId="30" xfId="60150" applyNumberFormat="1" applyFont="1" applyFill="1" applyBorder="1" applyAlignment="1">
      <alignment horizontal="center" vertical="center" wrapText="1"/>
    </xf>
    <xf numFmtId="3" fontId="51" fillId="74" borderId="12" xfId="60150" applyNumberFormat="1" applyFont="1" applyFill="1" applyBorder="1" applyAlignment="1">
      <alignment horizontal="center" vertical="center" wrapText="1"/>
    </xf>
    <xf numFmtId="3" fontId="51" fillId="74" borderId="14" xfId="60150" applyNumberFormat="1" applyFont="1" applyFill="1" applyBorder="1" applyAlignment="1">
      <alignment horizontal="center" vertical="center" wrapText="1"/>
    </xf>
    <xf numFmtId="0" fontId="45" fillId="74" borderId="11" xfId="60150" applyFont="1" applyFill="1" applyBorder="1" applyAlignment="1">
      <alignment horizontal="center" vertical="center"/>
    </xf>
    <xf numFmtId="0" fontId="45" fillId="74" borderId="11" xfId="60150" applyFont="1" applyFill="1" applyBorder="1" applyAlignment="1">
      <alignment horizontal="center" vertical="center" wrapText="1"/>
    </xf>
    <xf numFmtId="0" fontId="51" fillId="74" borderId="11" xfId="60150" applyFont="1" applyFill="1" applyBorder="1" applyAlignment="1">
      <alignment horizontal="center" vertical="center" wrapText="1"/>
    </xf>
    <xf numFmtId="0" fontId="48" fillId="75" borderId="15" xfId="59012" applyFont="1" applyFill="1" applyBorder="1" applyAlignment="1" applyProtection="1">
      <alignment horizontal="center" vertical="center" wrapText="1"/>
      <protection locked="0"/>
    </xf>
    <xf numFmtId="0" fontId="48" fillId="75" borderId="69" xfId="59012" applyFont="1" applyFill="1" applyBorder="1" applyAlignment="1" applyProtection="1">
      <alignment horizontal="center" vertical="center" wrapText="1"/>
      <protection locked="0"/>
    </xf>
    <xf numFmtId="0" fontId="48" fillId="79" borderId="15" xfId="59012" applyFont="1" applyFill="1" applyBorder="1" applyAlignment="1" applyProtection="1">
      <alignment horizontal="center" vertical="center" wrapText="1"/>
      <protection locked="0"/>
    </xf>
    <xf numFmtId="0" fontId="48" fillId="79" borderId="69" xfId="59012" applyFont="1" applyFill="1" applyBorder="1" applyAlignment="1" applyProtection="1">
      <alignment horizontal="center" vertical="center" wrapText="1"/>
      <protection locked="0"/>
    </xf>
    <xf numFmtId="0" fontId="48" fillId="75" borderId="11" xfId="59012" applyFont="1" applyFill="1" applyBorder="1" applyAlignment="1" applyProtection="1">
      <alignment horizontal="center" vertical="center" wrapText="1"/>
      <protection locked="0"/>
    </xf>
    <xf numFmtId="0" fontId="121" fillId="0" borderId="10" xfId="59012" applyFont="1" applyBorder="1" applyAlignment="1">
      <alignment horizontal="center" vertical="center" wrapText="1"/>
    </xf>
    <xf numFmtId="0" fontId="48" fillId="74" borderId="30" xfId="59012" applyFont="1" applyFill="1" applyBorder="1" applyAlignment="1" applyProtection="1">
      <alignment horizontal="center" vertical="center" wrapText="1"/>
      <protection locked="0"/>
    </xf>
    <xf numFmtId="0" fontId="48" fillId="74" borderId="12" xfId="59012" applyFont="1" applyFill="1" applyBorder="1" applyAlignment="1" applyProtection="1">
      <alignment horizontal="center" vertical="center" wrapText="1"/>
      <protection locked="0"/>
    </xf>
    <xf numFmtId="3" fontId="110" fillId="74" borderId="30" xfId="59591" applyNumberFormat="1" applyFont="1" applyFill="1" applyBorder="1" applyAlignment="1">
      <alignment horizontal="center" vertical="center" wrapText="1"/>
    </xf>
    <xf numFmtId="3" fontId="110" fillId="74" borderId="14" xfId="59591" applyNumberFormat="1" applyFont="1" applyFill="1" applyBorder="1" applyAlignment="1">
      <alignment horizontal="center" vertical="center" wrapText="1"/>
    </xf>
    <xf numFmtId="3" fontId="48" fillId="74" borderId="68" xfId="58867" applyNumberFormat="1" applyFont="1" applyFill="1" applyBorder="1" applyAlignment="1">
      <alignment horizontal="center" vertical="center"/>
    </xf>
    <xf numFmtId="3" fontId="122" fillId="74" borderId="0" xfId="58867" applyNumberFormat="1" applyFont="1" applyFill="1" applyBorder="1" applyAlignment="1">
      <alignment horizontal="center" vertical="center" wrapText="1"/>
    </xf>
    <xf numFmtId="3" fontId="110" fillId="74" borderId="11" xfId="58867" applyNumberFormat="1" applyFont="1" applyFill="1" applyBorder="1" applyAlignment="1">
      <alignment horizontal="center" vertical="center" wrapText="1"/>
    </xf>
    <xf numFmtId="3" fontId="51" fillId="74" borderId="11" xfId="58867" applyNumberFormat="1" applyFont="1" applyFill="1" applyBorder="1" applyAlignment="1">
      <alignment horizontal="center" vertical="center"/>
    </xf>
    <xf numFmtId="3" fontId="110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51" fillId="74" borderId="11" xfId="59591" applyNumberFormat="1" applyFont="1" applyFill="1" applyBorder="1" applyAlignment="1">
      <alignment horizontal="center" vertical="center" wrapText="1"/>
    </xf>
    <xf numFmtId="0" fontId="128" fillId="0" borderId="0" xfId="59013" applyFont="1" applyFill="1" applyBorder="1" applyAlignment="1">
      <alignment horizontal="center" vertical="center" wrapText="1"/>
    </xf>
    <xf numFmtId="3" fontId="42" fillId="74" borderId="10" xfId="61405" applyNumberFormat="1" applyFont="1" applyFill="1" applyBorder="1" applyAlignment="1">
      <alignment horizontal="center" vertical="center" wrapText="1"/>
    </xf>
    <xf numFmtId="3" fontId="44" fillId="74" borderId="11" xfId="61405" applyNumberFormat="1" applyFont="1" applyFill="1" applyBorder="1" applyAlignment="1">
      <alignment horizontal="center" vertical="center" wrapText="1"/>
    </xf>
    <xf numFmtId="3" fontId="45" fillId="74" borderId="30" xfId="61405" applyNumberFormat="1" applyFont="1" applyFill="1" applyBorder="1" applyAlignment="1">
      <alignment horizontal="center" vertical="center" wrapText="1"/>
    </xf>
    <xf numFmtId="3" fontId="45" fillId="74" borderId="12" xfId="61405" applyNumberFormat="1" applyFont="1" applyFill="1" applyBorder="1" applyAlignment="1">
      <alignment horizontal="center" vertical="center" wrapText="1"/>
    </xf>
    <xf numFmtId="3" fontId="45" fillId="74" borderId="14" xfId="61405" applyNumberFormat="1" applyFont="1" applyFill="1" applyBorder="1" applyAlignment="1">
      <alignment horizontal="center" vertical="center" wrapText="1"/>
    </xf>
    <xf numFmtId="3" fontId="43" fillId="74" borderId="30" xfId="61405" applyNumberFormat="1" applyFont="1" applyFill="1" applyBorder="1" applyAlignment="1">
      <alignment horizontal="center" vertical="center" wrapText="1"/>
    </xf>
    <xf numFmtId="3" fontId="43" fillId="74" borderId="12" xfId="61405" applyNumberFormat="1" applyFont="1" applyFill="1" applyBorder="1" applyAlignment="1">
      <alignment horizontal="center" vertical="center" wrapText="1"/>
    </xf>
    <xf numFmtId="3" fontId="43" fillId="74" borderId="14" xfId="61405" applyNumberFormat="1" applyFont="1" applyFill="1" applyBorder="1" applyAlignment="1">
      <alignment horizontal="center" vertical="center" wrapText="1"/>
    </xf>
    <xf numFmtId="3" fontId="44" fillId="74" borderId="12" xfId="61405" applyNumberFormat="1" applyFont="1" applyFill="1" applyBorder="1" applyAlignment="1">
      <alignment horizontal="center" vertical="center" wrapText="1"/>
    </xf>
    <xf numFmtId="3" fontId="44" fillId="74" borderId="14" xfId="61405" applyNumberFormat="1" applyFont="1" applyFill="1" applyBorder="1" applyAlignment="1">
      <alignment horizontal="center" vertical="center" wrapText="1"/>
    </xf>
    <xf numFmtId="3" fontId="44" fillId="74" borderId="13" xfId="61405" applyNumberFormat="1" applyFont="1" applyFill="1" applyBorder="1" applyAlignment="1">
      <alignment horizontal="center" vertical="center" wrapText="1"/>
    </xf>
    <xf numFmtId="3" fontId="44" fillId="74" borderId="10" xfId="61405" applyNumberFormat="1" applyFont="1" applyFill="1" applyBorder="1" applyAlignment="1">
      <alignment horizontal="center" vertical="center" wrapText="1"/>
    </xf>
    <xf numFmtId="3" fontId="44" fillId="74" borderId="15" xfId="61405" applyNumberFormat="1" applyFont="1" applyFill="1" applyBorder="1" applyAlignment="1">
      <alignment horizontal="center" vertical="center" wrapText="1"/>
    </xf>
    <xf numFmtId="3" fontId="44" fillId="74" borderId="76" xfId="61405" applyNumberFormat="1" applyFont="1" applyFill="1" applyBorder="1" applyAlignment="1">
      <alignment horizontal="center" vertical="center" wrapText="1"/>
    </xf>
    <xf numFmtId="3" fontId="43" fillId="74" borderId="11" xfId="61405" applyNumberFormat="1" applyFont="1" applyFill="1" applyBorder="1" applyAlignment="1">
      <alignment horizontal="center"/>
    </xf>
    <xf numFmtId="0" fontId="48" fillId="74" borderId="11" xfId="59012" applyFont="1" applyFill="1" applyBorder="1" applyAlignment="1">
      <alignment horizontal="center" vertical="center"/>
    </xf>
    <xf numFmtId="4" fontId="51" fillId="74" borderId="15" xfId="59012" applyNumberFormat="1" applyFont="1" applyFill="1" applyBorder="1" applyAlignment="1">
      <alignment horizontal="center" vertical="center" wrapText="1"/>
    </xf>
    <xf numFmtId="4" fontId="51" fillId="74" borderId="75" xfId="59012" applyNumberFormat="1" applyFont="1" applyFill="1" applyBorder="1" applyAlignment="1">
      <alignment horizontal="center" vertical="center" wrapText="1"/>
    </xf>
    <xf numFmtId="4" fontId="51" fillId="74" borderId="76" xfId="59012" applyNumberFormat="1" applyFont="1" applyFill="1" applyBorder="1" applyAlignment="1">
      <alignment horizontal="center" vertical="center" wrapText="1"/>
    </xf>
    <xf numFmtId="4" fontId="48" fillId="74" borderId="15" xfId="59012" applyNumberFormat="1" applyFont="1" applyFill="1" applyBorder="1" applyAlignment="1">
      <alignment horizontal="center" vertical="center" wrapText="1"/>
    </xf>
    <xf numFmtId="4" fontId="48" fillId="74" borderId="75" xfId="59012" applyNumberFormat="1" applyFont="1" applyFill="1" applyBorder="1" applyAlignment="1">
      <alignment horizontal="center" vertical="center" wrapText="1"/>
    </xf>
    <xf numFmtId="4" fontId="48" fillId="74" borderId="76" xfId="59012" applyNumberFormat="1" applyFont="1" applyFill="1" applyBorder="1" applyAlignment="1">
      <alignment horizontal="center" vertical="center" wrapText="1"/>
    </xf>
    <xf numFmtId="0" fontId="51" fillId="74" borderId="30" xfId="59012" applyFont="1" applyFill="1" applyBorder="1" applyAlignment="1">
      <alignment horizontal="center" vertical="center"/>
    </xf>
    <xf numFmtId="0" fontId="51" fillId="74" borderId="12" xfId="59012" applyFont="1" applyFill="1" applyBorder="1" applyAlignment="1">
      <alignment horizontal="center" vertical="center"/>
    </xf>
    <xf numFmtId="0" fontId="51" fillId="74" borderId="14" xfId="59012" applyFont="1" applyFill="1" applyBorder="1" applyAlignment="1">
      <alignment horizontal="center" vertical="center"/>
    </xf>
    <xf numFmtId="49" fontId="43" fillId="74" borderId="30" xfId="58940" applyNumberFormat="1" applyFont="1" applyFill="1" applyBorder="1" applyAlignment="1">
      <alignment horizontal="center" vertical="center"/>
    </xf>
    <xf numFmtId="49" fontId="43" fillId="74" borderId="12" xfId="58940" applyNumberFormat="1" applyFont="1" applyFill="1" applyBorder="1" applyAlignment="1">
      <alignment horizontal="center" vertical="center"/>
    </xf>
    <xf numFmtId="49" fontId="43" fillId="74" borderId="14" xfId="58940" applyNumberFormat="1" applyFont="1" applyFill="1" applyBorder="1" applyAlignment="1">
      <alignment horizontal="center" vertical="center"/>
    </xf>
    <xf numFmtId="0" fontId="42" fillId="0" borderId="0" xfId="61408" applyFont="1" applyFill="1" applyBorder="1" applyAlignment="1">
      <alignment horizontal="center" vertical="center" wrapText="1"/>
    </xf>
    <xf numFmtId="0" fontId="44" fillId="0" borderId="11" xfId="61408" applyFont="1" applyFill="1" applyBorder="1" applyAlignment="1">
      <alignment horizontal="center" vertical="center" wrapText="1"/>
    </xf>
    <xf numFmtId="0" fontId="45" fillId="0" borderId="30" xfId="61408" applyFont="1" applyFill="1" applyBorder="1" applyAlignment="1">
      <alignment horizontal="center" vertical="center" wrapText="1"/>
    </xf>
    <xf numFmtId="0" fontId="45" fillId="0" borderId="12" xfId="61408" applyFont="1" applyFill="1" applyBorder="1" applyAlignment="1">
      <alignment horizontal="center" vertical="center" wrapText="1"/>
    </xf>
    <xf numFmtId="0" fontId="45" fillId="0" borderId="14" xfId="61408" applyFont="1" applyFill="1" applyBorder="1" applyAlignment="1">
      <alignment horizontal="center" vertical="center" wrapText="1"/>
    </xf>
    <xf numFmtId="0" fontId="44" fillId="0" borderId="11" xfId="61409" applyFont="1" applyFill="1" applyBorder="1" applyAlignment="1">
      <alignment horizontal="center" vertical="center" wrapText="1"/>
    </xf>
    <xf numFmtId="0" fontId="43" fillId="0" borderId="11" xfId="61408" applyFont="1" applyFill="1" applyBorder="1" applyAlignment="1">
      <alignment horizontal="center" vertical="center" wrapText="1"/>
    </xf>
    <xf numFmtId="0" fontId="43" fillId="0" borderId="11" xfId="61408" applyFont="1" applyFill="1" applyBorder="1" applyAlignment="1">
      <alignment horizontal="center" wrapText="1"/>
    </xf>
    <xf numFmtId="0" fontId="43" fillId="0" borderId="11" xfId="61408" applyFont="1" applyFill="1" applyBorder="1" applyAlignment="1">
      <alignment horizontal="center" vertical="center"/>
    </xf>
    <xf numFmtId="0" fontId="51" fillId="0" borderId="30" xfId="59012" applyFont="1" applyFill="1" applyBorder="1" applyAlignment="1">
      <alignment horizontal="center" vertical="center"/>
    </xf>
    <xf numFmtId="0" fontId="51" fillId="0" borderId="12" xfId="59012" applyFont="1" applyFill="1" applyBorder="1" applyAlignment="1">
      <alignment horizontal="center" vertical="center"/>
    </xf>
    <xf numFmtId="0" fontId="51" fillId="0" borderId="14" xfId="59012" applyFont="1" applyFill="1" applyBorder="1" applyAlignment="1">
      <alignment horizontal="center" vertical="center"/>
    </xf>
    <xf numFmtId="49" fontId="43" fillId="0" borderId="30" xfId="58921" applyNumberFormat="1" applyFont="1" applyFill="1" applyBorder="1" applyAlignment="1">
      <alignment horizontal="center" vertical="center"/>
    </xf>
    <xf numFmtId="49" fontId="43" fillId="0" borderId="12" xfId="58921" applyNumberFormat="1" applyFont="1" applyFill="1" applyBorder="1" applyAlignment="1">
      <alignment horizontal="center" vertical="center"/>
    </xf>
    <xf numFmtId="49" fontId="43" fillId="0" borderId="14" xfId="58921" applyNumberFormat="1" applyFont="1" applyFill="1" applyBorder="1" applyAlignment="1">
      <alignment horizontal="center" vertical="center"/>
    </xf>
    <xf numFmtId="0" fontId="43" fillId="0" borderId="11" xfId="61409" applyFont="1" applyFill="1" applyBorder="1" applyAlignment="1">
      <alignment horizontal="center" vertical="center" wrapText="1"/>
    </xf>
    <xf numFmtId="0" fontId="48" fillId="0" borderId="11" xfId="59012" applyFont="1" applyFill="1" applyBorder="1" applyAlignment="1">
      <alignment horizontal="center" vertical="center"/>
    </xf>
    <xf numFmtId="4" fontId="48" fillId="0" borderId="15" xfId="59012" applyNumberFormat="1" applyFont="1" applyFill="1" applyBorder="1" applyAlignment="1">
      <alignment horizontal="center" vertical="center" wrapText="1"/>
    </xf>
    <xf numFmtId="4" fontId="48" fillId="0" borderId="75" xfId="59012" applyNumberFormat="1" applyFont="1" applyFill="1" applyBorder="1" applyAlignment="1">
      <alignment horizontal="center" vertical="center" wrapText="1"/>
    </xf>
    <xf numFmtId="4" fontId="48" fillId="0" borderId="76" xfId="59012" applyNumberFormat="1" applyFont="1" applyFill="1" applyBorder="1" applyAlignment="1">
      <alignment horizontal="center" vertical="center" wrapText="1"/>
    </xf>
    <xf numFmtId="0" fontId="42" fillId="0" borderId="10" xfId="61410" applyFont="1" applyFill="1" applyBorder="1" applyAlignment="1">
      <alignment horizontal="center" vertical="center" wrapText="1"/>
    </xf>
    <xf numFmtId="0" fontId="42" fillId="0" borderId="0" xfId="61410" applyFont="1" applyFill="1" applyBorder="1" applyAlignment="1">
      <alignment horizontal="center" vertical="center" wrapText="1"/>
    </xf>
    <xf numFmtId="0" fontId="44" fillId="0" borderId="11" xfId="61410" applyFont="1" applyFill="1" applyBorder="1" applyAlignment="1">
      <alignment horizontal="center" vertical="center" wrapText="1"/>
    </xf>
    <xf numFmtId="0" fontId="45" fillId="0" borderId="30" xfId="61410" applyFont="1" applyFill="1" applyBorder="1" applyAlignment="1">
      <alignment horizontal="center" vertical="center" wrapText="1"/>
    </xf>
    <xf numFmtId="0" fontId="45" fillId="0" borderId="12" xfId="61410" applyFont="1" applyFill="1" applyBorder="1" applyAlignment="1">
      <alignment horizontal="center" vertical="center" wrapText="1"/>
    </xf>
    <xf numFmtId="0" fontId="45" fillId="0" borderId="14" xfId="61410" applyFont="1" applyFill="1" applyBorder="1" applyAlignment="1">
      <alignment horizontal="center" vertical="center" wrapText="1"/>
    </xf>
    <xf numFmtId="0" fontId="44" fillId="0" borderId="11" xfId="61410" applyFont="1" applyFill="1" applyBorder="1" applyAlignment="1">
      <alignment horizontal="center" vertical="top" wrapText="1"/>
    </xf>
    <xf numFmtId="0" fontId="44" fillId="0" borderId="12" xfId="61410" applyFont="1" applyFill="1" applyBorder="1" applyAlignment="1">
      <alignment horizontal="center" vertical="center" wrapText="1"/>
    </xf>
    <xf numFmtId="0" fontId="44" fillId="0" borderId="14" xfId="61410" applyFont="1" applyFill="1" applyBorder="1" applyAlignment="1">
      <alignment horizontal="center" vertical="center" wrapText="1"/>
    </xf>
    <xf numFmtId="0" fontId="43" fillId="0" borderId="11" xfId="61410" applyFont="1" applyFill="1" applyBorder="1" applyAlignment="1">
      <alignment horizontal="center" vertical="center" wrapText="1"/>
    </xf>
    <xf numFmtId="0" fontId="43" fillId="0" borderId="75" xfId="61410" applyFont="1" applyFill="1" applyBorder="1" applyAlignment="1">
      <alignment horizontal="center" vertical="center" wrapText="1"/>
    </xf>
    <xf numFmtId="0" fontId="43" fillId="0" borderId="76" xfId="61410" applyFont="1" applyFill="1" applyBorder="1" applyAlignment="1">
      <alignment horizontal="center" vertical="center" wrapText="1"/>
    </xf>
    <xf numFmtId="0" fontId="43" fillId="0" borderId="15" xfId="61410" applyFont="1" applyFill="1" applyBorder="1" applyAlignment="1">
      <alignment horizontal="center" vertical="center" wrapText="1"/>
    </xf>
    <xf numFmtId="0" fontId="43" fillId="0" borderId="30" xfId="61410" applyFont="1" applyFill="1" applyBorder="1" applyAlignment="1">
      <alignment horizontal="center" vertical="center" wrapText="1"/>
    </xf>
    <xf numFmtId="0" fontId="43" fillId="0" borderId="14" xfId="61410" applyFont="1" applyFill="1" applyBorder="1" applyAlignment="1">
      <alignment horizontal="center" vertical="center" wrapText="1"/>
    </xf>
    <xf numFmtId="0" fontId="47" fillId="0" borderId="30" xfId="61410" applyFont="1" applyFill="1" applyBorder="1" applyAlignment="1">
      <alignment horizontal="center" vertical="center" wrapText="1"/>
    </xf>
    <xf numFmtId="0" fontId="47" fillId="0" borderId="14" xfId="61410" applyFont="1" applyFill="1" applyBorder="1" applyAlignment="1">
      <alignment horizontal="center" vertical="center" wrapText="1"/>
    </xf>
    <xf numFmtId="0" fontId="44" fillId="0" borderId="30" xfId="61410" applyFont="1" applyFill="1" applyBorder="1" applyAlignment="1">
      <alignment horizontal="center" vertical="center" wrapText="1"/>
    </xf>
    <xf numFmtId="0" fontId="46" fillId="0" borderId="30" xfId="61410" applyFont="1" applyFill="1" applyBorder="1" applyAlignment="1">
      <alignment horizontal="center" vertical="center" wrapText="1"/>
    </xf>
    <xf numFmtId="0" fontId="46" fillId="0" borderId="14" xfId="61410" applyFont="1" applyFill="1" applyBorder="1" applyAlignment="1">
      <alignment horizontal="center" vertical="center" wrapText="1"/>
    </xf>
    <xf numFmtId="0" fontId="42" fillId="0" borderId="10" xfId="61411" applyFont="1" applyFill="1" applyBorder="1" applyAlignment="1">
      <alignment horizontal="center" vertical="center" wrapText="1"/>
    </xf>
    <xf numFmtId="0" fontId="44" fillId="0" borderId="30" xfId="61412" applyFont="1" applyFill="1" applyBorder="1" applyAlignment="1">
      <alignment horizontal="center" vertical="center" wrapText="1"/>
    </xf>
    <xf numFmtId="0" fontId="44" fillId="0" borderId="12" xfId="61412" applyFont="1" applyFill="1" applyBorder="1" applyAlignment="1">
      <alignment horizontal="center" vertical="center" wrapText="1"/>
    </xf>
    <xf numFmtId="0" fontId="44" fillId="0" borderId="14" xfId="61412" applyFont="1" applyFill="1" applyBorder="1" applyAlignment="1">
      <alignment horizontal="center" vertical="center" wrapText="1"/>
    </xf>
    <xf numFmtId="0" fontId="45" fillId="0" borderId="30" xfId="61412" applyFont="1" applyFill="1" applyBorder="1" applyAlignment="1">
      <alignment horizontal="center" vertical="center" wrapText="1"/>
    </xf>
    <xf numFmtId="0" fontId="45" fillId="0" borderId="12" xfId="61412" applyFont="1" applyFill="1" applyBorder="1" applyAlignment="1">
      <alignment horizontal="center" vertical="center" wrapText="1"/>
    </xf>
    <xf numFmtId="0" fontId="45" fillId="0" borderId="14" xfId="61412" applyFont="1" applyFill="1" applyBorder="1" applyAlignment="1">
      <alignment horizontal="center" vertical="center" wrapText="1"/>
    </xf>
    <xf numFmtId="0" fontId="44" fillId="0" borderId="11" xfId="61412" applyFont="1" applyFill="1" applyBorder="1" applyAlignment="1">
      <alignment horizontal="center" vertical="center" wrapText="1"/>
    </xf>
    <xf numFmtId="0" fontId="44" fillId="0" borderId="15" xfId="61412" applyFont="1" applyFill="1" applyBorder="1" applyAlignment="1">
      <alignment horizontal="center" vertical="center" wrapText="1"/>
    </xf>
    <xf numFmtId="0" fontId="44" fillId="0" borderId="75" xfId="61412" applyFont="1" applyFill="1" applyBorder="1" applyAlignment="1">
      <alignment horizontal="center" vertical="center" wrapText="1"/>
    </xf>
    <xf numFmtId="0" fontId="44" fillId="0" borderId="76" xfId="61412" applyFont="1" applyFill="1" applyBorder="1" applyAlignment="1">
      <alignment horizontal="center" vertical="center" wrapText="1"/>
    </xf>
    <xf numFmtId="0" fontId="43" fillId="0" borderId="12" xfId="61412" applyFont="1" applyFill="1" applyBorder="1" applyAlignment="1">
      <alignment horizontal="center" vertical="center" wrapText="1"/>
    </xf>
    <xf numFmtId="0" fontId="43" fillId="0" borderId="14" xfId="61412" applyFont="1" applyFill="1" applyBorder="1" applyAlignment="1">
      <alignment horizontal="center" vertical="center" wrapText="1"/>
    </xf>
    <xf numFmtId="0" fontId="43" fillId="0" borderId="13" xfId="61412" applyFont="1" applyFill="1" applyBorder="1" applyAlignment="1">
      <alignment horizontal="center" vertical="center" wrapText="1"/>
    </xf>
    <xf numFmtId="0" fontId="43" fillId="0" borderId="32" xfId="61412" applyFont="1" applyFill="1" applyBorder="1" applyAlignment="1">
      <alignment horizontal="center" vertical="center" wrapText="1"/>
    </xf>
    <xf numFmtId="0" fontId="43" fillId="0" borderId="30" xfId="61412" applyFont="1" applyFill="1" applyBorder="1" applyAlignment="1">
      <alignment horizontal="center" vertical="center" wrapText="1"/>
    </xf>
    <xf numFmtId="0" fontId="42" fillId="0" borderId="10" xfId="61412" applyFont="1" applyBorder="1" applyAlignment="1">
      <alignment horizontal="center" vertical="center" wrapText="1"/>
    </xf>
    <xf numFmtId="0" fontId="44" fillId="0" borderId="11" xfId="61412" applyFont="1" applyBorder="1" applyAlignment="1">
      <alignment horizontal="center" vertical="center" wrapText="1"/>
    </xf>
    <xf numFmtId="0" fontId="45" fillId="0" borderId="30" xfId="61412" applyFont="1" applyBorder="1" applyAlignment="1">
      <alignment horizontal="center" vertical="center" wrapText="1"/>
    </xf>
    <xf numFmtId="0" fontId="45" fillId="0" borderId="12" xfId="61412" applyFont="1" applyBorder="1" applyAlignment="1">
      <alignment horizontal="center" vertical="center" wrapText="1"/>
    </xf>
    <xf numFmtId="0" fontId="44" fillId="0" borderId="15" xfId="61412" applyFont="1" applyBorder="1" applyAlignment="1">
      <alignment horizontal="center" vertical="center" wrapText="1"/>
    </xf>
    <xf numFmtId="0" fontId="44" fillId="0" borderId="75" xfId="61412" applyFont="1" applyBorder="1" applyAlignment="1">
      <alignment horizontal="center" vertical="center" wrapText="1"/>
    </xf>
    <xf numFmtId="0" fontId="44" fillId="0" borderId="76" xfId="61412" applyFont="1" applyBorder="1" applyAlignment="1">
      <alignment horizontal="center" vertical="center" wrapText="1"/>
    </xf>
    <xf numFmtId="0" fontId="44" fillId="0" borderId="12" xfId="61412" applyFont="1" applyBorder="1" applyAlignment="1">
      <alignment horizontal="center" vertical="center" wrapText="1"/>
    </xf>
    <xf numFmtId="0" fontId="43" fillId="0" borderId="30" xfId="61412" applyFont="1" applyBorder="1" applyAlignment="1">
      <alignment horizontal="center" vertical="center" wrapText="1"/>
    </xf>
    <xf numFmtId="0" fontId="43" fillId="0" borderId="12" xfId="61412" applyFont="1" applyBorder="1" applyAlignment="1">
      <alignment horizontal="center" vertical="center" wrapText="1"/>
    </xf>
    <xf numFmtId="0" fontId="43" fillId="0" borderId="11" xfId="61412" applyFont="1" applyBorder="1" applyAlignment="1">
      <alignment horizontal="center" vertical="center" wrapText="1"/>
    </xf>
    <xf numFmtId="0" fontId="48" fillId="0" borderId="11" xfId="59012" applyFont="1" applyBorder="1" applyAlignment="1">
      <alignment horizontal="center" vertical="center"/>
    </xf>
    <xf numFmtId="4" fontId="48" fillId="0" borderId="15" xfId="59012" applyNumberFormat="1" applyFont="1" applyBorder="1" applyAlignment="1">
      <alignment horizontal="center" vertical="center" wrapText="1"/>
    </xf>
    <xf numFmtId="4" fontId="48" fillId="0" borderId="75" xfId="59012" applyNumberFormat="1" applyFont="1" applyBorder="1" applyAlignment="1">
      <alignment horizontal="center" vertical="center" wrapText="1"/>
    </xf>
    <xf numFmtId="4" fontId="48" fillId="0" borderId="76" xfId="59012" applyNumberFormat="1" applyFont="1" applyBorder="1" applyAlignment="1">
      <alignment horizontal="center" vertical="center" wrapText="1"/>
    </xf>
    <xf numFmtId="0" fontId="51" fillId="0" borderId="30" xfId="59012" applyFont="1" applyBorder="1" applyAlignment="1">
      <alignment horizontal="center" vertical="center"/>
    </xf>
    <xf numFmtId="0" fontId="51" fillId="0" borderId="12" xfId="59012" applyFont="1" applyBorder="1" applyAlignment="1">
      <alignment horizontal="center" vertical="center"/>
    </xf>
    <xf numFmtId="0" fontId="51" fillId="0" borderId="14" xfId="59012" applyFont="1" applyBorder="1" applyAlignment="1">
      <alignment horizontal="center" vertical="center"/>
    </xf>
    <xf numFmtId="49" fontId="43" fillId="0" borderId="30" xfId="58921" applyNumberFormat="1" applyFont="1" applyBorder="1" applyAlignment="1">
      <alignment horizontal="center" vertical="center"/>
    </xf>
    <xf numFmtId="49" fontId="43" fillId="0" borderId="12" xfId="58921" applyNumberFormat="1" applyFont="1" applyBorder="1" applyAlignment="1">
      <alignment horizontal="center" vertical="center"/>
    </xf>
    <xf numFmtId="49" fontId="43" fillId="0" borderId="14" xfId="58921" applyNumberFormat="1" applyFont="1" applyBorder="1" applyAlignment="1">
      <alignment horizontal="center" vertical="center"/>
    </xf>
    <xf numFmtId="0" fontId="157" fillId="0" borderId="11" xfId="0" applyFont="1" applyFill="1" applyBorder="1" applyAlignment="1">
      <alignment horizontal="center" vertical="center"/>
    </xf>
    <xf numFmtId="0" fontId="116" fillId="0" borderId="30" xfId="0" applyFont="1" applyFill="1" applyBorder="1" applyAlignment="1">
      <alignment horizontal="center" vertical="center"/>
    </xf>
    <xf numFmtId="0" fontId="116" fillId="0" borderId="12" xfId="0" applyFont="1" applyFill="1" applyBorder="1" applyAlignment="1">
      <alignment horizontal="center" vertical="center"/>
    </xf>
    <xf numFmtId="0" fontId="116" fillId="0" borderId="14" xfId="0" applyFont="1" applyFill="1" applyBorder="1" applyAlignment="1">
      <alignment horizontal="center" vertical="center"/>
    </xf>
    <xf numFmtId="49" fontId="114" fillId="0" borderId="30" xfId="3" applyNumberFormat="1" applyFont="1" applyFill="1" applyBorder="1" applyAlignment="1">
      <alignment horizontal="center" vertical="center"/>
    </xf>
    <xf numFmtId="49" fontId="114" fillId="0" borderId="12" xfId="3" applyNumberFormat="1" applyFont="1" applyFill="1" applyBorder="1" applyAlignment="1">
      <alignment horizontal="center" vertical="center"/>
    </xf>
    <xf numFmtId="49" fontId="114" fillId="0" borderId="14" xfId="3" applyNumberFormat="1" applyFont="1" applyFill="1" applyBorder="1" applyAlignment="1">
      <alignment horizontal="center" vertical="center"/>
    </xf>
    <xf numFmtId="0" fontId="108" fillId="0" borderId="0" xfId="61411" applyFont="1" applyFill="1" applyAlignment="1">
      <alignment horizontal="center" vertical="center" wrapText="1"/>
    </xf>
    <xf numFmtId="0" fontId="116" fillId="0" borderId="30" xfId="0" applyFont="1" applyFill="1" applyBorder="1" applyAlignment="1">
      <alignment horizontal="center" vertical="center" wrapText="1"/>
    </xf>
    <xf numFmtId="0" fontId="116" fillId="0" borderId="12" xfId="0" applyFont="1" applyFill="1" applyBorder="1" applyAlignment="1">
      <alignment horizontal="center" vertical="center" wrapText="1"/>
    </xf>
    <xf numFmtId="0" fontId="116" fillId="0" borderId="14" xfId="0" applyFont="1" applyFill="1" applyBorder="1" applyAlignment="1">
      <alignment horizontal="center" vertical="center" wrapText="1"/>
    </xf>
    <xf numFmtId="0" fontId="114" fillId="0" borderId="11" xfId="0" applyFont="1" applyFill="1" applyBorder="1" applyAlignment="1">
      <alignment horizontal="center" vertical="center" wrapText="1"/>
    </xf>
    <xf numFmtId="2" fontId="114" fillId="0" borderId="11" xfId="61411" applyNumberFormat="1" applyFont="1" applyFill="1" applyBorder="1" applyAlignment="1">
      <alignment horizontal="center" vertical="center" wrapText="1"/>
    </xf>
    <xf numFmtId="0" fontId="114" fillId="0" borderId="30" xfId="61411" applyFont="1" applyFill="1" applyBorder="1" applyAlignment="1">
      <alignment horizontal="center" vertical="center" wrapText="1"/>
    </xf>
    <xf numFmtId="0" fontId="114" fillId="0" borderId="14" xfId="61411" applyFont="1" applyFill="1" applyBorder="1" applyAlignment="1">
      <alignment horizontal="center" vertical="center" wrapText="1"/>
    </xf>
    <xf numFmtId="0" fontId="114" fillId="0" borderId="11" xfId="61413" applyFont="1" applyFill="1" applyBorder="1" applyAlignment="1">
      <alignment horizontal="center" vertical="center" wrapText="1"/>
    </xf>
    <xf numFmtId="0" fontId="112" fillId="0" borderId="0" xfId="57801" applyFont="1" applyFill="1" applyAlignment="1">
      <alignment horizontal="center"/>
    </xf>
    <xf numFmtId="0" fontId="51" fillId="0" borderId="30" xfId="58585" applyFont="1" applyFill="1" applyBorder="1" applyAlignment="1">
      <alignment horizontal="center" vertical="center" wrapText="1"/>
    </xf>
    <xf numFmtId="0" fontId="51" fillId="0" borderId="12" xfId="58585" applyFont="1" applyFill="1" applyBorder="1" applyAlignment="1">
      <alignment horizontal="center" vertical="center" wrapText="1"/>
    </xf>
    <xf numFmtId="0" fontId="51" fillId="0" borderId="14" xfId="58585" applyFont="1" applyFill="1" applyBorder="1" applyAlignment="1">
      <alignment horizontal="center" vertical="center" wrapText="1"/>
    </xf>
    <xf numFmtId="0" fontId="43" fillId="0" borderId="30" xfId="57801" applyFont="1" applyFill="1" applyBorder="1" applyAlignment="1">
      <alignment horizontal="center" wrapText="1"/>
    </xf>
    <xf numFmtId="0" fontId="43" fillId="0" borderId="12" xfId="57801" applyFont="1" applyFill="1" applyBorder="1" applyAlignment="1">
      <alignment horizontal="center" wrapText="1"/>
    </xf>
    <xf numFmtId="0" fontId="43" fillId="0" borderId="14" xfId="57801" applyFont="1" applyFill="1" applyBorder="1" applyAlignment="1">
      <alignment horizontal="center" wrapText="1"/>
    </xf>
    <xf numFmtId="0" fontId="43" fillId="0" borderId="11" xfId="57801" applyFont="1" applyFill="1" applyBorder="1" applyAlignment="1">
      <alignment horizontal="center" vertical="center" wrapText="1"/>
    </xf>
    <xf numFmtId="0" fontId="43" fillId="0" borderId="30" xfId="57801" applyFont="1" applyFill="1" applyBorder="1" applyAlignment="1">
      <alignment horizontal="center" vertical="center" wrapText="1"/>
    </xf>
    <xf numFmtId="0" fontId="43" fillId="0" borderId="14" xfId="57801" applyFont="1" applyFill="1" applyBorder="1" applyAlignment="1">
      <alignment horizontal="center" vertical="center" wrapText="1"/>
    </xf>
    <xf numFmtId="0" fontId="48" fillId="0" borderId="15" xfId="58585" applyFont="1" applyFill="1" applyBorder="1" applyAlignment="1">
      <alignment horizontal="center" vertical="center" wrapText="1"/>
    </xf>
    <xf numFmtId="0" fontId="48" fillId="0" borderId="75" xfId="58585" applyFont="1" applyFill="1" applyBorder="1" applyAlignment="1">
      <alignment horizontal="center" vertical="center" wrapText="1"/>
    </xf>
    <xf numFmtId="0" fontId="48" fillId="0" borderId="76" xfId="58585" applyFont="1" applyFill="1" applyBorder="1" applyAlignment="1">
      <alignment horizontal="center" vertical="center" wrapText="1"/>
    </xf>
    <xf numFmtId="0" fontId="51" fillId="0" borderId="30" xfId="58585" applyFont="1" applyFill="1" applyBorder="1" applyAlignment="1">
      <alignment horizontal="center" vertical="center"/>
    </xf>
    <xf numFmtId="0" fontId="51" fillId="0" borderId="12" xfId="58585" applyFont="1" applyFill="1" applyBorder="1" applyAlignment="1">
      <alignment horizontal="center" vertical="center"/>
    </xf>
    <xf numFmtId="0" fontId="51" fillId="0" borderId="14" xfId="58585" applyFont="1" applyFill="1" applyBorder="1" applyAlignment="1">
      <alignment horizontal="center" vertical="center"/>
    </xf>
    <xf numFmtId="49" fontId="43" fillId="0" borderId="30" xfId="3" applyNumberFormat="1" applyFont="1" applyFill="1" applyBorder="1" applyAlignment="1">
      <alignment horizontal="center" vertical="center"/>
    </xf>
    <xf numFmtId="49" fontId="43" fillId="0" borderId="12" xfId="3" applyNumberFormat="1" applyFont="1" applyFill="1" applyBorder="1" applyAlignment="1">
      <alignment horizontal="center" vertical="center"/>
    </xf>
    <xf numFmtId="49" fontId="43" fillId="0" borderId="14" xfId="3" applyNumberFormat="1" applyFont="1" applyFill="1" applyBorder="1" applyAlignment="1">
      <alignment horizontal="center" vertical="center"/>
    </xf>
    <xf numFmtId="4" fontId="51" fillId="0" borderId="15" xfId="59012" applyNumberFormat="1" applyFont="1" applyFill="1" applyBorder="1" applyAlignment="1">
      <alignment horizontal="center" vertical="center" wrapText="1"/>
    </xf>
    <xf numFmtId="4" fontId="51" fillId="0" borderId="75" xfId="59012" applyNumberFormat="1" applyFont="1" applyFill="1" applyBorder="1" applyAlignment="1">
      <alignment horizontal="center" vertical="center" wrapText="1"/>
    </xf>
    <xf numFmtId="4" fontId="51" fillId="0" borderId="76" xfId="59012" applyNumberFormat="1" applyFont="1" applyFill="1" applyBorder="1" applyAlignment="1">
      <alignment horizontal="center" vertical="center" wrapText="1"/>
    </xf>
    <xf numFmtId="0" fontId="121" fillId="0" borderId="11" xfId="0" applyFont="1" applyFill="1" applyBorder="1" applyAlignment="1">
      <alignment horizontal="center" vertical="center"/>
    </xf>
    <xf numFmtId="0" fontId="45" fillId="0" borderId="30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45" fillId="0" borderId="14" xfId="0" applyFont="1" applyFill="1" applyBorder="1" applyAlignment="1">
      <alignment horizontal="center" vertical="center"/>
    </xf>
    <xf numFmtId="49" fontId="55" fillId="0" borderId="30" xfId="3" applyNumberFormat="1" applyFont="1" applyFill="1" applyBorder="1" applyAlignment="1">
      <alignment horizontal="center" vertical="center"/>
    </xf>
    <xf numFmtId="49" fontId="55" fillId="0" borderId="12" xfId="3" applyNumberFormat="1" applyFont="1" applyFill="1" applyBorder="1" applyAlignment="1">
      <alignment horizontal="center" vertical="center"/>
    </xf>
    <xf numFmtId="49" fontId="55" fillId="0" borderId="14" xfId="3" applyNumberFormat="1" applyFont="1" applyFill="1" applyBorder="1" applyAlignment="1">
      <alignment horizontal="center" vertical="center"/>
    </xf>
    <xf numFmtId="0" fontId="114" fillId="0" borderId="0" xfId="0" applyFont="1" applyFill="1" applyAlignment="1">
      <alignment horizontal="left" vertical="center" wrapText="1"/>
    </xf>
    <xf numFmtId="0" fontId="108" fillId="0" borderId="0" xfId="61398" applyFont="1" applyFill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3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55" fillId="0" borderId="30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2" fontId="55" fillId="0" borderId="15" xfId="61398" applyNumberFormat="1" applyFont="1" applyFill="1" applyBorder="1" applyAlignment="1">
      <alignment horizontal="center" vertical="center" wrapText="1"/>
    </xf>
    <xf numFmtId="2" fontId="55" fillId="0" borderId="68" xfId="61398" applyNumberFormat="1" applyFont="1" applyFill="1" applyBorder="1" applyAlignment="1">
      <alignment horizontal="center" vertical="center" wrapText="1"/>
    </xf>
    <xf numFmtId="2" fontId="55" fillId="0" borderId="69" xfId="61398" applyNumberFormat="1" applyFont="1" applyFill="1" applyBorder="1" applyAlignment="1">
      <alignment horizontal="center" vertical="center" wrapText="1"/>
    </xf>
    <xf numFmtId="0" fontId="55" fillId="0" borderId="69" xfId="61398" applyFont="1" applyFill="1" applyBorder="1" applyAlignment="1">
      <alignment horizontal="center" vertical="center" wrapText="1"/>
    </xf>
    <xf numFmtId="0" fontId="55" fillId="0" borderId="11" xfId="61398" applyFont="1" applyFill="1" applyBorder="1" applyAlignment="1">
      <alignment horizontal="center" vertical="center" wrapText="1"/>
    </xf>
    <xf numFmtId="0" fontId="55" fillId="0" borderId="15" xfId="61398" applyFont="1" applyFill="1" applyBorder="1" applyAlignment="1">
      <alignment horizontal="center" vertical="center"/>
    </xf>
    <xf numFmtId="0" fontId="55" fillId="0" borderId="68" xfId="61398" applyFont="1" applyFill="1" applyBorder="1" applyAlignment="1">
      <alignment horizontal="center" vertical="center"/>
    </xf>
    <xf numFmtId="0" fontId="55" fillId="0" borderId="69" xfId="61398" applyFont="1" applyFill="1" applyBorder="1" applyAlignment="1">
      <alignment horizontal="center" vertical="center"/>
    </xf>
    <xf numFmtId="0" fontId="55" fillId="0" borderId="30" xfId="61398" applyFont="1" applyFill="1" applyBorder="1" applyAlignment="1">
      <alignment horizontal="center" vertical="center" wrapText="1"/>
    </xf>
    <xf numFmtId="0" fontId="55" fillId="0" borderId="14" xfId="61398" applyFont="1" applyFill="1" applyBorder="1" applyAlignment="1">
      <alignment horizontal="center" vertical="center" wrapText="1"/>
    </xf>
    <xf numFmtId="0" fontId="55" fillId="0" borderId="11" xfId="61400" applyFont="1" applyFill="1" applyBorder="1" applyAlignment="1">
      <alignment horizontal="center" vertical="center" wrapText="1"/>
    </xf>
    <xf numFmtId="0" fontId="55" fillId="0" borderId="61" xfId="61398" applyFont="1" applyFill="1" applyBorder="1" applyAlignment="1">
      <alignment horizontal="center" vertical="center" wrapText="1"/>
    </xf>
    <xf numFmtId="0" fontId="45" fillId="74" borderId="11" xfId="0" applyFont="1" applyFill="1" applyBorder="1" applyAlignment="1">
      <alignment horizontal="center" vertical="center"/>
    </xf>
    <xf numFmtId="0" fontId="43" fillId="74" borderId="11" xfId="61293" applyFont="1" applyFill="1" applyBorder="1" applyAlignment="1">
      <alignment horizontal="center" vertical="center" wrapText="1"/>
    </xf>
    <xf numFmtId="0" fontId="43" fillId="74" borderId="30" xfId="61293" applyFont="1" applyFill="1" applyBorder="1" applyAlignment="1">
      <alignment horizontal="center" vertical="center" wrapText="1"/>
    </xf>
    <xf numFmtId="0" fontId="43" fillId="74" borderId="14" xfId="61293" applyFont="1" applyFill="1" applyBorder="1" applyAlignment="1">
      <alignment horizontal="center" vertical="center" wrapText="1"/>
    </xf>
    <xf numFmtId="0" fontId="112" fillId="74" borderId="0" xfId="61293" applyFont="1" applyFill="1" applyAlignment="1">
      <alignment horizontal="center"/>
    </xf>
    <xf numFmtId="0" fontId="95" fillId="74" borderId="15" xfId="61293" applyFill="1" applyBorder="1" applyAlignment="1">
      <alignment horizontal="center"/>
    </xf>
    <xf numFmtId="0" fontId="95" fillId="74" borderId="68" xfId="61293" applyFill="1" applyBorder="1" applyAlignment="1">
      <alignment horizontal="center"/>
    </xf>
    <xf numFmtId="0" fontId="95" fillId="74" borderId="69" xfId="61293" applyFill="1" applyBorder="1" applyAlignment="1">
      <alignment horizontal="center"/>
    </xf>
    <xf numFmtId="0" fontId="43" fillId="74" borderId="15" xfId="61293" applyFont="1" applyFill="1" applyBorder="1" applyAlignment="1">
      <alignment horizontal="center" vertical="center"/>
    </xf>
    <xf numFmtId="0" fontId="43" fillId="74" borderId="68" xfId="61293" applyFont="1" applyFill="1" applyBorder="1" applyAlignment="1">
      <alignment horizontal="center" vertical="center"/>
    </xf>
    <xf numFmtId="0" fontId="43" fillId="74" borderId="69" xfId="61293" applyFont="1" applyFill="1" applyBorder="1" applyAlignment="1">
      <alignment horizontal="center" vertical="center"/>
    </xf>
    <xf numFmtId="0" fontId="118" fillId="0" borderId="15" xfId="0" applyFont="1" applyFill="1" applyBorder="1" applyAlignment="1">
      <alignment horizontal="center" vertical="center" wrapText="1"/>
    </xf>
    <xf numFmtId="0" fontId="118" fillId="0" borderId="68" xfId="0" applyFont="1" applyFill="1" applyBorder="1" applyAlignment="1">
      <alignment horizontal="center" vertical="center" wrapText="1"/>
    </xf>
    <xf numFmtId="0" fontId="118" fillId="0" borderId="69" xfId="0" applyFont="1" applyFill="1" applyBorder="1" applyAlignment="1">
      <alignment horizontal="center" vertical="center" wrapText="1"/>
    </xf>
    <xf numFmtId="0" fontId="112" fillId="0" borderId="0" xfId="0" applyFont="1" applyFill="1" applyAlignment="1">
      <alignment horizontal="center" vertical="center" wrapText="1"/>
    </xf>
    <xf numFmtId="0" fontId="115" fillId="0" borderId="30" xfId="0" applyFont="1" applyFill="1" applyBorder="1" applyAlignment="1">
      <alignment horizontal="center" vertical="center" wrapText="1"/>
    </xf>
    <xf numFmtId="0" fontId="115" fillId="0" borderId="12" xfId="0" applyFont="1" applyFill="1" applyBorder="1" applyAlignment="1">
      <alignment horizontal="center" vertical="center" wrapText="1"/>
    </xf>
    <xf numFmtId="0" fontId="115" fillId="0" borderId="14" xfId="0" applyFont="1" applyFill="1" applyBorder="1" applyAlignment="1">
      <alignment horizontal="center" vertical="center" wrapText="1"/>
    </xf>
    <xf numFmtId="0" fontId="45" fillId="0" borderId="14" xfId="0" applyFont="1" applyFill="1" applyBorder="1" applyAlignment="1">
      <alignment horizontal="center" vertical="center" wrapText="1"/>
    </xf>
    <xf numFmtId="0" fontId="47" fillId="0" borderId="11" xfId="61314" applyFont="1" applyBorder="1" applyAlignment="1">
      <alignment horizontal="center" vertical="center" wrapText="1"/>
    </xf>
    <xf numFmtId="49" fontId="47" fillId="0" borderId="11" xfId="61314" applyNumberFormat="1" applyFont="1" applyBorder="1" applyAlignment="1">
      <alignment horizontal="center" vertical="center" wrapText="1"/>
    </xf>
    <xf numFmtId="0" fontId="108" fillId="0" borderId="0" xfId="61314" applyFont="1" applyBorder="1" applyAlignment="1">
      <alignment horizontal="center" wrapText="1"/>
    </xf>
    <xf numFmtId="0" fontId="47" fillId="0" borderId="11" xfId="61314" applyFont="1" applyBorder="1" applyAlignment="1">
      <alignment vertical="center" wrapText="1"/>
    </xf>
    <xf numFmtId="0" fontId="43" fillId="74" borderId="15" xfId="61403" applyFont="1" applyFill="1" applyBorder="1" applyAlignment="1">
      <alignment horizontal="center" vertical="center" wrapText="1"/>
    </xf>
    <xf numFmtId="0" fontId="43" fillId="74" borderId="75" xfId="61403" applyFont="1" applyFill="1" applyBorder="1" applyAlignment="1">
      <alignment horizontal="center" vertical="center" wrapText="1"/>
    </xf>
    <xf numFmtId="0" fontId="43" fillId="74" borderId="76" xfId="61403" applyFont="1" applyFill="1" applyBorder="1" applyAlignment="1">
      <alignment horizontal="center" vertical="center" wrapText="1"/>
    </xf>
    <xf numFmtId="0" fontId="124" fillId="0" borderId="11" xfId="61403" applyFont="1" applyFill="1" applyBorder="1" applyAlignment="1">
      <alignment horizontal="center" vertical="center"/>
    </xf>
    <xf numFmtId="0" fontId="43" fillId="74" borderId="11" xfId="61403" applyFont="1" applyFill="1" applyBorder="1" applyAlignment="1">
      <alignment horizontal="center" vertical="center" wrapText="1"/>
    </xf>
    <xf numFmtId="0" fontId="43" fillId="74" borderId="11" xfId="61403" applyFont="1" applyFill="1" applyBorder="1" applyAlignment="1">
      <alignment horizontal="center" vertical="center"/>
    </xf>
    <xf numFmtId="0" fontId="44" fillId="74" borderId="11" xfId="61403" applyFont="1" applyFill="1" applyBorder="1" applyAlignment="1">
      <alignment horizontal="center" vertical="center" wrapText="1"/>
    </xf>
    <xf numFmtId="0" fontId="108" fillId="74" borderId="0" xfId="61403" applyFont="1" applyFill="1" applyAlignment="1">
      <alignment horizontal="center" vertical="center" wrapText="1"/>
    </xf>
    <xf numFmtId="0" fontId="46" fillId="74" borderId="11" xfId="61403" applyFont="1" applyFill="1" applyBorder="1" applyAlignment="1">
      <alignment horizontal="center" vertical="center" wrapText="1"/>
    </xf>
    <xf numFmtId="0" fontId="46" fillId="74" borderId="11" xfId="61403" applyFont="1" applyFill="1" applyBorder="1" applyAlignment="1">
      <alignment horizontal="center" vertical="center"/>
    </xf>
    <xf numFmtId="0" fontId="46" fillId="74" borderId="15" xfId="61403" applyFont="1" applyFill="1" applyBorder="1" applyAlignment="1">
      <alignment horizontal="center" vertical="center"/>
    </xf>
    <xf numFmtId="0" fontId="46" fillId="74" borderId="75" xfId="61403" applyFont="1" applyFill="1" applyBorder="1" applyAlignment="1">
      <alignment horizontal="center" vertical="center"/>
    </xf>
    <xf numFmtId="0" fontId="46" fillId="74" borderId="76" xfId="61403" applyFont="1" applyFill="1" applyBorder="1" applyAlignment="1">
      <alignment horizontal="center" vertical="center"/>
    </xf>
    <xf numFmtId="0" fontId="46" fillId="74" borderId="15" xfId="61403" applyFont="1" applyFill="1" applyBorder="1" applyAlignment="1">
      <alignment horizontal="center" vertical="center" wrapText="1"/>
    </xf>
    <xf numFmtId="0" fontId="46" fillId="74" borderId="76" xfId="61403" applyFont="1" applyFill="1" applyBorder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7" fillId="0" borderId="11" xfId="0" applyFont="1" applyBorder="1" applyAlignment="1">
      <alignment vertical="center" wrapText="1"/>
    </xf>
    <xf numFmtId="0" fontId="55" fillId="0" borderId="11" xfId="0" applyFont="1" applyBorder="1" applyAlignment="1">
      <alignment horizontal="center" vertical="center"/>
    </xf>
    <xf numFmtId="0" fontId="129" fillId="78" borderId="11" xfId="0" applyFont="1" applyFill="1" applyBorder="1" applyAlignment="1">
      <alignment horizontal="center" vertical="center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 applyAlignment="1">
      <alignment wrapText="1"/>
    </xf>
    <xf numFmtId="0" fontId="51" fillId="0" borderId="47" xfId="0" applyFont="1" applyFill="1" applyBorder="1" applyAlignment="1">
      <alignment horizontal="center" vertical="center" wrapText="1"/>
    </xf>
    <xf numFmtId="0" fontId="51" fillId="0" borderId="37" xfId="0" applyFont="1" applyFill="1" applyBorder="1" applyAlignment="1">
      <alignment horizontal="center" vertical="center" wrapText="1"/>
    </xf>
    <xf numFmtId="0" fontId="51" fillId="0" borderId="46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1" fillId="0" borderId="48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3" fontId="51" fillId="0" borderId="47" xfId="58940" applyNumberFormat="1" applyFont="1" applyFill="1" applyBorder="1" applyAlignment="1">
      <alignment horizontal="center" vertical="center" wrapText="1"/>
    </xf>
    <xf numFmtId="3" fontId="51" fillId="0" borderId="49" xfId="0" applyNumberFormat="1" applyFont="1" applyFill="1" applyBorder="1" applyAlignment="1">
      <alignment horizontal="center" vertical="center" wrapText="1"/>
    </xf>
    <xf numFmtId="3" fontId="51" fillId="0" borderId="63" xfId="0" applyNumberFormat="1" applyFont="1" applyFill="1" applyBorder="1" applyAlignment="1">
      <alignment horizontal="center" vertical="center" wrapText="1"/>
    </xf>
    <xf numFmtId="0" fontId="127" fillId="0" borderId="49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left" vertical="center"/>
    </xf>
    <xf numFmtId="0" fontId="121" fillId="0" borderId="14" xfId="0" applyFont="1" applyFill="1" applyBorder="1" applyAlignment="1">
      <alignment horizontal="left" vertical="center"/>
    </xf>
    <xf numFmtId="0" fontId="121" fillId="0" borderId="13" xfId="0" applyFont="1" applyFill="1" applyBorder="1" applyAlignment="1">
      <alignment horizontal="left" vertical="center"/>
    </xf>
    <xf numFmtId="4" fontId="121" fillId="0" borderId="37" xfId="0" applyNumberFormat="1" applyFont="1" applyFill="1" applyBorder="1" applyAlignment="1">
      <alignment horizontal="left" vertical="center" wrapText="1"/>
    </xf>
    <xf numFmtId="4" fontId="121" fillId="0" borderId="11" xfId="0" applyNumberFormat="1" applyFont="1" applyFill="1" applyBorder="1" applyAlignment="1">
      <alignment horizontal="left" vertical="center" wrapText="1"/>
    </xf>
    <xf numFmtId="4" fontId="121" fillId="0" borderId="15" xfId="0" applyNumberFormat="1" applyFont="1" applyFill="1" applyBorder="1" applyAlignment="1">
      <alignment horizontal="left" vertical="center" wrapText="1"/>
    </xf>
    <xf numFmtId="0" fontId="45" fillId="0" borderId="37" xfId="0" applyFont="1" applyFill="1" applyBorder="1" applyAlignment="1">
      <alignment horizontal="center" vertical="center"/>
    </xf>
    <xf numFmtId="49" fontId="45" fillId="0" borderId="11" xfId="58940" applyNumberFormat="1" applyFont="1" applyFill="1" applyBorder="1" applyAlignment="1">
      <alignment horizontal="center" vertical="center"/>
    </xf>
    <xf numFmtId="0" fontId="51" fillId="0" borderId="64" xfId="0" applyFont="1" applyFill="1" applyBorder="1" applyAlignment="1">
      <alignment horizontal="center" vertical="center"/>
    </xf>
    <xf numFmtId="0" fontId="51" fillId="0" borderId="50" xfId="0" applyFont="1" applyFill="1" applyBorder="1" applyAlignment="1">
      <alignment horizontal="center" vertical="center"/>
    </xf>
    <xf numFmtId="0" fontId="51" fillId="0" borderId="40" xfId="0" applyFont="1" applyFill="1" applyBorder="1" applyAlignment="1">
      <alignment horizontal="center" vertical="center"/>
    </xf>
    <xf numFmtId="49" fontId="51" fillId="0" borderId="30" xfId="58940" applyNumberFormat="1" applyFont="1" applyFill="1" applyBorder="1" applyAlignment="1">
      <alignment horizontal="center" vertical="center"/>
    </xf>
    <xf numFmtId="49" fontId="51" fillId="0" borderId="12" xfId="58940" applyNumberFormat="1" applyFont="1" applyFill="1" applyBorder="1" applyAlignment="1">
      <alignment horizontal="center" vertical="center"/>
    </xf>
    <xf numFmtId="49" fontId="51" fillId="0" borderId="14" xfId="58940" applyNumberFormat="1" applyFont="1" applyFill="1" applyBorder="1" applyAlignment="1">
      <alignment horizontal="center" vertical="center"/>
    </xf>
    <xf numFmtId="0" fontId="163" fillId="0" borderId="0" xfId="0" applyFont="1" applyFill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 wrapText="1"/>
    </xf>
    <xf numFmtId="0" fontId="110" fillId="0" borderId="37" xfId="0" applyFont="1" applyFill="1" applyBorder="1" applyAlignment="1">
      <alignment horizontal="center" vertical="center" wrapText="1"/>
    </xf>
    <xf numFmtId="0" fontId="47" fillId="0" borderId="37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11" xfId="0" applyFont="1" applyFill="1" applyBorder="1" applyAlignment="1">
      <alignment horizontal="center" vertical="center" wrapText="1"/>
    </xf>
    <xf numFmtId="0" fontId="47" fillId="0" borderId="11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10" fillId="0" borderId="15" xfId="0" applyFont="1" applyFill="1" applyBorder="1" applyAlignment="1">
      <alignment horizontal="center" vertical="center" wrapText="1"/>
    </xf>
    <xf numFmtId="0" fontId="47" fillId="0" borderId="15" xfId="0" applyFont="1" applyFill="1" applyBorder="1" applyAlignment="1">
      <alignment horizontal="center" vertical="center" wrapText="1"/>
    </xf>
    <xf numFmtId="3" fontId="130" fillId="0" borderId="47" xfId="58940" applyNumberFormat="1" applyFont="1" applyFill="1" applyBorder="1" applyAlignment="1">
      <alignment horizontal="center" vertical="center" wrapText="1"/>
    </xf>
    <xf numFmtId="3" fontId="50" fillId="0" borderId="46" xfId="0" applyNumberFormat="1" applyFont="1" applyFill="1" applyBorder="1" applyAlignment="1">
      <alignment horizontal="center" vertical="center" wrapText="1"/>
    </xf>
    <xf numFmtId="3" fontId="162" fillId="0" borderId="49" xfId="0" applyNumberFormat="1" applyFont="1" applyFill="1" applyBorder="1" applyAlignment="1">
      <alignment horizontal="center" vertical="center" wrapText="1"/>
    </xf>
    <xf numFmtId="3" fontId="50" fillId="0" borderId="63" xfId="0" applyNumberFormat="1" applyFont="1" applyFill="1" applyBorder="1" applyAlignment="1">
      <alignment horizontal="center" vertical="center" wrapText="1"/>
    </xf>
    <xf numFmtId="3" fontId="50" fillId="0" borderId="49" xfId="0" applyNumberFormat="1" applyFont="1" applyFill="1" applyBorder="1" applyAlignment="1">
      <alignment horizontal="center" vertical="center" wrapText="1"/>
    </xf>
    <xf numFmtId="3" fontId="47" fillId="0" borderId="37" xfId="0" applyNumberFormat="1" applyFont="1" applyFill="1" applyBorder="1" applyAlignment="1">
      <alignment horizontal="center" vertical="center" wrapText="1"/>
    </xf>
    <xf numFmtId="3" fontId="47" fillId="0" borderId="11" xfId="0" applyNumberFormat="1" applyFont="1" applyFill="1" applyBorder="1" applyAlignment="1">
      <alignment horizontal="center" vertical="center" wrapText="1"/>
    </xf>
    <xf numFmtId="3" fontId="50" fillId="0" borderId="11" xfId="0" applyNumberFormat="1" applyFont="1" applyFill="1" applyBorder="1" applyAlignment="1">
      <alignment horizontal="center" vertical="center" wrapText="1"/>
    </xf>
    <xf numFmtId="0" fontId="162" fillId="0" borderId="38" xfId="0" applyFont="1" applyFill="1" applyBorder="1" applyAlignment="1">
      <alignment horizontal="center" vertical="center" wrapText="1"/>
    </xf>
    <xf numFmtId="3" fontId="47" fillId="0" borderId="69" xfId="0" applyNumberFormat="1" applyFont="1" applyFill="1" applyBorder="1" applyAlignment="1">
      <alignment horizontal="center" vertical="center" wrapText="1"/>
    </xf>
    <xf numFmtId="0" fontId="162" fillId="0" borderId="11" xfId="0" applyFont="1" applyFill="1" applyBorder="1" applyAlignment="1">
      <alignment horizontal="center" vertical="center" wrapText="1"/>
    </xf>
    <xf numFmtId="4" fontId="48" fillId="0" borderId="37" xfId="0" applyNumberFormat="1" applyFont="1" applyFill="1" applyBorder="1" applyAlignment="1">
      <alignment horizontal="center" vertical="center" wrapText="1"/>
    </xf>
    <xf numFmtId="4" fontId="48" fillId="0" borderId="11" xfId="0" applyNumberFormat="1" applyFont="1" applyFill="1" applyBorder="1" applyAlignment="1">
      <alignment horizontal="center" vertical="center" wrapText="1"/>
    </xf>
    <xf numFmtId="4" fontId="48" fillId="0" borderId="38" xfId="0" applyNumberFormat="1" applyFont="1" applyFill="1" applyBorder="1" applyAlignment="1">
      <alignment horizontal="center" vertical="center" wrapText="1"/>
    </xf>
    <xf numFmtId="0" fontId="48" fillId="0" borderId="47" xfId="0" applyFont="1" applyFill="1" applyBorder="1" applyAlignment="1">
      <alignment horizontal="center" vertical="center"/>
    </xf>
    <xf numFmtId="0" fontId="48" fillId="0" borderId="46" xfId="0" applyFont="1" applyFill="1" applyBorder="1" applyAlignment="1">
      <alignment horizontal="center" vertical="center"/>
    </xf>
    <xf numFmtId="0" fontId="48" fillId="0" borderId="48" xfId="0" applyFont="1" applyFill="1" applyBorder="1" applyAlignment="1">
      <alignment horizontal="center" vertical="center"/>
    </xf>
    <xf numFmtId="4" fontId="48" fillId="0" borderId="15" xfId="0" applyNumberFormat="1" applyFont="1" applyFill="1" applyBorder="1" applyAlignment="1">
      <alignment horizontal="center" vertical="center" wrapText="1"/>
    </xf>
    <xf numFmtId="0" fontId="122" fillId="0" borderId="0" xfId="0" applyFont="1" applyFill="1" applyAlignment="1">
      <alignment horizontal="center" vertical="center" wrapText="1"/>
    </xf>
    <xf numFmtId="0" fontId="131" fillId="0" borderId="0" xfId="0" applyFont="1" applyFill="1" applyAlignment="1">
      <alignment horizontal="center" vertical="center" wrapText="1"/>
    </xf>
    <xf numFmtId="0" fontId="110" fillId="0" borderId="58" xfId="0" applyFont="1" applyFill="1" applyBorder="1" applyAlignment="1">
      <alignment horizontal="center" vertical="center" wrapText="1"/>
    </xf>
    <xf numFmtId="0" fontId="110" fillId="0" borderId="52" xfId="0" applyFont="1" applyFill="1" applyBorder="1" applyAlignment="1">
      <alignment horizontal="center" vertical="center" wrapText="1"/>
    </xf>
    <xf numFmtId="0" fontId="110" fillId="0" borderId="59" xfId="0" applyFont="1" applyFill="1" applyBorder="1" applyAlignment="1">
      <alignment horizontal="center" vertical="center" wrapText="1"/>
    </xf>
    <xf numFmtId="3" fontId="110" fillId="0" borderId="47" xfId="0" applyNumberFormat="1" applyFont="1" applyFill="1" applyBorder="1" applyAlignment="1">
      <alignment horizontal="center" vertical="center" wrapText="1"/>
    </xf>
    <xf numFmtId="3" fontId="110" fillId="0" borderId="48" xfId="0" applyNumberFormat="1" applyFont="1" applyFill="1" applyBorder="1" applyAlignment="1">
      <alignment horizontal="center" vertical="center" wrapText="1"/>
    </xf>
    <xf numFmtId="0" fontId="152" fillId="0" borderId="49" xfId="0" applyFont="1" applyFill="1" applyBorder="1" applyAlignment="1">
      <alignment horizontal="center" vertical="center" wrapText="1"/>
    </xf>
    <xf numFmtId="3" fontId="110" fillId="0" borderId="63" xfId="0" applyNumberFormat="1" applyFont="1" applyFill="1" applyBorder="1" applyAlignment="1">
      <alignment horizontal="center" vertical="center" wrapText="1"/>
    </xf>
    <xf numFmtId="0" fontId="48" fillId="0" borderId="40" xfId="0" applyFont="1" applyFill="1" applyBorder="1" applyAlignment="1">
      <alignment horizontal="left" vertical="center"/>
    </xf>
    <xf numFmtId="0" fontId="48" fillId="0" borderId="14" xfId="0" applyFont="1" applyFill="1" applyBorder="1" applyAlignment="1">
      <alignment horizontal="left" vertical="center"/>
    </xf>
    <xf numFmtId="0" fontId="48" fillId="0" borderId="13" xfId="0" applyFont="1" applyFill="1" applyBorder="1" applyAlignment="1">
      <alignment horizontal="left" vertical="center"/>
    </xf>
    <xf numFmtId="3" fontId="51" fillId="0" borderId="0" xfId="0" applyNumberFormat="1" applyFont="1" applyFill="1" applyBorder="1" applyAlignment="1">
      <alignment horizontal="left" vertical="center" wrapText="1"/>
    </xf>
    <xf numFmtId="0" fontId="134" fillId="0" borderId="0" xfId="0" applyFont="1" applyFill="1" applyAlignment="1">
      <alignment horizontal="left" vertical="center" wrapText="1"/>
    </xf>
    <xf numFmtId="0" fontId="134" fillId="0" borderId="0" xfId="0" applyFont="1" applyFill="1" applyAlignment="1">
      <alignment vertical="center" wrapText="1"/>
    </xf>
    <xf numFmtId="4" fontId="48" fillId="0" borderId="37" xfId="0" applyNumberFormat="1" applyFont="1" applyFill="1" applyBorder="1" applyAlignment="1">
      <alignment horizontal="left" vertical="center" wrapText="1"/>
    </xf>
    <xf numFmtId="4" fontId="48" fillId="0" borderId="11" xfId="0" applyNumberFormat="1" applyFont="1" applyFill="1" applyBorder="1" applyAlignment="1">
      <alignment horizontal="left" vertical="center" wrapText="1"/>
    </xf>
    <xf numFmtId="4" fontId="48" fillId="0" borderId="15" xfId="0" applyNumberFormat="1" applyFont="1" applyFill="1" applyBorder="1" applyAlignment="1">
      <alignment horizontal="left" vertical="center" wrapText="1"/>
    </xf>
    <xf numFmtId="3" fontId="111" fillId="0" borderId="0" xfId="0" applyNumberFormat="1" applyFont="1" applyFill="1" applyBorder="1" applyAlignment="1">
      <alignment horizontal="left" vertical="center" wrapText="1"/>
    </xf>
    <xf numFmtId="0" fontId="85" fillId="0" borderId="0" xfId="0" applyFont="1" applyFill="1" applyAlignment="1">
      <alignment horizontal="left" vertical="center" wrapText="1"/>
    </xf>
    <xf numFmtId="0" fontId="85" fillId="0" borderId="0" xfId="0" applyFont="1" applyFill="1" applyAlignment="1">
      <alignment vertical="center" wrapText="1"/>
    </xf>
    <xf numFmtId="0" fontId="108" fillId="0" borderId="0" xfId="0" applyFont="1" applyFill="1" applyAlignment="1">
      <alignment horizontal="center" vertical="center" wrapText="1"/>
    </xf>
    <xf numFmtId="0" fontId="51" fillId="0" borderId="58" xfId="0" applyFont="1" applyFill="1" applyBorder="1" applyAlignment="1">
      <alignment horizontal="center" vertical="center" wrapText="1"/>
    </xf>
    <xf numFmtId="0" fontId="51" fillId="0" borderId="52" xfId="0" applyFont="1" applyFill="1" applyBorder="1" applyAlignment="1">
      <alignment horizontal="center" vertical="center" wrapText="1"/>
    </xf>
    <xf numFmtId="0" fontId="51" fillId="0" borderId="49" xfId="0" applyFont="1" applyFill="1" applyBorder="1" applyAlignment="1">
      <alignment horizontal="center" vertical="center" wrapText="1"/>
    </xf>
    <xf numFmtId="0" fontId="51" fillId="0" borderId="66" xfId="0" applyFont="1" applyFill="1" applyBorder="1" applyAlignment="1">
      <alignment horizontal="center" vertical="center" wrapText="1"/>
    </xf>
    <xf numFmtId="3" fontId="43" fillId="0" borderId="63" xfId="0" applyNumberFormat="1" applyFont="1" applyFill="1" applyBorder="1" applyAlignment="1">
      <alignment horizontal="center" vertical="center" wrapText="1"/>
    </xf>
    <xf numFmtId="3" fontId="43" fillId="0" borderId="46" xfId="0" applyNumberFormat="1" applyFont="1" applyFill="1" applyBorder="1" applyAlignment="1">
      <alignment horizontal="center" vertical="center" wrapText="1"/>
    </xf>
    <xf numFmtId="3" fontId="51" fillId="0" borderId="70" xfId="0" applyNumberFormat="1" applyFont="1" applyFill="1" applyBorder="1" applyAlignment="1">
      <alignment horizontal="center" vertical="center" wrapText="1"/>
    </xf>
    <xf numFmtId="0" fontId="51" fillId="0" borderId="71" xfId="0" applyFont="1" applyFill="1" applyBorder="1" applyAlignment="1">
      <alignment horizontal="center" vertical="center" wrapText="1"/>
    </xf>
    <xf numFmtId="3" fontId="43" fillId="0" borderId="70" xfId="0" applyNumberFormat="1" applyFont="1" applyFill="1" applyBorder="1" applyAlignment="1">
      <alignment horizontal="center" vertical="center" wrapText="1"/>
    </xf>
    <xf numFmtId="0" fontId="43" fillId="0" borderId="71" xfId="0" applyFont="1" applyFill="1" applyBorder="1" applyAlignment="1">
      <alignment horizontal="center" vertical="center" wrapText="1"/>
    </xf>
    <xf numFmtId="0" fontId="121" fillId="0" borderId="39" xfId="0" applyFont="1" applyFill="1" applyBorder="1" applyAlignment="1">
      <alignment horizontal="left" vertical="center"/>
    </xf>
    <xf numFmtId="4" fontId="121" fillId="0" borderId="38" xfId="0" applyNumberFormat="1" applyFont="1" applyFill="1" applyBorder="1" applyAlignment="1">
      <alignment horizontal="left" vertical="center" wrapText="1"/>
    </xf>
    <xf numFmtId="0" fontId="45" fillId="0" borderId="47" xfId="0" applyFont="1" applyFill="1" applyBorder="1" applyAlignment="1">
      <alignment horizontal="center" vertical="center" wrapText="1"/>
    </xf>
    <xf numFmtId="0" fontId="45" fillId="0" borderId="37" xfId="0" applyFont="1" applyFill="1" applyBorder="1" applyAlignment="1">
      <alignment horizontal="center" vertical="center" wrapText="1"/>
    </xf>
    <xf numFmtId="0" fontId="45" fillId="0" borderId="46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48" xfId="0" applyFont="1" applyFill="1" applyBorder="1" applyAlignment="1">
      <alignment horizontal="center" vertical="center" wrapText="1"/>
    </xf>
    <xf numFmtId="0" fontId="45" fillId="0" borderId="15" xfId="0" applyFont="1" applyFill="1" applyBorder="1" applyAlignment="1">
      <alignment horizontal="center" vertical="center" wrapText="1"/>
    </xf>
    <xf numFmtId="3" fontId="107" fillId="0" borderId="63" xfId="0" applyNumberFormat="1" applyFont="1" applyFill="1" applyBorder="1" applyAlignment="1">
      <alignment horizontal="center" vertical="center" wrapText="1"/>
    </xf>
    <xf numFmtId="0" fontId="107" fillId="0" borderId="48" xfId="0" applyFont="1" applyFill="1" applyBorder="1" applyAlignment="1">
      <alignment horizontal="center" vertical="center" wrapText="1"/>
    </xf>
    <xf numFmtId="0" fontId="107" fillId="0" borderId="69" xfId="0" applyFont="1" applyFill="1" applyBorder="1" applyAlignment="1">
      <alignment horizontal="center" vertical="center" wrapText="1"/>
    </xf>
    <xf numFmtId="0" fontId="107" fillId="0" borderId="15" xfId="0" applyFont="1" applyFill="1" applyBorder="1" applyAlignment="1">
      <alignment horizontal="center" vertical="center" wrapText="1"/>
    </xf>
    <xf numFmtId="3" fontId="107" fillId="0" borderId="47" xfId="0" applyNumberFormat="1" applyFont="1" applyFill="1" applyBorder="1" applyAlignment="1">
      <alignment horizontal="center" vertical="center" wrapText="1"/>
    </xf>
    <xf numFmtId="0" fontId="107" fillId="0" borderId="49" xfId="0" applyFont="1" applyFill="1" applyBorder="1" applyAlignment="1">
      <alignment horizontal="center" vertical="center" wrapText="1"/>
    </xf>
    <xf numFmtId="0" fontId="107" fillId="0" borderId="37" xfId="0" applyFont="1" applyFill="1" applyBorder="1" applyAlignment="1">
      <alignment horizontal="center" vertical="center" wrapText="1"/>
    </xf>
    <xf numFmtId="0" fontId="107" fillId="0" borderId="38" xfId="0" applyFont="1" applyFill="1" applyBorder="1" applyAlignment="1">
      <alignment horizontal="center" vertical="center" wrapText="1"/>
    </xf>
    <xf numFmtId="3" fontId="45" fillId="0" borderId="37" xfId="58940" applyNumberFormat="1" applyFont="1" applyFill="1" applyBorder="1" applyAlignment="1">
      <alignment horizontal="center" vertical="center" wrapText="1"/>
    </xf>
    <xf numFmtId="3" fontId="45" fillId="0" borderId="11" xfId="58940" applyNumberFormat="1" applyFont="1" applyFill="1" applyBorder="1" applyAlignment="1">
      <alignment horizontal="center" vertical="center" wrapText="1"/>
    </xf>
    <xf numFmtId="0" fontId="55" fillId="0" borderId="11" xfId="0" applyFont="1" applyFill="1" applyBorder="1" applyAlignment="1">
      <alignment horizontal="center" vertical="center" wrapText="1"/>
    </xf>
    <xf numFmtId="0" fontId="161" fillId="0" borderId="11" xfId="0" applyFont="1" applyFill="1" applyBorder="1" applyAlignment="1">
      <alignment horizontal="center" vertical="center" wrapText="1"/>
    </xf>
    <xf numFmtId="0" fontId="161" fillId="0" borderId="38" xfId="0" applyFont="1" applyFill="1" applyBorder="1" applyAlignment="1">
      <alignment horizontal="center" vertical="center" wrapText="1"/>
    </xf>
    <xf numFmtId="3" fontId="107" fillId="0" borderId="46" xfId="0" applyNumberFormat="1" applyFont="1" applyFill="1" applyBorder="1" applyAlignment="1">
      <alignment horizontal="center" vertical="center" wrapText="1"/>
    </xf>
    <xf numFmtId="0" fontId="160" fillId="0" borderId="46" xfId="0" applyFont="1" applyFill="1" applyBorder="1" applyAlignment="1">
      <alignment horizontal="center" vertical="center" wrapText="1"/>
    </xf>
    <xf numFmtId="0" fontId="160" fillId="0" borderId="49" xfId="0" applyFont="1" applyFill="1" applyBorder="1" applyAlignment="1">
      <alignment horizontal="center" vertical="center" wrapText="1"/>
    </xf>
    <xf numFmtId="0" fontId="121" fillId="0" borderId="40" xfId="0" applyFont="1" applyFill="1" applyBorder="1" applyAlignment="1">
      <alignment horizontal="center" vertical="center"/>
    </xf>
    <xf numFmtId="0" fontId="121" fillId="0" borderId="14" xfId="0" applyFont="1" applyFill="1" applyBorder="1" applyAlignment="1">
      <alignment horizontal="center" vertical="center"/>
    </xf>
    <xf numFmtId="0" fontId="121" fillId="0" borderId="13" xfId="0" applyFont="1" applyFill="1" applyBorder="1" applyAlignment="1">
      <alignment horizontal="center" vertical="center"/>
    </xf>
    <xf numFmtId="4" fontId="121" fillId="0" borderId="37" xfId="0" applyNumberFormat="1" applyFont="1" applyFill="1" applyBorder="1" applyAlignment="1">
      <alignment horizontal="center" vertical="center" wrapText="1"/>
    </xf>
    <xf numFmtId="4" fontId="121" fillId="0" borderId="11" xfId="0" applyNumberFormat="1" applyFont="1" applyFill="1" applyBorder="1" applyAlignment="1">
      <alignment horizontal="center" vertical="center" wrapText="1"/>
    </xf>
    <xf numFmtId="4" fontId="121" fillId="0" borderId="15" xfId="0" applyNumberFormat="1" applyFont="1" applyFill="1" applyBorder="1" applyAlignment="1">
      <alignment horizontal="center" vertical="center" wrapText="1"/>
    </xf>
    <xf numFmtId="0" fontId="157" fillId="74" borderId="0" xfId="61317" applyFont="1" applyFill="1" applyAlignment="1">
      <alignment horizontal="center" vertical="center" wrapText="1"/>
    </xf>
    <xf numFmtId="0" fontId="116" fillId="74" borderId="11" xfId="61317" applyFont="1" applyFill="1" applyBorder="1" applyAlignment="1">
      <alignment horizontal="center" vertical="center" wrapText="1"/>
    </xf>
    <xf numFmtId="49" fontId="116" fillId="74" borderId="30" xfId="61317" applyNumberFormat="1" applyFont="1" applyFill="1" applyBorder="1" applyAlignment="1">
      <alignment horizontal="center" vertical="center" wrapText="1"/>
    </xf>
    <xf numFmtId="49" fontId="116" fillId="74" borderId="14" xfId="61317" applyNumberFormat="1" applyFont="1" applyFill="1" applyBorder="1" applyAlignment="1">
      <alignment horizontal="center" vertical="center" wrapText="1"/>
    </xf>
    <xf numFmtId="3" fontId="116" fillId="74" borderId="15" xfId="61317" applyNumberFormat="1" applyFont="1" applyFill="1" applyBorder="1" applyAlignment="1">
      <alignment horizontal="center" vertical="center"/>
    </xf>
    <xf numFmtId="3" fontId="116" fillId="74" borderId="68" xfId="61317" applyNumberFormat="1" applyFont="1" applyFill="1" applyBorder="1" applyAlignment="1">
      <alignment horizontal="center" vertical="center"/>
    </xf>
    <xf numFmtId="3" fontId="116" fillId="74" borderId="69" xfId="61317" applyNumberFormat="1" applyFont="1" applyFill="1" applyBorder="1" applyAlignment="1">
      <alignment horizontal="center" vertical="center"/>
    </xf>
    <xf numFmtId="2" fontId="116" fillId="74" borderId="15" xfId="61317" applyNumberFormat="1" applyFont="1" applyFill="1" applyBorder="1" applyAlignment="1">
      <alignment horizontal="center" vertical="center"/>
    </xf>
    <xf numFmtId="2" fontId="116" fillId="74" borderId="68" xfId="61317" applyNumberFormat="1" applyFont="1" applyFill="1" applyBorder="1" applyAlignment="1">
      <alignment horizontal="center" vertical="center"/>
    </xf>
    <xf numFmtId="2" fontId="116" fillId="74" borderId="69" xfId="61317" applyNumberFormat="1" applyFont="1" applyFill="1" applyBorder="1" applyAlignment="1">
      <alignment horizontal="center" vertical="center"/>
    </xf>
    <xf numFmtId="3" fontId="135" fillId="74" borderId="0" xfId="61317" applyNumberFormat="1" applyFont="1" applyFill="1" applyAlignment="1">
      <alignment horizontal="center" vertical="center" wrapText="1"/>
    </xf>
    <xf numFmtId="0" fontId="136" fillId="74" borderId="0" xfId="61317" applyFont="1" applyFill="1" applyAlignment="1">
      <alignment horizontal="center" vertical="center" wrapText="1"/>
    </xf>
    <xf numFmtId="3" fontId="45" fillId="74" borderId="11" xfId="61317" applyNumberFormat="1" applyFont="1" applyFill="1" applyBorder="1" applyAlignment="1">
      <alignment horizontal="center" vertical="center" wrapText="1"/>
    </xf>
    <xf numFmtId="3" fontId="45" fillId="74" borderId="11" xfId="4" applyNumberFormat="1" applyFont="1" applyFill="1" applyBorder="1" applyAlignment="1">
      <alignment horizontal="center" vertical="center" wrapText="1"/>
    </xf>
    <xf numFmtId="0" fontId="43" fillId="74" borderId="12" xfId="58923" applyFont="1" applyFill="1" applyBorder="1" applyAlignment="1">
      <alignment horizontal="center" vertical="center" wrapText="1"/>
    </xf>
    <xf numFmtId="0" fontId="43" fillId="74" borderId="14" xfId="58923" applyFont="1" applyFill="1" applyBorder="1" applyAlignment="1">
      <alignment horizontal="center" vertical="center" wrapText="1"/>
    </xf>
    <xf numFmtId="0" fontId="138" fillId="74" borderId="0" xfId="58923" applyFont="1" applyFill="1" applyAlignment="1">
      <alignment horizontal="center" vertical="center"/>
    </xf>
    <xf numFmtId="0" fontId="139" fillId="74" borderId="44" xfId="58923" applyFont="1" applyFill="1" applyBorder="1" applyAlignment="1">
      <alignment horizontal="right" vertical="center"/>
    </xf>
    <xf numFmtId="0" fontId="141" fillId="74" borderId="47" xfId="58923" applyFont="1" applyFill="1" applyBorder="1" applyAlignment="1">
      <alignment horizontal="center" vertical="center" wrapText="1"/>
    </xf>
    <xf numFmtId="0" fontId="141" fillId="74" borderId="37" xfId="58923" applyFont="1" applyFill="1" applyBorder="1" applyAlignment="1">
      <alignment horizontal="center" vertical="center" wrapText="1"/>
    </xf>
    <xf numFmtId="0" fontId="141" fillId="74" borderId="46" xfId="58923" applyFont="1" applyFill="1" applyBorder="1" applyAlignment="1">
      <alignment horizontal="center" vertical="center" wrapText="1"/>
    </xf>
    <xf numFmtId="0" fontId="141" fillId="74" borderId="11" xfId="58923" applyFont="1" applyFill="1" applyBorder="1" applyAlignment="1">
      <alignment horizontal="center" vertical="center" wrapText="1"/>
    </xf>
    <xf numFmtId="0" fontId="142" fillId="74" borderId="33" xfId="58923" applyFont="1" applyFill="1" applyBorder="1" applyAlignment="1">
      <alignment horizontal="center" vertical="center" wrapText="1"/>
    </xf>
    <xf numFmtId="0" fontId="142" fillId="74" borderId="34" xfId="58923" applyFont="1" applyFill="1" applyBorder="1" applyAlignment="1">
      <alignment horizontal="center" vertical="center" wrapText="1"/>
    </xf>
    <xf numFmtId="0" fontId="142" fillId="74" borderId="35" xfId="58923" applyFont="1" applyFill="1" applyBorder="1" applyAlignment="1">
      <alignment horizontal="center" vertical="center" wrapText="1"/>
    </xf>
    <xf numFmtId="0" fontId="142" fillId="74" borderId="47" xfId="58923" applyFont="1" applyFill="1" applyBorder="1" applyAlignment="1">
      <alignment horizontal="center" vertical="center" wrapText="1"/>
    </xf>
    <xf numFmtId="0" fontId="142" fillId="74" borderId="46" xfId="58923" applyFont="1" applyFill="1" applyBorder="1" applyAlignment="1">
      <alignment horizontal="center" vertical="center" wrapText="1"/>
    </xf>
    <xf numFmtId="0" fontId="142" fillId="74" borderId="48" xfId="58923" applyFont="1" applyFill="1" applyBorder="1" applyAlignment="1">
      <alignment horizontal="center" vertical="center" wrapText="1"/>
    </xf>
    <xf numFmtId="0" fontId="142" fillId="74" borderId="49" xfId="58923" applyFont="1" applyFill="1" applyBorder="1" applyAlignment="1">
      <alignment horizontal="center" vertical="center" wrapText="1"/>
    </xf>
    <xf numFmtId="0" fontId="55" fillId="74" borderId="61" xfId="58923" applyFont="1" applyFill="1" applyBorder="1" applyAlignment="1">
      <alignment horizontal="center" vertical="center" wrapText="1"/>
    </xf>
    <xf numFmtId="0" fontId="55" fillId="74" borderId="32" xfId="58923" applyFont="1" applyFill="1" applyBorder="1" applyAlignment="1">
      <alignment horizontal="center" vertical="center" wrapText="1"/>
    </xf>
    <xf numFmtId="0" fontId="141" fillId="74" borderId="30" xfId="58923" applyFont="1" applyFill="1" applyBorder="1" applyAlignment="1">
      <alignment horizontal="center" vertical="center" wrapText="1"/>
    </xf>
    <xf numFmtId="0" fontId="141" fillId="74" borderId="14" xfId="58923" applyFont="1" applyFill="1" applyBorder="1" applyAlignment="1">
      <alignment horizontal="center" vertical="center" wrapText="1"/>
    </xf>
    <xf numFmtId="0" fontId="143" fillId="74" borderId="30" xfId="58923" applyFont="1" applyFill="1" applyBorder="1" applyAlignment="1">
      <alignment horizontal="center" vertical="center" wrapText="1"/>
    </xf>
    <xf numFmtId="0" fontId="143" fillId="74" borderId="14" xfId="58923" applyFont="1" applyFill="1" applyBorder="1" applyAlignment="1">
      <alignment horizontal="center" vertical="center" wrapText="1"/>
    </xf>
    <xf numFmtId="0" fontId="142" fillId="74" borderId="36" xfId="58923" applyFont="1" applyFill="1" applyBorder="1" applyAlignment="1">
      <alignment horizontal="center" vertical="center"/>
    </xf>
    <xf numFmtId="0" fontId="142" fillId="74" borderId="39" xfId="58923" applyFont="1" applyFill="1" applyBorder="1" applyAlignment="1">
      <alignment horizontal="center" vertical="center"/>
    </xf>
    <xf numFmtId="0" fontId="43" fillId="74" borderId="50" xfId="58923" applyFont="1" applyFill="1" applyBorder="1" applyAlignment="1">
      <alignment horizontal="center" vertical="center" wrapText="1"/>
    </xf>
    <xf numFmtId="0" fontId="43" fillId="74" borderId="40" xfId="58923" applyFont="1" applyFill="1" applyBorder="1" applyAlignment="1">
      <alignment horizontal="center" vertical="center" wrapText="1"/>
    </xf>
    <xf numFmtId="0" fontId="145" fillId="74" borderId="12" xfId="58923" applyFont="1" applyFill="1" applyBorder="1" applyAlignment="1">
      <alignment horizontal="center" vertical="center" wrapText="1"/>
    </xf>
    <xf numFmtId="0" fontId="145" fillId="74" borderId="14" xfId="58923" applyFont="1" applyFill="1" applyBorder="1" applyAlignment="1">
      <alignment horizontal="center" vertical="center" wrapText="1"/>
    </xf>
    <xf numFmtId="0" fontId="146" fillId="74" borderId="12" xfId="58923" applyFont="1" applyFill="1" applyBorder="1" applyAlignment="1">
      <alignment horizontal="center" vertical="center" wrapText="1"/>
    </xf>
    <xf numFmtId="0" fontId="146" fillId="74" borderId="14" xfId="58923" applyFont="1" applyFill="1" applyBorder="1" applyAlignment="1">
      <alignment horizontal="center" vertical="center" wrapText="1"/>
    </xf>
    <xf numFmtId="4" fontId="145" fillId="74" borderId="12" xfId="58923" applyNumberFormat="1" applyFont="1" applyFill="1" applyBorder="1" applyAlignment="1">
      <alignment horizontal="center" vertical="center" wrapText="1"/>
    </xf>
    <xf numFmtId="4" fontId="145" fillId="74" borderId="14" xfId="58923" applyNumberFormat="1" applyFont="1" applyFill="1" applyBorder="1" applyAlignment="1">
      <alignment horizontal="center" vertical="center" wrapText="1"/>
    </xf>
    <xf numFmtId="0" fontId="142" fillId="74" borderId="51" xfId="58923" applyFont="1" applyFill="1" applyBorder="1" applyAlignment="1">
      <alignment horizontal="center" vertical="center" wrapText="1"/>
    </xf>
    <xf numFmtId="0" fontId="142" fillId="74" borderId="39" xfId="58923" applyFont="1" applyFill="1" applyBorder="1" applyAlignment="1">
      <alignment horizontal="center" vertical="center" wrapText="1"/>
    </xf>
    <xf numFmtId="0" fontId="142" fillId="74" borderId="36" xfId="58923" applyFont="1" applyFill="1" applyBorder="1" applyAlignment="1">
      <alignment horizontal="center" vertical="center" wrapText="1"/>
    </xf>
    <xf numFmtId="0" fontId="145" fillId="74" borderId="50" xfId="58923" applyFont="1" applyFill="1" applyBorder="1" applyAlignment="1">
      <alignment horizontal="center" vertical="center" wrapText="1"/>
    </xf>
    <xf numFmtId="0" fontId="145" fillId="74" borderId="40" xfId="58923" applyFont="1" applyFill="1" applyBorder="1" applyAlignment="1">
      <alignment horizontal="center" vertical="center" wrapText="1"/>
    </xf>
    <xf numFmtId="0" fontId="118" fillId="74" borderId="0" xfId="61317" applyFont="1" applyFill="1" applyBorder="1" applyAlignment="1">
      <alignment horizontal="center" vertical="center" wrapText="1"/>
    </xf>
    <xf numFmtId="0" fontId="55" fillId="74" borderId="56" xfId="61317" applyFont="1" applyFill="1" applyBorder="1" applyAlignment="1">
      <alignment horizontal="center" vertical="center" wrapText="1"/>
    </xf>
    <xf numFmtId="0" fontId="55" fillId="74" borderId="40" xfId="61317" applyFont="1" applyFill="1" applyBorder="1" applyAlignment="1">
      <alignment horizontal="center" vertical="center" wrapText="1"/>
    </xf>
    <xf numFmtId="0" fontId="55" fillId="74" borderId="45" xfId="61317" applyFont="1" applyFill="1" applyBorder="1" applyAlignment="1">
      <alignment horizontal="center" vertical="center" wrapText="1"/>
    </xf>
    <xf numFmtId="0" fontId="55" fillId="74" borderId="14" xfId="61317" applyFont="1" applyFill="1" applyBorder="1" applyAlignment="1">
      <alignment horizontal="center" vertical="center" wrapText="1"/>
    </xf>
    <xf numFmtId="0" fontId="129" fillId="74" borderId="45" xfId="61317" applyFont="1" applyFill="1" applyBorder="1" applyAlignment="1">
      <alignment horizontal="center" vertical="center" wrapText="1"/>
    </xf>
    <xf numFmtId="0" fontId="129" fillId="74" borderId="57" xfId="61317" applyFont="1" applyFill="1" applyBorder="1" applyAlignment="1">
      <alignment horizontal="center" vertical="center" wrapText="1"/>
    </xf>
    <xf numFmtId="0" fontId="55" fillId="74" borderId="39" xfId="61317" applyFont="1" applyFill="1" applyBorder="1" applyAlignment="1">
      <alignment horizontal="center" vertical="center" wrapText="1"/>
    </xf>
    <xf numFmtId="0" fontId="110" fillId="74" borderId="77" xfId="61320" applyFont="1" applyFill="1" applyBorder="1" applyAlignment="1">
      <alignment horizontal="center" vertical="center" wrapText="1"/>
    </xf>
    <xf numFmtId="0" fontId="110" fillId="74" borderId="78" xfId="61320" applyFont="1" applyFill="1" applyBorder="1" applyAlignment="1">
      <alignment horizontal="center" vertical="center" wrapText="1"/>
    </xf>
    <xf numFmtId="3" fontId="110" fillId="74" borderId="70" xfId="61320" applyNumberFormat="1" applyFont="1" applyFill="1" applyBorder="1" applyAlignment="1">
      <alignment horizontal="center" vertical="center" wrapText="1"/>
    </xf>
    <xf numFmtId="3" fontId="110" fillId="74" borderId="74" xfId="61320" applyNumberFormat="1" applyFont="1" applyFill="1" applyBorder="1" applyAlignment="1">
      <alignment horizontal="center" vertical="center" wrapText="1"/>
    </xf>
    <xf numFmtId="3" fontId="110" fillId="74" borderId="73" xfId="61320" applyNumberFormat="1" applyFont="1" applyFill="1" applyBorder="1" applyAlignment="1">
      <alignment horizontal="center" vertical="center" wrapText="1"/>
    </xf>
    <xf numFmtId="3" fontId="110" fillId="74" borderId="0" xfId="61320" applyNumberFormat="1" applyFont="1" applyFill="1" applyBorder="1" applyAlignment="1">
      <alignment horizontal="center" vertical="center" wrapText="1"/>
    </xf>
    <xf numFmtId="0" fontId="110" fillId="74" borderId="38" xfId="61320" applyFont="1" applyFill="1" applyBorder="1" applyAlignment="1">
      <alignment horizontal="center" vertical="center" wrapText="1"/>
    </xf>
    <xf numFmtId="0" fontId="152" fillId="74" borderId="38" xfId="61320" applyFont="1" applyFill="1" applyBorder="1" applyAlignment="1">
      <alignment horizontal="center" vertical="center" wrapText="1"/>
    </xf>
    <xf numFmtId="0" fontId="135" fillId="74" borderId="0" xfId="61320" applyFont="1" applyFill="1" applyAlignment="1">
      <alignment horizontal="center" vertical="center" wrapText="1"/>
    </xf>
    <xf numFmtId="0" fontId="110" fillId="74" borderId="47" xfId="61320" applyFont="1" applyFill="1" applyBorder="1" applyAlignment="1">
      <alignment horizontal="center" vertical="center" wrapText="1"/>
    </xf>
    <xf numFmtId="0" fontId="110" fillId="74" borderId="37" xfId="61320" applyFont="1" applyFill="1" applyBorder="1" applyAlignment="1">
      <alignment horizontal="center" vertical="center" wrapText="1"/>
    </xf>
    <xf numFmtId="0" fontId="110" fillId="74" borderId="46" xfId="61320" applyFont="1" applyFill="1" applyBorder="1" applyAlignment="1">
      <alignment horizontal="center" vertical="center" wrapText="1"/>
    </xf>
    <xf numFmtId="0" fontId="110" fillId="74" borderId="11" xfId="61320" applyFont="1" applyFill="1" applyBorder="1" applyAlignment="1">
      <alignment horizontal="center" vertical="center" wrapText="1"/>
    </xf>
    <xf numFmtId="3" fontId="110" fillId="74" borderId="46" xfId="61320" applyNumberFormat="1" applyFont="1" applyFill="1" applyBorder="1" applyAlignment="1">
      <alignment horizontal="center" vertical="center" wrapText="1"/>
    </xf>
    <xf numFmtId="3" fontId="110" fillId="74" borderId="48" xfId="61320" applyNumberFormat="1" applyFont="1" applyFill="1" applyBorder="1" applyAlignment="1">
      <alignment horizontal="center" vertical="center" wrapText="1"/>
    </xf>
    <xf numFmtId="3" fontId="110" fillId="74" borderId="33" xfId="61320" applyNumberFormat="1" applyFont="1" applyFill="1" applyBorder="1" applyAlignment="1">
      <alignment horizontal="center" vertical="center" wrapText="1"/>
    </xf>
    <xf numFmtId="3" fontId="110" fillId="74" borderId="53" xfId="61320" applyNumberFormat="1" applyFont="1" applyFill="1" applyBorder="1" applyAlignment="1">
      <alignment horizontal="center" vertical="center" wrapText="1"/>
    </xf>
    <xf numFmtId="3" fontId="110" fillId="74" borderId="53" xfId="61320" applyNumberFormat="1" applyFont="1" applyFill="1" applyBorder="1" applyAlignment="1">
      <alignment horizontal="center" vertical="center"/>
    </xf>
    <xf numFmtId="3" fontId="110" fillId="74" borderId="47" xfId="61320" applyNumberFormat="1" applyFont="1" applyFill="1" applyBorder="1" applyAlignment="1">
      <alignment horizontal="center" vertical="center" wrapText="1"/>
    </xf>
    <xf numFmtId="0" fontId="152" fillId="74" borderId="46" xfId="61320" applyFont="1" applyFill="1" applyBorder="1" applyAlignment="1">
      <alignment horizontal="center" vertical="center" wrapText="1"/>
    </xf>
    <xf numFmtId="0" fontId="152" fillId="74" borderId="49" xfId="61320" applyFont="1" applyFill="1" applyBorder="1" applyAlignment="1">
      <alignment horizontal="center" vertical="center" wrapText="1"/>
    </xf>
    <xf numFmtId="3" fontId="110" fillId="74" borderId="11" xfId="61320" applyNumberFormat="1" applyFont="1" applyFill="1" applyBorder="1" applyAlignment="1">
      <alignment horizontal="center" vertical="center" wrapText="1"/>
    </xf>
    <xf numFmtId="0" fontId="152" fillId="74" borderId="11" xfId="61320" applyFont="1" applyFill="1" applyBorder="1" applyAlignment="1">
      <alignment horizontal="center" vertical="center" wrapText="1"/>
    </xf>
    <xf numFmtId="3" fontId="110" fillId="74" borderId="15" xfId="61320" applyNumberFormat="1" applyFont="1" applyFill="1" applyBorder="1" applyAlignment="1">
      <alignment horizontal="center" vertical="center" wrapText="1"/>
    </xf>
    <xf numFmtId="0" fontId="152" fillId="74" borderId="15" xfId="61320" applyFont="1" applyFill="1" applyBorder="1" applyAlignment="1">
      <alignment horizontal="center" vertical="center" wrapText="1"/>
    </xf>
    <xf numFmtId="3" fontId="110" fillId="74" borderId="37" xfId="61320" applyNumberFormat="1" applyFont="1" applyFill="1" applyBorder="1" applyAlignment="1">
      <alignment horizontal="center" vertical="center" wrapText="1"/>
    </xf>
    <xf numFmtId="0" fontId="152" fillId="74" borderId="37" xfId="61320" applyFont="1" applyFill="1" applyBorder="1" applyAlignment="1">
      <alignment horizontal="center" vertical="center" wrapText="1"/>
    </xf>
    <xf numFmtId="3" fontId="153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53" fillId="0" borderId="30" xfId="0" applyNumberFormat="1" applyFont="1" applyFill="1" applyBorder="1" applyAlignment="1">
      <alignment horizontal="center" vertical="center" wrapText="1"/>
    </xf>
    <xf numFmtId="3" fontId="153" fillId="0" borderId="14" xfId="0" applyNumberFormat="1" applyFont="1" applyFill="1" applyBorder="1" applyAlignment="1">
      <alignment horizontal="center" vertical="center" wrapText="1"/>
    </xf>
    <xf numFmtId="3" fontId="153" fillId="0" borderId="30" xfId="0" applyNumberFormat="1" applyFont="1" applyFill="1" applyBorder="1" applyAlignment="1" applyProtection="1">
      <alignment horizontal="center" vertical="center" wrapText="1"/>
      <protection locked="0"/>
    </xf>
    <xf numFmtId="3" fontId="153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54" fillId="0" borderId="30" xfId="0" applyNumberFormat="1" applyFont="1" applyFill="1" applyBorder="1" applyAlignment="1">
      <alignment horizontal="center" vertical="center"/>
    </xf>
    <xf numFmtId="3" fontId="154" fillId="0" borderId="14" xfId="0" applyNumberFormat="1" applyFont="1" applyFill="1" applyBorder="1" applyAlignment="1">
      <alignment horizontal="center" vertical="center"/>
    </xf>
    <xf numFmtId="0" fontId="128" fillId="0" borderId="0" xfId="0" applyFont="1" applyFill="1" applyAlignment="1">
      <alignment horizontal="center" vertical="center"/>
    </xf>
    <xf numFmtId="0" fontId="47" fillId="0" borderId="15" xfId="0" applyFont="1" applyFill="1" applyBorder="1" applyAlignment="1" applyProtection="1">
      <alignment horizontal="center" vertical="center" wrapText="1"/>
      <protection locked="0"/>
    </xf>
    <xf numFmtId="0" fontId="47" fillId="0" borderId="30" xfId="0" applyFont="1" applyFill="1" applyBorder="1" applyAlignment="1" applyProtection="1">
      <alignment horizontal="center" vertical="center" wrapText="1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4" xfId="0" applyFont="1" applyFill="1" applyBorder="1" applyAlignment="1">
      <alignment horizontal="center" vertical="center" wrapText="1"/>
    </xf>
    <xf numFmtId="0" fontId="47" fillId="0" borderId="30" xfId="0" applyFont="1" applyFill="1" applyBorder="1" applyAlignment="1" applyProtection="1">
      <alignment horizontal="center" vertical="center"/>
      <protection locked="0"/>
    </xf>
    <xf numFmtId="0" fontId="47" fillId="0" borderId="12" xfId="0" applyFont="1" applyFill="1" applyBorder="1" applyAlignment="1" applyProtection="1">
      <alignment horizontal="center" vertical="center"/>
      <protection locked="0"/>
    </xf>
    <xf numFmtId="0" fontId="47" fillId="0" borderId="14" xfId="0" applyFont="1" applyFill="1" applyBorder="1" applyAlignment="1" applyProtection="1">
      <alignment horizontal="center" vertical="center"/>
      <protection locked="0"/>
    </xf>
    <xf numFmtId="3" fontId="50" fillId="0" borderId="30" xfId="0" applyNumberFormat="1" applyFont="1" applyFill="1" applyBorder="1" applyAlignment="1">
      <alignment horizontal="center" vertical="center" wrapText="1"/>
    </xf>
    <xf numFmtId="3" fontId="50" fillId="0" borderId="12" xfId="0" applyNumberFormat="1" applyFont="1" applyFill="1" applyBorder="1" applyAlignment="1">
      <alignment horizontal="center" vertical="center" wrapText="1"/>
    </xf>
    <xf numFmtId="3" fontId="50" fillId="0" borderId="14" xfId="0" applyNumberFormat="1" applyFont="1" applyFill="1" applyBorder="1" applyAlignment="1">
      <alignment horizontal="center" vertical="center" wrapText="1"/>
    </xf>
    <xf numFmtId="3" fontId="50" fillId="0" borderId="15" xfId="0" applyNumberFormat="1" applyFont="1" applyFill="1" applyBorder="1" applyAlignment="1" applyProtection="1">
      <alignment horizontal="center" vertical="center"/>
      <protection locked="0"/>
    </xf>
    <xf numFmtId="3" fontId="50" fillId="0" borderId="68" xfId="0" applyNumberFormat="1" applyFont="1" applyFill="1" applyBorder="1" applyAlignment="1" applyProtection="1">
      <alignment horizontal="center" vertical="center"/>
      <protection locked="0"/>
    </xf>
    <xf numFmtId="3" fontId="50" fillId="0" borderId="69" xfId="0" applyNumberFormat="1" applyFont="1" applyFill="1" applyBorder="1" applyAlignment="1" applyProtection="1">
      <alignment horizontal="center" vertical="center"/>
      <protection locked="0"/>
    </xf>
    <xf numFmtId="0" fontId="50" fillId="0" borderId="11" xfId="0" applyFont="1" applyFill="1" applyBorder="1" applyAlignment="1">
      <alignment horizontal="center" vertical="center"/>
    </xf>
    <xf numFmtId="3" fontId="47" fillId="0" borderId="65" xfId="0" applyNumberFormat="1" applyFont="1" applyFill="1" applyBorder="1" applyAlignment="1" applyProtection="1">
      <alignment horizontal="center" vertical="center" wrapText="1"/>
      <protection locked="0"/>
    </xf>
    <xf numFmtId="3" fontId="47" fillId="0" borderId="61" xfId="0" applyNumberFormat="1" applyFont="1" applyFill="1" applyBorder="1" applyAlignment="1" applyProtection="1">
      <alignment horizontal="center" vertical="center" wrapText="1"/>
      <protection locked="0"/>
    </xf>
    <xf numFmtId="3" fontId="47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47" fillId="0" borderId="32" xfId="0" applyNumberFormat="1" applyFont="1" applyFill="1" applyBorder="1" applyAlignment="1" applyProtection="1">
      <alignment horizontal="center" vertical="center" wrapText="1"/>
      <protection locked="0"/>
    </xf>
    <xf numFmtId="3" fontId="47" fillId="0" borderId="11" xfId="0" applyNumberFormat="1" applyFont="1" applyFill="1" applyBorder="1" applyAlignment="1" applyProtection="1">
      <alignment horizontal="center" vertical="center"/>
      <protection locked="0"/>
    </xf>
    <xf numFmtId="3" fontId="50" fillId="0" borderId="30" xfId="0" applyNumberFormat="1" applyFont="1" applyFill="1" applyBorder="1" applyAlignment="1">
      <alignment horizontal="center" vertical="center"/>
    </xf>
    <xf numFmtId="3" fontId="50" fillId="0" borderId="12" xfId="0" applyNumberFormat="1" applyFont="1" applyFill="1" applyBorder="1" applyAlignment="1">
      <alignment horizontal="center" vertical="center"/>
    </xf>
    <xf numFmtId="3" fontId="50" fillId="0" borderId="14" xfId="0" applyNumberFormat="1" applyFont="1" applyFill="1" applyBorder="1" applyAlignment="1">
      <alignment horizontal="center" vertical="center"/>
    </xf>
    <xf numFmtId="0" fontId="47" fillId="0" borderId="65" xfId="0" applyFont="1" applyFill="1" applyBorder="1" applyAlignment="1">
      <alignment horizontal="center" vertical="center" wrapText="1"/>
    </xf>
    <xf numFmtId="0" fontId="47" fillId="0" borderId="62" xfId="0" applyFont="1" applyFill="1" applyBorder="1" applyAlignment="1">
      <alignment horizontal="center" vertical="center" wrapText="1"/>
    </xf>
    <xf numFmtId="0" fontId="47" fillId="0" borderId="61" xfId="0" applyFont="1" applyFill="1" applyBorder="1" applyAlignment="1">
      <alignment horizontal="center" vertical="center" wrapText="1"/>
    </xf>
    <xf numFmtId="0" fontId="47" fillId="0" borderId="13" xfId="0" applyFont="1" applyFill="1" applyBorder="1" applyAlignment="1">
      <alignment horizontal="center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47" fillId="0" borderId="32" xfId="0" applyFont="1" applyFill="1" applyBorder="1" applyAlignment="1">
      <alignment horizontal="center" vertical="center" wrapText="1"/>
    </xf>
    <xf numFmtId="0" fontId="118" fillId="74" borderId="0" xfId="61329" applyFont="1" applyFill="1" applyBorder="1" applyAlignment="1">
      <alignment horizontal="center" vertical="center" wrapText="1"/>
    </xf>
    <xf numFmtId="0" fontId="55" fillId="74" borderId="11" xfId="61329" applyFont="1" applyFill="1" applyBorder="1" applyAlignment="1">
      <alignment horizontal="center" vertical="center" wrapText="1"/>
    </xf>
    <xf numFmtId="0" fontId="129" fillId="74" borderId="11" xfId="61329" applyFont="1" applyFill="1" applyBorder="1" applyAlignment="1">
      <alignment horizontal="center" vertical="center" wrapText="1"/>
    </xf>
    <xf numFmtId="0" fontId="48" fillId="0" borderId="11" xfId="58585" applyFont="1" applyFill="1" applyBorder="1" applyAlignment="1">
      <alignment horizontal="center" vertical="center"/>
    </xf>
    <xf numFmtId="3" fontId="51" fillId="74" borderId="11" xfId="58585" applyNumberFormat="1" applyFont="1" applyFill="1" applyBorder="1" applyAlignment="1">
      <alignment horizontal="center" vertical="center" wrapText="1"/>
    </xf>
    <xf numFmtId="0" fontId="122" fillId="76" borderId="0" xfId="58585" applyNumberFormat="1" applyFont="1" applyFill="1" applyBorder="1" applyAlignment="1">
      <alignment horizontal="center" vertical="center" wrapText="1"/>
    </xf>
    <xf numFmtId="0" fontId="51" fillId="76" borderId="11" xfId="58585" applyFont="1" applyFill="1" applyBorder="1" applyAlignment="1">
      <alignment horizontal="center" vertical="center" wrapText="1"/>
    </xf>
    <xf numFmtId="0" fontId="51" fillId="74" borderId="11" xfId="58585" applyFont="1" applyFill="1" applyBorder="1" applyAlignment="1">
      <alignment horizontal="center" vertical="center" wrapText="1"/>
    </xf>
    <xf numFmtId="1" fontId="48" fillId="76" borderId="11" xfId="58585" applyNumberFormat="1" applyFont="1" applyFill="1" applyBorder="1" applyAlignment="1">
      <alignment horizontal="center" vertical="center" wrapText="1"/>
    </xf>
  </cellXfs>
  <cellStyles count="61414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2" xfId="61337" xr:uid="{00000000-0005-0000-0000-000002E10000}"/>
    <cellStyle name="Обычный 10 10 10 2 2 2 2" xfId="61357" xr:uid="{00000000-0005-0000-0000-000003E10000}"/>
    <cellStyle name="Обычный 10 10 10 2 2 2 2 2" xfId="61366" xr:uid="{00000000-0005-0000-0000-000004E10000}"/>
    <cellStyle name="Обычный 10 10 10 2 2 2 2 3" xfId="61377" xr:uid="{00000000-0005-0000-0000-000005E10000}"/>
    <cellStyle name="Обычный 10 10 10 2 2 2 2 4" xfId="61386" xr:uid="{00000000-0005-0000-0000-000006E10000}"/>
    <cellStyle name="Обычный 10 10 10 2 2 2 2 5" xfId="61398" xr:uid="{00000000-0005-0000-0000-000007E10000}"/>
    <cellStyle name="Обычный 10 10 10 2 2 2 2 6" xfId="61411" xr:uid="{00000000-0005-0000-0000-000008E10000}"/>
    <cellStyle name="Обычный 10 10 10 2 2 3" xfId="61345" xr:uid="{00000000-0005-0000-0000-000009E10000}"/>
    <cellStyle name="Обычный 10 10 10 2 2 4" xfId="61355" xr:uid="{00000000-0005-0000-0000-00000AE10000}"/>
    <cellStyle name="Обычный 10 10 10 2 2 5" xfId="61364" xr:uid="{00000000-0005-0000-0000-00000BE10000}"/>
    <cellStyle name="Обычный 10 10 10 2 2 6" xfId="61375" xr:uid="{00000000-0005-0000-0000-00000CE10000}"/>
    <cellStyle name="Обычный 10 10 10 2 2 7" xfId="61382" xr:uid="{00000000-0005-0000-0000-00000DE10000}"/>
    <cellStyle name="Обычный 10 10 10 2 2 8" xfId="61394" xr:uid="{00000000-0005-0000-0000-00000EE10000}"/>
    <cellStyle name="Обычный 10 10 10 2 2 9" xfId="61407" xr:uid="{00000000-0005-0000-0000-00000FE10000}"/>
    <cellStyle name="Обычный 10 10 10 3" xfId="57603" xr:uid="{00000000-0005-0000-0000-000010E10000}"/>
    <cellStyle name="Обычный 10 10 11" xfId="57604" xr:uid="{00000000-0005-0000-0000-000011E10000}"/>
    <cellStyle name="Обычный 10 10 12" xfId="57605" xr:uid="{00000000-0005-0000-0000-000012E10000}"/>
    <cellStyle name="Обычный 10 10 13" xfId="61333" xr:uid="{00000000-0005-0000-0000-000013E10000}"/>
    <cellStyle name="Обычный 10 10 14" xfId="61332" xr:uid="{00000000-0005-0000-0000-000014E10000}"/>
    <cellStyle name="Обычный 10 10 14 2" xfId="61344" xr:uid="{00000000-0005-0000-0000-000015E10000}"/>
    <cellStyle name="Обычный 10 10 14 3" xfId="61354" xr:uid="{00000000-0005-0000-0000-000016E10000}"/>
    <cellStyle name="Обычный 10 10 14 4" xfId="61363" xr:uid="{00000000-0005-0000-0000-000017E10000}"/>
    <cellStyle name="Обычный 10 10 14 5" xfId="61374" xr:uid="{00000000-0005-0000-0000-000018E10000}"/>
    <cellStyle name="Обычный 10 10 14 6" xfId="61381" xr:uid="{00000000-0005-0000-0000-000019E10000}"/>
    <cellStyle name="Обычный 10 10 14 7" xfId="61393" xr:uid="{00000000-0005-0000-0000-00001AE10000}"/>
    <cellStyle name="Обычный 10 10 14 8" xfId="61406" xr:uid="{00000000-0005-0000-0000-00001BE10000}"/>
    <cellStyle name="Обычный 10 10 19" xfId="61294" xr:uid="{00000000-0005-0000-0000-00001CE10000}"/>
    <cellStyle name="Обычный 10 10 19 2" xfId="61299" xr:uid="{00000000-0005-0000-0000-00001DE10000}"/>
    <cellStyle name="Обычный 10 10 2" xfId="57606" xr:uid="{00000000-0005-0000-0000-00001EE10000}"/>
    <cellStyle name="Обычный 10 10 2 2" xfId="57607" xr:uid="{00000000-0005-0000-0000-00001FE10000}"/>
    <cellStyle name="Обычный 10 10 2 3" xfId="57608" xr:uid="{00000000-0005-0000-0000-000020E10000}"/>
    <cellStyle name="Обычный 10 10 3" xfId="57609" xr:uid="{00000000-0005-0000-0000-000021E10000}"/>
    <cellStyle name="Обычный 10 10 3 2" xfId="57610" xr:uid="{00000000-0005-0000-0000-000022E10000}"/>
    <cellStyle name="Обычный 10 10 3 3" xfId="57611" xr:uid="{00000000-0005-0000-0000-000023E10000}"/>
    <cellStyle name="Обычный 10 10 3 3 2" xfId="57612" xr:uid="{00000000-0005-0000-0000-000024E10000}"/>
    <cellStyle name="Обычный 10 10 3 3 3" xfId="57613" xr:uid="{00000000-0005-0000-0000-000025E10000}"/>
    <cellStyle name="Обычный 10 10 3 3 4" xfId="57614" xr:uid="{00000000-0005-0000-0000-000026E10000}"/>
    <cellStyle name="Обычный 10 10 3 3 5" xfId="57615" xr:uid="{00000000-0005-0000-0000-000027E10000}"/>
    <cellStyle name="Обычный 10 10 3 3 6" xfId="61320" xr:uid="{00000000-0005-0000-0000-000028E10000}"/>
    <cellStyle name="Обычный 10 10 3 3 6 2" xfId="61330" xr:uid="{00000000-0005-0000-0000-000029E10000}"/>
    <cellStyle name="Обычный 10 10 4" xfId="57616" xr:uid="{00000000-0005-0000-0000-00002AE10000}"/>
    <cellStyle name="Обычный 10 10 5" xfId="57617" xr:uid="{00000000-0005-0000-0000-00002BE10000}"/>
    <cellStyle name="Обычный 10 10 6" xfId="57618" xr:uid="{00000000-0005-0000-0000-00002CE10000}"/>
    <cellStyle name="Обычный 10 10 7" xfId="57619" xr:uid="{00000000-0005-0000-0000-00002DE10000}"/>
    <cellStyle name="Обычный 10 10 8" xfId="57620" xr:uid="{00000000-0005-0000-0000-00002EE10000}"/>
    <cellStyle name="Обычный 10 10 9" xfId="57621" xr:uid="{00000000-0005-0000-0000-00002FE10000}"/>
    <cellStyle name="Обычный 10 10 9 2" xfId="57622" xr:uid="{00000000-0005-0000-0000-000030E10000}"/>
    <cellStyle name="Обычный 10 11" xfId="57623" xr:uid="{00000000-0005-0000-0000-000031E10000}"/>
    <cellStyle name="Обычный 10 11 2" xfId="57624" xr:uid="{00000000-0005-0000-0000-000032E10000}"/>
    <cellStyle name="Обычный 10 11 2 2" xfId="57625" xr:uid="{00000000-0005-0000-0000-000033E10000}"/>
    <cellStyle name="Обычный 10 11 2 3" xfId="57626" xr:uid="{00000000-0005-0000-0000-000034E10000}"/>
    <cellStyle name="Обычный 10 11 3" xfId="57627" xr:uid="{00000000-0005-0000-0000-000035E10000}"/>
    <cellStyle name="Обычный 10 11 3 2" xfId="57628" xr:uid="{00000000-0005-0000-0000-000036E10000}"/>
    <cellStyle name="Обычный 10 11 3 3" xfId="57629" xr:uid="{00000000-0005-0000-0000-000037E10000}"/>
    <cellStyle name="Обычный 10 11 4" xfId="57630" xr:uid="{00000000-0005-0000-0000-000038E10000}"/>
    <cellStyle name="Обычный 10 11 5" xfId="57631" xr:uid="{00000000-0005-0000-0000-000039E10000}"/>
    <cellStyle name="Обычный 10 12" xfId="57632" xr:uid="{00000000-0005-0000-0000-00003AE10000}"/>
    <cellStyle name="Обычный 10 12 2" xfId="57633" xr:uid="{00000000-0005-0000-0000-00003BE10000}"/>
    <cellStyle name="Обычный 10 12 2 2" xfId="57634" xr:uid="{00000000-0005-0000-0000-00003CE10000}"/>
    <cellStyle name="Обычный 10 12 2 3" xfId="57635" xr:uid="{00000000-0005-0000-0000-00003DE10000}"/>
    <cellStyle name="Обычный 10 12 3" xfId="57636" xr:uid="{00000000-0005-0000-0000-00003EE10000}"/>
    <cellStyle name="Обычный 10 12 3 2" xfId="57637" xr:uid="{00000000-0005-0000-0000-00003FE10000}"/>
    <cellStyle name="Обычный 10 12 3 3" xfId="57638" xr:uid="{00000000-0005-0000-0000-000040E10000}"/>
    <cellStyle name="Обычный 10 12 4" xfId="57639" xr:uid="{00000000-0005-0000-0000-000041E10000}"/>
    <cellStyle name="Обычный 10 12 5" xfId="57640" xr:uid="{00000000-0005-0000-0000-000042E10000}"/>
    <cellStyle name="Обычный 10 13" xfId="57641" xr:uid="{00000000-0005-0000-0000-000043E10000}"/>
    <cellStyle name="Обычный 10 13 2" xfId="57642" xr:uid="{00000000-0005-0000-0000-000044E10000}"/>
    <cellStyle name="Обычный 10 13 2 2" xfId="57643" xr:uid="{00000000-0005-0000-0000-000045E10000}"/>
    <cellStyle name="Обычный 10 13 2 3" xfId="57644" xr:uid="{00000000-0005-0000-0000-000046E10000}"/>
    <cellStyle name="Обычный 10 13 3" xfId="57645" xr:uid="{00000000-0005-0000-0000-000047E10000}"/>
    <cellStyle name="Обычный 10 13 3 2" xfId="57646" xr:uid="{00000000-0005-0000-0000-000048E10000}"/>
    <cellStyle name="Обычный 10 13 3 3" xfId="57647" xr:uid="{00000000-0005-0000-0000-000049E10000}"/>
    <cellStyle name="Обычный 10 13 4" xfId="57648" xr:uid="{00000000-0005-0000-0000-00004AE10000}"/>
    <cellStyle name="Обычный 10 13 5" xfId="57649" xr:uid="{00000000-0005-0000-0000-00004BE10000}"/>
    <cellStyle name="Обычный 10 14" xfId="57650" xr:uid="{00000000-0005-0000-0000-00004CE10000}"/>
    <cellStyle name="Обычный 10 14 2" xfId="57651" xr:uid="{00000000-0005-0000-0000-00004DE10000}"/>
    <cellStyle name="Обычный 10 14 2 2" xfId="57652" xr:uid="{00000000-0005-0000-0000-00004EE10000}"/>
    <cellStyle name="Обычный 10 14 2 3" xfId="57653" xr:uid="{00000000-0005-0000-0000-00004FE10000}"/>
    <cellStyle name="Обычный 10 14 3" xfId="57654" xr:uid="{00000000-0005-0000-0000-000050E10000}"/>
    <cellStyle name="Обычный 10 14 3 2" xfId="57655" xr:uid="{00000000-0005-0000-0000-000051E10000}"/>
    <cellStyle name="Обычный 10 14 3 3" xfId="57656" xr:uid="{00000000-0005-0000-0000-000052E10000}"/>
    <cellStyle name="Обычный 10 14 4" xfId="57657" xr:uid="{00000000-0005-0000-0000-000053E10000}"/>
    <cellStyle name="Обычный 10 14 5" xfId="57658" xr:uid="{00000000-0005-0000-0000-000054E10000}"/>
    <cellStyle name="Обычный 10 15" xfId="57659" xr:uid="{00000000-0005-0000-0000-000055E10000}"/>
    <cellStyle name="Обычный 10 15 2" xfId="57660" xr:uid="{00000000-0005-0000-0000-000056E10000}"/>
    <cellStyle name="Обычный 10 15 2 2" xfId="57661" xr:uid="{00000000-0005-0000-0000-000057E10000}"/>
    <cellStyle name="Обычный 10 15 2 3" xfId="57662" xr:uid="{00000000-0005-0000-0000-000058E10000}"/>
    <cellStyle name="Обычный 10 15 3" xfId="57663" xr:uid="{00000000-0005-0000-0000-000059E10000}"/>
    <cellStyle name="Обычный 10 15 3 2" xfId="57664" xr:uid="{00000000-0005-0000-0000-00005AE10000}"/>
    <cellStyle name="Обычный 10 15 3 3" xfId="57665" xr:uid="{00000000-0005-0000-0000-00005BE10000}"/>
    <cellStyle name="Обычный 10 15 4" xfId="57666" xr:uid="{00000000-0005-0000-0000-00005CE10000}"/>
    <cellStyle name="Обычный 10 15 5" xfId="57667" xr:uid="{00000000-0005-0000-0000-00005DE10000}"/>
    <cellStyle name="Обычный 10 16" xfId="57668" xr:uid="{00000000-0005-0000-0000-00005EE10000}"/>
    <cellStyle name="Обычный 10 16 2" xfId="57669" xr:uid="{00000000-0005-0000-0000-00005FE10000}"/>
    <cellStyle name="Обычный 10 16 2 2" xfId="57670" xr:uid="{00000000-0005-0000-0000-000060E10000}"/>
    <cellStyle name="Обычный 10 16 2 3" xfId="57671" xr:uid="{00000000-0005-0000-0000-000061E10000}"/>
    <cellStyle name="Обычный 10 16 3" xfId="57672" xr:uid="{00000000-0005-0000-0000-000062E10000}"/>
    <cellStyle name="Обычный 10 16 3 2" xfId="57673" xr:uid="{00000000-0005-0000-0000-000063E10000}"/>
    <cellStyle name="Обычный 10 16 3 3" xfId="57674" xr:uid="{00000000-0005-0000-0000-000064E10000}"/>
    <cellStyle name="Обычный 10 16 4" xfId="57675" xr:uid="{00000000-0005-0000-0000-000065E10000}"/>
    <cellStyle name="Обычный 10 16 5" xfId="57676" xr:uid="{00000000-0005-0000-0000-000066E10000}"/>
    <cellStyle name="Обычный 10 17" xfId="57677" xr:uid="{00000000-0005-0000-0000-000067E10000}"/>
    <cellStyle name="Обычный 10 17 2" xfId="57678" xr:uid="{00000000-0005-0000-0000-000068E10000}"/>
    <cellStyle name="Обычный 10 17 2 2" xfId="57679" xr:uid="{00000000-0005-0000-0000-000069E10000}"/>
    <cellStyle name="Обычный 10 17 2 3" xfId="57680" xr:uid="{00000000-0005-0000-0000-00006AE10000}"/>
    <cellStyle name="Обычный 10 17 3" xfId="57681" xr:uid="{00000000-0005-0000-0000-00006BE10000}"/>
    <cellStyle name="Обычный 10 17 3 2" xfId="57682" xr:uid="{00000000-0005-0000-0000-00006CE10000}"/>
    <cellStyle name="Обычный 10 17 3 3" xfId="57683" xr:uid="{00000000-0005-0000-0000-00006DE10000}"/>
    <cellStyle name="Обычный 10 17 4" xfId="57684" xr:uid="{00000000-0005-0000-0000-00006EE10000}"/>
    <cellStyle name="Обычный 10 17 5" xfId="57685" xr:uid="{00000000-0005-0000-0000-00006FE10000}"/>
    <cellStyle name="Обычный 10 18" xfId="57686" xr:uid="{00000000-0005-0000-0000-000070E10000}"/>
    <cellStyle name="Обычный 10 18 2" xfId="57687" xr:uid="{00000000-0005-0000-0000-000071E10000}"/>
    <cellStyle name="Обычный 10 18 3" xfId="57688" xr:uid="{00000000-0005-0000-0000-000072E10000}"/>
    <cellStyle name="Обычный 10 19" xfId="57689" xr:uid="{00000000-0005-0000-0000-000073E10000}"/>
    <cellStyle name="Обычный 10 19 2" xfId="57690" xr:uid="{00000000-0005-0000-0000-000074E10000}"/>
    <cellStyle name="Обычный 10 19 3" xfId="57691" xr:uid="{00000000-0005-0000-0000-000075E10000}"/>
    <cellStyle name="Обычный 10 2" xfId="57692" xr:uid="{00000000-0005-0000-0000-000076E10000}"/>
    <cellStyle name="Обычный 10 2 2" xfId="57693" xr:uid="{00000000-0005-0000-0000-000077E10000}"/>
    <cellStyle name="Обычный 10 2 3" xfId="57694" xr:uid="{00000000-0005-0000-0000-000078E10000}"/>
    <cellStyle name="Обычный 10 2 4" xfId="57695" xr:uid="{00000000-0005-0000-0000-000079E10000}"/>
    <cellStyle name="Обычный 10 20" xfId="57696" xr:uid="{00000000-0005-0000-0000-00007AE10000}"/>
    <cellStyle name="Обычный 10 21" xfId="57697" xr:uid="{00000000-0005-0000-0000-00007BE10000}"/>
    <cellStyle name="Обычный 10 3" xfId="57698" xr:uid="{00000000-0005-0000-0000-00007CE10000}"/>
    <cellStyle name="Обычный 10 3 2" xfId="57699" xr:uid="{00000000-0005-0000-0000-00007DE10000}"/>
    <cellStyle name="Обычный 10 3 2 2" xfId="57700" xr:uid="{00000000-0005-0000-0000-00007EE10000}"/>
    <cellStyle name="Обычный 10 3 2 2 2" xfId="57701" xr:uid="{00000000-0005-0000-0000-00007FE10000}"/>
    <cellStyle name="Обычный 10 3 2 2 2 2" xfId="57702" xr:uid="{00000000-0005-0000-0000-000080E10000}"/>
    <cellStyle name="Обычный 10 3 2 2 2 3" xfId="57703" xr:uid="{00000000-0005-0000-0000-000081E10000}"/>
    <cellStyle name="Обычный 10 3 2 2 3" xfId="57704" xr:uid="{00000000-0005-0000-0000-000082E10000}"/>
    <cellStyle name="Обычный 10 3 2 2 3 2" xfId="57705" xr:uid="{00000000-0005-0000-0000-000083E10000}"/>
    <cellStyle name="Обычный 10 3 2 2 3 3" xfId="57706" xr:uid="{00000000-0005-0000-0000-000084E10000}"/>
    <cellStyle name="Обычный 10 3 2 2 4" xfId="57707" xr:uid="{00000000-0005-0000-0000-000085E10000}"/>
    <cellStyle name="Обычный 10 3 2 2 5" xfId="57708" xr:uid="{00000000-0005-0000-0000-000086E10000}"/>
    <cellStyle name="Обычный 10 3 2 3" xfId="57709" xr:uid="{00000000-0005-0000-0000-000087E10000}"/>
    <cellStyle name="Обычный 10 3 2 3 2" xfId="57710" xr:uid="{00000000-0005-0000-0000-000088E10000}"/>
    <cellStyle name="Обычный 10 3 2 3 3" xfId="57711" xr:uid="{00000000-0005-0000-0000-000089E10000}"/>
    <cellStyle name="Обычный 10 3 2 4" xfId="57712" xr:uid="{00000000-0005-0000-0000-00008AE10000}"/>
    <cellStyle name="Обычный 10 3 2 4 2" xfId="57713" xr:uid="{00000000-0005-0000-0000-00008BE10000}"/>
    <cellStyle name="Обычный 10 3 2 4 3" xfId="57714" xr:uid="{00000000-0005-0000-0000-00008CE10000}"/>
    <cellStyle name="Обычный 10 3 2 5" xfId="57715" xr:uid="{00000000-0005-0000-0000-00008DE10000}"/>
    <cellStyle name="Обычный 10 3 2 6" xfId="57716" xr:uid="{00000000-0005-0000-0000-00008EE10000}"/>
    <cellStyle name="Обычный 10 3 2_объемы 2018г111" xfId="57717" xr:uid="{00000000-0005-0000-0000-00008FE10000}"/>
    <cellStyle name="Обычный 10 3 3" xfId="57718" xr:uid="{00000000-0005-0000-0000-000090E10000}"/>
    <cellStyle name="Обычный 10 3 3 2" xfId="57719" xr:uid="{00000000-0005-0000-0000-000091E10000}"/>
    <cellStyle name="Обычный 10 3 3 2 2" xfId="57720" xr:uid="{00000000-0005-0000-0000-000092E10000}"/>
    <cellStyle name="Обычный 10 3 3 2 3" xfId="57721" xr:uid="{00000000-0005-0000-0000-000093E10000}"/>
    <cellStyle name="Обычный 10 3 3 3" xfId="57722" xr:uid="{00000000-0005-0000-0000-000094E10000}"/>
    <cellStyle name="Обычный 10 3 3 3 2" xfId="57723" xr:uid="{00000000-0005-0000-0000-000095E10000}"/>
    <cellStyle name="Обычный 10 3 3 3 3" xfId="57724" xr:uid="{00000000-0005-0000-0000-000096E10000}"/>
    <cellStyle name="Обычный 10 3 3 4" xfId="57725" xr:uid="{00000000-0005-0000-0000-000097E10000}"/>
    <cellStyle name="Обычный 10 3 3 5" xfId="57726" xr:uid="{00000000-0005-0000-0000-000098E10000}"/>
    <cellStyle name="Обычный 10 3 4" xfId="57727" xr:uid="{00000000-0005-0000-0000-000099E10000}"/>
    <cellStyle name="Обычный 10 3 4 2" xfId="57728" xr:uid="{00000000-0005-0000-0000-00009AE10000}"/>
    <cellStyle name="Обычный 10 3 4 3" xfId="57729" xr:uid="{00000000-0005-0000-0000-00009BE10000}"/>
    <cellStyle name="Обычный 10 3 5" xfId="57730" xr:uid="{00000000-0005-0000-0000-00009CE10000}"/>
    <cellStyle name="Обычный 10 3 5 2" xfId="57731" xr:uid="{00000000-0005-0000-0000-00009DE10000}"/>
    <cellStyle name="Обычный 10 3 5 3" xfId="57732" xr:uid="{00000000-0005-0000-0000-00009EE10000}"/>
    <cellStyle name="Обычный 10 3 6" xfId="57733" xr:uid="{00000000-0005-0000-0000-00009FE10000}"/>
    <cellStyle name="Обычный 10 3 7" xfId="57734" xr:uid="{00000000-0005-0000-0000-0000A0E10000}"/>
    <cellStyle name="Обычный 10 3_объемы 2018г111" xfId="57735" xr:uid="{00000000-0005-0000-0000-0000A1E10000}"/>
    <cellStyle name="Обычный 10 4" xfId="57736" xr:uid="{00000000-0005-0000-0000-0000A2E10000}"/>
    <cellStyle name="Обычный 10 4 2" xfId="57737" xr:uid="{00000000-0005-0000-0000-0000A3E10000}"/>
    <cellStyle name="Обычный 10 4 2 2" xfId="57738" xr:uid="{00000000-0005-0000-0000-0000A4E10000}"/>
    <cellStyle name="Обычный 10 4 2 2 2" xfId="57739" xr:uid="{00000000-0005-0000-0000-0000A5E10000}"/>
    <cellStyle name="Обычный 10 4 2 2 3" xfId="57740" xr:uid="{00000000-0005-0000-0000-0000A6E10000}"/>
    <cellStyle name="Обычный 10 4 2 3" xfId="57741" xr:uid="{00000000-0005-0000-0000-0000A7E10000}"/>
    <cellStyle name="Обычный 10 4 2 3 2" xfId="57742" xr:uid="{00000000-0005-0000-0000-0000A8E10000}"/>
    <cellStyle name="Обычный 10 4 2 3 3" xfId="57743" xr:uid="{00000000-0005-0000-0000-0000A9E10000}"/>
    <cellStyle name="Обычный 10 4 2 4" xfId="57744" xr:uid="{00000000-0005-0000-0000-0000AAE10000}"/>
    <cellStyle name="Обычный 10 4 2 5" xfId="57745" xr:uid="{00000000-0005-0000-0000-0000ABE10000}"/>
    <cellStyle name="Обычный 10 4 3" xfId="57746" xr:uid="{00000000-0005-0000-0000-0000ACE10000}"/>
    <cellStyle name="Обычный 10 4 3 2" xfId="57747" xr:uid="{00000000-0005-0000-0000-0000ADE10000}"/>
    <cellStyle name="Обычный 10 4 3 3" xfId="57748" xr:uid="{00000000-0005-0000-0000-0000AEE10000}"/>
    <cellStyle name="Обычный 10 4 4" xfId="57749" xr:uid="{00000000-0005-0000-0000-0000AFE10000}"/>
    <cellStyle name="Обычный 10 4 4 2" xfId="57750" xr:uid="{00000000-0005-0000-0000-0000B0E10000}"/>
    <cellStyle name="Обычный 10 4 4 3" xfId="57751" xr:uid="{00000000-0005-0000-0000-0000B1E10000}"/>
    <cellStyle name="Обычный 10 4 5" xfId="57752" xr:uid="{00000000-0005-0000-0000-0000B2E10000}"/>
    <cellStyle name="Обычный 10 4 6" xfId="57753" xr:uid="{00000000-0005-0000-0000-0000B3E10000}"/>
    <cellStyle name="Обычный 10 4_объемы 2018г111" xfId="57754" xr:uid="{00000000-0005-0000-0000-0000B4E10000}"/>
    <cellStyle name="Обычный 10 5" xfId="57755" xr:uid="{00000000-0005-0000-0000-0000B5E10000}"/>
    <cellStyle name="Обычный 10 5 2" xfId="57756" xr:uid="{00000000-0005-0000-0000-0000B6E10000}"/>
    <cellStyle name="Обычный 10 5 2 2" xfId="57757" xr:uid="{00000000-0005-0000-0000-0000B7E10000}"/>
    <cellStyle name="Обычный 10 5 2 3" xfId="57758" xr:uid="{00000000-0005-0000-0000-0000B8E10000}"/>
    <cellStyle name="Обычный 10 5 3" xfId="57759" xr:uid="{00000000-0005-0000-0000-0000B9E10000}"/>
    <cellStyle name="Обычный 10 5 3 2" xfId="57760" xr:uid="{00000000-0005-0000-0000-0000BAE10000}"/>
    <cellStyle name="Обычный 10 5 3 3" xfId="57761" xr:uid="{00000000-0005-0000-0000-0000BBE10000}"/>
    <cellStyle name="Обычный 10 5 4" xfId="57762" xr:uid="{00000000-0005-0000-0000-0000BCE10000}"/>
    <cellStyle name="Обычный 10 5 5" xfId="57763" xr:uid="{00000000-0005-0000-0000-0000BDE10000}"/>
    <cellStyle name="Обычный 10 6" xfId="57764" xr:uid="{00000000-0005-0000-0000-0000BEE10000}"/>
    <cellStyle name="Обычный 10 6 2" xfId="57765" xr:uid="{00000000-0005-0000-0000-0000BFE10000}"/>
    <cellStyle name="Обычный 10 6 2 2" xfId="57766" xr:uid="{00000000-0005-0000-0000-0000C0E10000}"/>
    <cellStyle name="Обычный 10 6 2 3" xfId="57767" xr:uid="{00000000-0005-0000-0000-0000C1E10000}"/>
    <cellStyle name="Обычный 10 6 3" xfId="57768" xr:uid="{00000000-0005-0000-0000-0000C2E10000}"/>
    <cellStyle name="Обычный 10 6 3 2" xfId="57769" xr:uid="{00000000-0005-0000-0000-0000C3E10000}"/>
    <cellStyle name="Обычный 10 6 3 3" xfId="57770" xr:uid="{00000000-0005-0000-0000-0000C4E10000}"/>
    <cellStyle name="Обычный 10 6 4" xfId="57771" xr:uid="{00000000-0005-0000-0000-0000C5E10000}"/>
    <cellStyle name="Обычный 10 6 5" xfId="57772" xr:uid="{00000000-0005-0000-0000-0000C6E10000}"/>
    <cellStyle name="Обычный 10 7" xfId="57773" xr:uid="{00000000-0005-0000-0000-0000C7E10000}"/>
    <cellStyle name="Обычный 10 7 2" xfId="57774" xr:uid="{00000000-0005-0000-0000-0000C8E10000}"/>
    <cellStyle name="Обычный 10 7 2 2" xfId="57775" xr:uid="{00000000-0005-0000-0000-0000C9E10000}"/>
    <cellStyle name="Обычный 10 7 2 3" xfId="57776" xr:uid="{00000000-0005-0000-0000-0000CAE10000}"/>
    <cellStyle name="Обычный 10 7 3" xfId="57777" xr:uid="{00000000-0005-0000-0000-0000CBE10000}"/>
    <cellStyle name="Обычный 10 7 3 2" xfId="57778" xr:uid="{00000000-0005-0000-0000-0000CCE10000}"/>
    <cellStyle name="Обычный 10 7 3 3" xfId="57779" xr:uid="{00000000-0005-0000-0000-0000CDE10000}"/>
    <cellStyle name="Обычный 10 7 4" xfId="57780" xr:uid="{00000000-0005-0000-0000-0000CEE10000}"/>
    <cellStyle name="Обычный 10 7 5" xfId="57781" xr:uid="{00000000-0005-0000-0000-0000CFE10000}"/>
    <cellStyle name="Обычный 10 8" xfId="57782" xr:uid="{00000000-0005-0000-0000-0000D0E10000}"/>
    <cellStyle name="Обычный 10 8 2" xfId="57783" xr:uid="{00000000-0005-0000-0000-0000D1E10000}"/>
    <cellStyle name="Обычный 10 8 2 2" xfId="57784" xr:uid="{00000000-0005-0000-0000-0000D2E10000}"/>
    <cellStyle name="Обычный 10 8 2 3" xfId="57785" xr:uid="{00000000-0005-0000-0000-0000D3E10000}"/>
    <cellStyle name="Обычный 10 8 3" xfId="57786" xr:uid="{00000000-0005-0000-0000-0000D4E10000}"/>
    <cellStyle name="Обычный 10 8 3 2" xfId="57787" xr:uid="{00000000-0005-0000-0000-0000D5E10000}"/>
    <cellStyle name="Обычный 10 8 3 3" xfId="57788" xr:uid="{00000000-0005-0000-0000-0000D6E10000}"/>
    <cellStyle name="Обычный 10 8 4" xfId="57789" xr:uid="{00000000-0005-0000-0000-0000D7E10000}"/>
    <cellStyle name="Обычный 10 8 5" xfId="57790" xr:uid="{00000000-0005-0000-0000-0000D8E10000}"/>
    <cellStyle name="Обычный 10 9" xfId="57791" xr:uid="{00000000-0005-0000-0000-0000D9E10000}"/>
    <cellStyle name="Обычный 10 9 2" xfId="57792" xr:uid="{00000000-0005-0000-0000-0000DAE10000}"/>
    <cellStyle name="Обычный 10 9 2 2" xfId="57793" xr:uid="{00000000-0005-0000-0000-0000DBE10000}"/>
    <cellStyle name="Обычный 10 9 2 3" xfId="57794" xr:uid="{00000000-0005-0000-0000-0000DCE10000}"/>
    <cellStyle name="Обычный 10 9 3" xfId="57795" xr:uid="{00000000-0005-0000-0000-0000DDE10000}"/>
    <cellStyle name="Обычный 10 9 3 2" xfId="57796" xr:uid="{00000000-0005-0000-0000-0000DEE10000}"/>
    <cellStyle name="Обычный 10 9 3 3" xfId="57797" xr:uid="{00000000-0005-0000-0000-0000DFE10000}"/>
    <cellStyle name="Обычный 10 9 4" xfId="57798" xr:uid="{00000000-0005-0000-0000-0000E0E10000}"/>
    <cellStyle name="Обычный 10 9 5" xfId="57799" xr:uid="{00000000-0005-0000-0000-0000E1E10000}"/>
    <cellStyle name="Обычный 10_объемы 2018г111" xfId="57800" xr:uid="{00000000-0005-0000-0000-0000E2E10000}"/>
    <cellStyle name="Обычный 100" xfId="57801" xr:uid="{00000000-0005-0000-0000-0000E3E10000}"/>
    <cellStyle name="Обычный 101" xfId="57802" xr:uid="{00000000-0005-0000-0000-0000E4E10000}"/>
    <cellStyle name="Обычный 102" xfId="57803" xr:uid="{00000000-0005-0000-0000-0000E5E10000}"/>
    <cellStyle name="Обычный 103" xfId="57804" xr:uid="{00000000-0005-0000-0000-0000E6E10000}"/>
    <cellStyle name="Обычный 104" xfId="57805" xr:uid="{00000000-0005-0000-0000-0000E7E10000}"/>
    <cellStyle name="Обычный 105" xfId="57806" xr:uid="{00000000-0005-0000-0000-0000E8E10000}"/>
    <cellStyle name="Обычный 106" xfId="57807" xr:uid="{00000000-0005-0000-0000-0000E9E10000}"/>
    <cellStyle name="Обычный 107" xfId="57808" xr:uid="{00000000-0005-0000-0000-0000EAE10000}"/>
    <cellStyle name="Обычный 108" xfId="57809" xr:uid="{00000000-0005-0000-0000-0000EBE10000}"/>
    <cellStyle name="Обычный 109" xfId="57810" xr:uid="{00000000-0005-0000-0000-0000ECE10000}"/>
    <cellStyle name="Обычный 11" xfId="57811" xr:uid="{00000000-0005-0000-0000-0000EDE10000}"/>
    <cellStyle name="Обычный 11 10" xfId="57812" xr:uid="{00000000-0005-0000-0000-0000EEE10000}"/>
    <cellStyle name="Обычный 11 10 2" xfId="57813" xr:uid="{00000000-0005-0000-0000-0000EFE10000}"/>
    <cellStyle name="Обычный 11 10 2 2" xfId="57814" xr:uid="{00000000-0005-0000-0000-0000F0E10000}"/>
    <cellStyle name="Обычный 11 10 2 3" xfId="57815" xr:uid="{00000000-0005-0000-0000-0000F1E10000}"/>
    <cellStyle name="Обычный 11 10 3" xfId="57816" xr:uid="{00000000-0005-0000-0000-0000F2E10000}"/>
    <cellStyle name="Обычный 11 10 3 2" xfId="57817" xr:uid="{00000000-0005-0000-0000-0000F3E10000}"/>
    <cellStyle name="Обычный 11 10 3 3" xfId="57818" xr:uid="{00000000-0005-0000-0000-0000F4E10000}"/>
    <cellStyle name="Обычный 11 10 4" xfId="57819" xr:uid="{00000000-0005-0000-0000-0000F5E10000}"/>
    <cellStyle name="Обычный 11 10 5" xfId="57820" xr:uid="{00000000-0005-0000-0000-0000F6E10000}"/>
    <cellStyle name="Обычный 11 11" xfId="57821" xr:uid="{00000000-0005-0000-0000-0000F7E10000}"/>
    <cellStyle name="Обычный 11 11 2" xfId="57822" xr:uid="{00000000-0005-0000-0000-0000F8E10000}"/>
    <cellStyle name="Обычный 11 11 2 2" xfId="57823" xr:uid="{00000000-0005-0000-0000-0000F9E10000}"/>
    <cellStyle name="Обычный 11 11 2 3" xfId="57824" xr:uid="{00000000-0005-0000-0000-0000FAE10000}"/>
    <cellStyle name="Обычный 11 11 3" xfId="57825" xr:uid="{00000000-0005-0000-0000-0000FBE10000}"/>
    <cellStyle name="Обычный 11 11 3 2" xfId="57826" xr:uid="{00000000-0005-0000-0000-0000FCE10000}"/>
    <cellStyle name="Обычный 11 11 3 3" xfId="57827" xr:uid="{00000000-0005-0000-0000-0000FDE10000}"/>
    <cellStyle name="Обычный 11 11 4" xfId="57828" xr:uid="{00000000-0005-0000-0000-0000FEE10000}"/>
    <cellStyle name="Обычный 11 11 5" xfId="57829" xr:uid="{00000000-0005-0000-0000-0000FFE10000}"/>
    <cellStyle name="Обычный 11 12" xfId="57830" xr:uid="{00000000-0005-0000-0000-000000E20000}"/>
    <cellStyle name="Обычный 11 12 2" xfId="57831" xr:uid="{00000000-0005-0000-0000-000001E20000}"/>
    <cellStyle name="Обычный 11 12 2 2" xfId="57832" xr:uid="{00000000-0005-0000-0000-000002E20000}"/>
    <cellStyle name="Обычный 11 12 2 3" xfId="57833" xr:uid="{00000000-0005-0000-0000-000003E20000}"/>
    <cellStyle name="Обычный 11 12 3" xfId="57834" xr:uid="{00000000-0005-0000-0000-000004E20000}"/>
    <cellStyle name="Обычный 11 12 3 2" xfId="57835" xr:uid="{00000000-0005-0000-0000-000005E20000}"/>
    <cellStyle name="Обычный 11 12 3 3" xfId="57836" xr:uid="{00000000-0005-0000-0000-000006E20000}"/>
    <cellStyle name="Обычный 11 12 4" xfId="57837" xr:uid="{00000000-0005-0000-0000-000007E20000}"/>
    <cellStyle name="Обычный 11 12 5" xfId="57838" xr:uid="{00000000-0005-0000-0000-000008E20000}"/>
    <cellStyle name="Обычный 11 13" xfId="57839" xr:uid="{00000000-0005-0000-0000-000009E20000}"/>
    <cellStyle name="Обычный 11 13 2" xfId="57840" xr:uid="{00000000-0005-0000-0000-00000AE20000}"/>
    <cellStyle name="Обычный 11 13 2 2" xfId="57841" xr:uid="{00000000-0005-0000-0000-00000BE20000}"/>
    <cellStyle name="Обычный 11 13 2 3" xfId="57842" xr:uid="{00000000-0005-0000-0000-00000CE20000}"/>
    <cellStyle name="Обычный 11 13 3" xfId="57843" xr:uid="{00000000-0005-0000-0000-00000DE20000}"/>
    <cellStyle name="Обычный 11 13 3 2" xfId="57844" xr:uid="{00000000-0005-0000-0000-00000EE20000}"/>
    <cellStyle name="Обычный 11 13 3 3" xfId="57845" xr:uid="{00000000-0005-0000-0000-00000FE20000}"/>
    <cellStyle name="Обычный 11 13 4" xfId="57846" xr:uid="{00000000-0005-0000-0000-000010E20000}"/>
    <cellStyle name="Обычный 11 13 5" xfId="57847" xr:uid="{00000000-0005-0000-0000-000011E20000}"/>
    <cellStyle name="Обычный 11 14" xfId="57848" xr:uid="{00000000-0005-0000-0000-000012E20000}"/>
    <cellStyle name="Обычный 11 14 2" xfId="57849" xr:uid="{00000000-0005-0000-0000-000013E20000}"/>
    <cellStyle name="Обычный 11 14 2 2" xfId="57850" xr:uid="{00000000-0005-0000-0000-000014E20000}"/>
    <cellStyle name="Обычный 11 14 2 3" xfId="57851" xr:uid="{00000000-0005-0000-0000-000015E20000}"/>
    <cellStyle name="Обычный 11 14 3" xfId="57852" xr:uid="{00000000-0005-0000-0000-000016E20000}"/>
    <cellStyle name="Обычный 11 14 3 2" xfId="57853" xr:uid="{00000000-0005-0000-0000-000017E20000}"/>
    <cellStyle name="Обычный 11 14 3 3" xfId="57854" xr:uid="{00000000-0005-0000-0000-000018E20000}"/>
    <cellStyle name="Обычный 11 14 4" xfId="57855" xr:uid="{00000000-0005-0000-0000-000019E20000}"/>
    <cellStyle name="Обычный 11 14 5" xfId="57856" xr:uid="{00000000-0005-0000-0000-00001AE20000}"/>
    <cellStyle name="Обычный 11 15" xfId="57857" xr:uid="{00000000-0005-0000-0000-00001BE20000}"/>
    <cellStyle name="Обычный 11 15 2" xfId="57858" xr:uid="{00000000-0005-0000-0000-00001CE20000}"/>
    <cellStyle name="Обычный 11 15 2 2" xfId="57859" xr:uid="{00000000-0005-0000-0000-00001DE20000}"/>
    <cellStyle name="Обычный 11 15 2 3" xfId="57860" xr:uid="{00000000-0005-0000-0000-00001EE20000}"/>
    <cellStyle name="Обычный 11 15 3" xfId="57861" xr:uid="{00000000-0005-0000-0000-00001FE20000}"/>
    <cellStyle name="Обычный 11 15 3 2" xfId="57862" xr:uid="{00000000-0005-0000-0000-000020E20000}"/>
    <cellStyle name="Обычный 11 15 3 3" xfId="57863" xr:uid="{00000000-0005-0000-0000-000021E20000}"/>
    <cellStyle name="Обычный 11 15 4" xfId="57864" xr:uid="{00000000-0005-0000-0000-000022E20000}"/>
    <cellStyle name="Обычный 11 15 5" xfId="57865" xr:uid="{00000000-0005-0000-0000-000023E20000}"/>
    <cellStyle name="Обычный 11 16" xfId="57866" xr:uid="{00000000-0005-0000-0000-000024E20000}"/>
    <cellStyle name="Обычный 11 16 2" xfId="57867" xr:uid="{00000000-0005-0000-0000-000025E20000}"/>
    <cellStyle name="Обычный 11 16 2 2" xfId="57868" xr:uid="{00000000-0005-0000-0000-000026E20000}"/>
    <cellStyle name="Обычный 11 16 2 3" xfId="57869" xr:uid="{00000000-0005-0000-0000-000027E20000}"/>
    <cellStyle name="Обычный 11 16 3" xfId="57870" xr:uid="{00000000-0005-0000-0000-000028E20000}"/>
    <cellStyle name="Обычный 11 16 3 2" xfId="57871" xr:uid="{00000000-0005-0000-0000-000029E20000}"/>
    <cellStyle name="Обычный 11 16 3 3" xfId="57872" xr:uid="{00000000-0005-0000-0000-00002AE20000}"/>
    <cellStyle name="Обычный 11 16 4" xfId="57873" xr:uid="{00000000-0005-0000-0000-00002BE20000}"/>
    <cellStyle name="Обычный 11 16 5" xfId="57874" xr:uid="{00000000-0005-0000-0000-00002CE20000}"/>
    <cellStyle name="Обычный 11 17" xfId="57875" xr:uid="{00000000-0005-0000-0000-00002DE20000}"/>
    <cellStyle name="Обычный 11 17 2" xfId="57876" xr:uid="{00000000-0005-0000-0000-00002EE20000}"/>
    <cellStyle name="Обычный 11 17 3" xfId="57877" xr:uid="{00000000-0005-0000-0000-00002FE20000}"/>
    <cellStyle name="Обычный 11 18" xfId="57878" xr:uid="{00000000-0005-0000-0000-000030E20000}"/>
    <cellStyle name="Обычный 11 18 2" xfId="57879" xr:uid="{00000000-0005-0000-0000-000031E20000}"/>
    <cellStyle name="Обычный 11 18 3" xfId="57880" xr:uid="{00000000-0005-0000-0000-000032E20000}"/>
    <cellStyle name="Обычный 11 19" xfId="57881" xr:uid="{00000000-0005-0000-0000-000033E20000}"/>
    <cellStyle name="Обычный 11 2" xfId="57882" xr:uid="{00000000-0005-0000-0000-000034E20000}"/>
    <cellStyle name="Обычный 11 2 2" xfId="57883" xr:uid="{00000000-0005-0000-0000-000035E20000}"/>
    <cellStyle name="Обычный 11 2 2 2" xfId="57884" xr:uid="{00000000-0005-0000-0000-000036E20000}"/>
    <cellStyle name="Обычный 11 2 2 2 2" xfId="57885" xr:uid="{00000000-0005-0000-0000-000037E20000}"/>
    <cellStyle name="Обычный 11 2 2 2 2 2" xfId="57886" xr:uid="{00000000-0005-0000-0000-000038E20000}"/>
    <cellStyle name="Обычный 11 2 2 2 2 3" xfId="57887" xr:uid="{00000000-0005-0000-0000-000039E20000}"/>
    <cellStyle name="Обычный 11 2 2 2 3" xfId="57888" xr:uid="{00000000-0005-0000-0000-00003AE20000}"/>
    <cellStyle name="Обычный 11 2 2 2 3 2" xfId="57889" xr:uid="{00000000-0005-0000-0000-00003BE20000}"/>
    <cellStyle name="Обычный 11 2 2 2 3 3" xfId="57890" xr:uid="{00000000-0005-0000-0000-00003CE20000}"/>
    <cellStyle name="Обычный 11 2 2 2 4" xfId="57891" xr:uid="{00000000-0005-0000-0000-00003DE20000}"/>
    <cellStyle name="Обычный 11 2 2 2 5" xfId="57892" xr:uid="{00000000-0005-0000-0000-00003EE20000}"/>
    <cellStyle name="Обычный 11 2 2 3" xfId="57893" xr:uid="{00000000-0005-0000-0000-00003FE20000}"/>
    <cellStyle name="Обычный 11 2 2 3 2" xfId="57894" xr:uid="{00000000-0005-0000-0000-000040E20000}"/>
    <cellStyle name="Обычный 11 2 2 3 3" xfId="57895" xr:uid="{00000000-0005-0000-0000-000041E20000}"/>
    <cellStyle name="Обычный 11 2 2 4" xfId="57896" xr:uid="{00000000-0005-0000-0000-000042E20000}"/>
    <cellStyle name="Обычный 11 2 2 4 2" xfId="57897" xr:uid="{00000000-0005-0000-0000-000043E20000}"/>
    <cellStyle name="Обычный 11 2 2 4 3" xfId="57898" xr:uid="{00000000-0005-0000-0000-000044E20000}"/>
    <cellStyle name="Обычный 11 2 2 5" xfId="57899" xr:uid="{00000000-0005-0000-0000-000045E20000}"/>
    <cellStyle name="Обычный 11 2 2 6" xfId="57900" xr:uid="{00000000-0005-0000-0000-000046E20000}"/>
    <cellStyle name="Обычный 11 2 2_объемы 2018г111" xfId="57901" xr:uid="{00000000-0005-0000-0000-000047E20000}"/>
    <cellStyle name="Обычный 11 2 3" xfId="57902" xr:uid="{00000000-0005-0000-0000-000048E20000}"/>
    <cellStyle name="Обычный 11 2 3 2" xfId="57903" xr:uid="{00000000-0005-0000-0000-000049E20000}"/>
    <cellStyle name="Обычный 11 2 3 2 2" xfId="57904" xr:uid="{00000000-0005-0000-0000-00004AE20000}"/>
    <cellStyle name="Обычный 11 2 3 2 3" xfId="57905" xr:uid="{00000000-0005-0000-0000-00004BE20000}"/>
    <cellStyle name="Обычный 11 2 3 3" xfId="57906" xr:uid="{00000000-0005-0000-0000-00004CE20000}"/>
    <cellStyle name="Обычный 11 2 3 3 2" xfId="57907" xr:uid="{00000000-0005-0000-0000-00004DE20000}"/>
    <cellStyle name="Обычный 11 2 3 3 3" xfId="57908" xr:uid="{00000000-0005-0000-0000-00004EE20000}"/>
    <cellStyle name="Обычный 11 2 3 4" xfId="57909" xr:uid="{00000000-0005-0000-0000-00004FE20000}"/>
    <cellStyle name="Обычный 11 2 3 5" xfId="57910" xr:uid="{00000000-0005-0000-0000-000050E20000}"/>
    <cellStyle name="Обычный 11 2 4" xfId="57911" xr:uid="{00000000-0005-0000-0000-000051E20000}"/>
    <cellStyle name="Обычный 11 2 4 2" xfId="57912" xr:uid="{00000000-0005-0000-0000-000052E20000}"/>
    <cellStyle name="Обычный 11 2 4 3" xfId="57913" xr:uid="{00000000-0005-0000-0000-000053E20000}"/>
    <cellStyle name="Обычный 11 2 5" xfId="57914" xr:uid="{00000000-0005-0000-0000-000054E20000}"/>
    <cellStyle name="Обычный 11 2 5 2" xfId="57915" xr:uid="{00000000-0005-0000-0000-000055E20000}"/>
    <cellStyle name="Обычный 11 2 5 3" xfId="57916" xr:uid="{00000000-0005-0000-0000-000056E20000}"/>
    <cellStyle name="Обычный 11 2 6" xfId="57917" xr:uid="{00000000-0005-0000-0000-000057E20000}"/>
    <cellStyle name="Обычный 11 2 7" xfId="57918" xr:uid="{00000000-0005-0000-0000-000058E20000}"/>
    <cellStyle name="Обычный 11 2_объемы 2018г111" xfId="57919" xr:uid="{00000000-0005-0000-0000-000059E20000}"/>
    <cellStyle name="Обычный 11 20" xfId="57920" xr:uid="{00000000-0005-0000-0000-00005AE20000}"/>
    <cellStyle name="Обычный 11 3" xfId="57921" xr:uid="{00000000-0005-0000-0000-00005BE20000}"/>
    <cellStyle name="Обычный 11 3 2" xfId="57922" xr:uid="{00000000-0005-0000-0000-00005CE20000}"/>
    <cellStyle name="Обычный 11 3 2 2" xfId="57923" xr:uid="{00000000-0005-0000-0000-00005DE20000}"/>
    <cellStyle name="Обычный 11 3 2 2 2" xfId="57924" xr:uid="{00000000-0005-0000-0000-00005EE20000}"/>
    <cellStyle name="Обычный 11 3 2 2 3" xfId="57925" xr:uid="{00000000-0005-0000-0000-00005FE20000}"/>
    <cellStyle name="Обычный 11 3 2 3" xfId="57926" xr:uid="{00000000-0005-0000-0000-000060E20000}"/>
    <cellStyle name="Обычный 11 3 2 3 2" xfId="57927" xr:uid="{00000000-0005-0000-0000-000061E20000}"/>
    <cellStyle name="Обычный 11 3 2 3 3" xfId="57928" xr:uid="{00000000-0005-0000-0000-000062E20000}"/>
    <cellStyle name="Обычный 11 3 2 4" xfId="57929" xr:uid="{00000000-0005-0000-0000-000063E20000}"/>
    <cellStyle name="Обычный 11 3 2 5" xfId="57930" xr:uid="{00000000-0005-0000-0000-000064E20000}"/>
    <cellStyle name="Обычный 11 3 3" xfId="57931" xr:uid="{00000000-0005-0000-0000-000065E20000}"/>
    <cellStyle name="Обычный 11 3 3 2" xfId="57932" xr:uid="{00000000-0005-0000-0000-000066E20000}"/>
    <cellStyle name="Обычный 11 3 3 3" xfId="57933" xr:uid="{00000000-0005-0000-0000-000067E20000}"/>
    <cellStyle name="Обычный 11 3 4" xfId="57934" xr:uid="{00000000-0005-0000-0000-000068E20000}"/>
    <cellStyle name="Обычный 11 3 4 2" xfId="57935" xr:uid="{00000000-0005-0000-0000-000069E20000}"/>
    <cellStyle name="Обычный 11 3 4 3" xfId="57936" xr:uid="{00000000-0005-0000-0000-00006AE20000}"/>
    <cellStyle name="Обычный 11 3 5" xfId="57937" xr:uid="{00000000-0005-0000-0000-00006BE20000}"/>
    <cellStyle name="Обычный 11 3 6" xfId="57938" xr:uid="{00000000-0005-0000-0000-00006CE20000}"/>
    <cellStyle name="Обычный 11 3_объемы 2018г111" xfId="57939" xr:uid="{00000000-0005-0000-0000-00006DE20000}"/>
    <cellStyle name="Обычный 11 4" xfId="57940" xr:uid="{00000000-0005-0000-0000-00006EE20000}"/>
    <cellStyle name="Обычный 11 4 2" xfId="57941" xr:uid="{00000000-0005-0000-0000-00006FE20000}"/>
    <cellStyle name="Обычный 11 4 2 2" xfId="57942" xr:uid="{00000000-0005-0000-0000-000070E20000}"/>
    <cellStyle name="Обычный 11 4 2 3" xfId="57943" xr:uid="{00000000-0005-0000-0000-000071E20000}"/>
    <cellStyle name="Обычный 11 4 3" xfId="57944" xr:uid="{00000000-0005-0000-0000-000072E20000}"/>
    <cellStyle name="Обычный 11 4 3 2" xfId="57945" xr:uid="{00000000-0005-0000-0000-000073E20000}"/>
    <cellStyle name="Обычный 11 4 3 3" xfId="57946" xr:uid="{00000000-0005-0000-0000-000074E20000}"/>
    <cellStyle name="Обычный 11 4 4" xfId="57947" xr:uid="{00000000-0005-0000-0000-000075E20000}"/>
    <cellStyle name="Обычный 11 4 5" xfId="57948" xr:uid="{00000000-0005-0000-0000-000076E20000}"/>
    <cellStyle name="Обычный 11 5" xfId="57949" xr:uid="{00000000-0005-0000-0000-000077E20000}"/>
    <cellStyle name="Обычный 11 5 2" xfId="57950" xr:uid="{00000000-0005-0000-0000-000078E20000}"/>
    <cellStyle name="Обычный 11 5 2 2" xfId="57951" xr:uid="{00000000-0005-0000-0000-000079E20000}"/>
    <cellStyle name="Обычный 11 5 2 3" xfId="57952" xr:uid="{00000000-0005-0000-0000-00007AE20000}"/>
    <cellStyle name="Обычный 11 5 3" xfId="57953" xr:uid="{00000000-0005-0000-0000-00007BE20000}"/>
    <cellStyle name="Обычный 11 5 3 2" xfId="57954" xr:uid="{00000000-0005-0000-0000-00007CE20000}"/>
    <cellStyle name="Обычный 11 5 3 3" xfId="57955" xr:uid="{00000000-0005-0000-0000-00007DE20000}"/>
    <cellStyle name="Обычный 11 5 4" xfId="57956" xr:uid="{00000000-0005-0000-0000-00007EE20000}"/>
    <cellStyle name="Обычный 11 5 5" xfId="57957" xr:uid="{00000000-0005-0000-0000-00007FE20000}"/>
    <cellStyle name="Обычный 11 6" xfId="57958" xr:uid="{00000000-0005-0000-0000-000080E20000}"/>
    <cellStyle name="Обычный 11 6 2" xfId="57959" xr:uid="{00000000-0005-0000-0000-000081E20000}"/>
    <cellStyle name="Обычный 11 6 2 2" xfId="57960" xr:uid="{00000000-0005-0000-0000-000082E20000}"/>
    <cellStyle name="Обычный 11 6 2 3" xfId="57961" xr:uid="{00000000-0005-0000-0000-000083E20000}"/>
    <cellStyle name="Обычный 11 6 3" xfId="57962" xr:uid="{00000000-0005-0000-0000-000084E20000}"/>
    <cellStyle name="Обычный 11 6 3 2" xfId="57963" xr:uid="{00000000-0005-0000-0000-000085E20000}"/>
    <cellStyle name="Обычный 11 6 3 3" xfId="57964" xr:uid="{00000000-0005-0000-0000-000086E20000}"/>
    <cellStyle name="Обычный 11 6 4" xfId="57965" xr:uid="{00000000-0005-0000-0000-000087E20000}"/>
    <cellStyle name="Обычный 11 6 5" xfId="57966" xr:uid="{00000000-0005-0000-0000-000088E20000}"/>
    <cellStyle name="Обычный 11 7" xfId="57967" xr:uid="{00000000-0005-0000-0000-000089E20000}"/>
    <cellStyle name="Обычный 11 7 2" xfId="57968" xr:uid="{00000000-0005-0000-0000-00008AE20000}"/>
    <cellStyle name="Обычный 11 7 2 2" xfId="57969" xr:uid="{00000000-0005-0000-0000-00008BE20000}"/>
    <cellStyle name="Обычный 11 7 2 3" xfId="57970" xr:uid="{00000000-0005-0000-0000-00008CE20000}"/>
    <cellStyle name="Обычный 11 7 3" xfId="57971" xr:uid="{00000000-0005-0000-0000-00008DE20000}"/>
    <cellStyle name="Обычный 11 7 3 2" xfId="57972" xr:uid="{00000000-0005-0000-0000-00008EE20000}"/>
    <cellStyle name="Обычный 11 7 3 3" xfId="57973" xr:uid="{00000000-0005-0000-0000-00008FE20000}"/>
    <cellStyle name="Обычный 11 7 4" xfId="57974" xr:uid="{00000000-0005-0000-0000-000090E20000}"/>
    <cellStyle name="Обычный 11 7 5" xfId="57975" xr:uid="{00000000-0005-0000-0000-000091E20000}"/>
    <cellStyle name="Обычный 11 8" xfId="57976" xr:uid="{00000000-0005-0000-0000-000092E20000}"/>
    <cellStyle name="Обычный 11 8 2" xfId="57977" xr:uid="{00000000-0005-0000-0000-000093E20000}"/>
    <cellStyle name="Обычный 11 8 2 2" xfId="57978" xr:uid="{00000000-0005-0000-0000-000094E20000}"/>
    <cellStyle name="Обычный 11 8 2 3" xfId="57979" xr:uid="{00000000-0005-0000-0000-000095E20000}"/>
    <cellStyle name="Обычный 11 8 3" xfId="57980" xr:uid="{00000000-0005-0000-0000-000096E20000}"/>
    <cellStyle name="Обычный 11 8 3 2" xfId="57981" xr:uid="{00000000-0005-0000-0000-000097E20000}"/>
    <cellStyle name="Обычный 11 8 3 3" xfId="57982" xr:uid="{00000000-0005-0000-0000-000098E20000}"/>
    <cellStyle name="Обычный 11 8 4" xfId="57983" xr:uid="{00000000-0005-0000-0000-000099E20000}"/>
    <cellStyle name="Обычный 11 8 5" xfId="57984" xr:uid="{00000000-0005-0000-0000-00009AE20000}"/>
    <cellStyle name="Обычный 11 9" xfId="57985" xr:uid="{00000000-0005-0000-0000-00009BE20000}"/>
    <cellStyle name="Обычный 11 9 2" xfId="57986" xr:uid="{00000000-0005-0000-0000-00009CE20000}"/>
    <cellStyle name="Обычный 11 9 2 2" xfId="57987" xr:uid="{00000000-0005-0000-0000-00009DE20000}"/>
    <cellStyle name="Обычный 11 9 2 3" xfId="57988" xr:uid="{00000000-0005-0000-0000-00009EE20000}"/>
    <cellStyle name="Обычный 11 9 3" xfId="57989" xr:uid="{00000000-0005-0000-0000-00009FE20000}"/>
    <cellStyle name="Обычный 11 9 3 2" xfId="57990" xr:uid="{00000000-0005-0000-0000-0000A0E20000}"/>
    <cellStyle name="Обычный 11 9 3 3" xfId="57991" xr:uid="{00000000-0005-0000-0000-0000A1E20000}"/>
    <cellStyle name="Обычный 11 9 4" xfId="57992" xr:uid="{00000000-0005-0000-0000-0000A2E20000}"/>
    <cellStyle name="Обычный 11 9 5" xfId="57993" xr:uid="{00000000-0005-0000-0000-0000A3E20000}"/>
    <cellStyle name="Обычный 11_объемы 2018г111" xfId="57994" xr:uid="{00000000-0005-0000-0000-0000A4E20000}"/>
    <cellStyle name="Обычный 110" xfId="57995" xr:uid="{00000000-0005-0000-0000-0000A5E20000}"/>
    <cellStyle name="Обычный 111" xfId="57996" xr:uid="{00000000-0005-0000-0000-0000A6E20000}"/>
    <cellStyle name="Обычный 112" xfId="57997" xr:uid="{00000000-0005-0000-0000-0000A7E20000}"/>
    <cellStyle name="Обычный 113" xfId="57998" xr:uid="{00000000-0005-0000-0000-0000A8E20000}"/>
    <cellStyle name="Обычный 114" xfId="57999" xr:uid="{00000000-0005-0000-0000-0000A9E20000}"/>
    <cellStyle name="Обычный 115" xfId="58000" xr:uid="{00000000-0005-0000-0000-0000AAE20000}"/>
    <cellStyle name="Обычный 116" xfId="58001" xr:uid="{00000000-0005-0000-0000-0000ABE20000}"/>
    <cellStyle name="Обычный 117" xfId="58002" xr:uid="{00000000-0005-0000-0000-0000ACE20000}"/>
    <cellStyle name="Обычный 118" xfId="58003" xr:uid="{00000000-0005-0000-0000-0000ADE20000}"/>
    <cellStyle name="Обычный 119" xfId="58004" xr:uid="{00000000-0005-0000-0000-0000AEE20000}"/>
    <cellStyle name="Обычный 12" xfId="58005" xr:uid="{00000000-0005-0000-0000-0000AFE20000}"/>
    <cellStyle name="Обычный 12 10" xfId="58006" xr:uid="{00000000-0005-0000-0000-0000B0E20000}"/>
    <cellStyle name="Обычный 12 10 2" xfId="58007" xr:uid="{00000000-0005-0000-0000-0000B1E20000}"/>
    <cellStyle name="Обычный 12 10 2 2" xfId="58008" xr:uid="{00000000-0005-0000-0000-0000B2E20000}"/>
    <cellStyle name="Обычный 12 10 2 3" xfId="58009" xr:uid="{00000000-0005-0000-0000-0000B3E20000}"/>
    <cellStyle name="Обычный 12 10 3" xfId="58010" xr:uid="{00000000-0005-0000-0000-0000B4E20000}"/>
    <cellStyle name="Обычный 12 10 3 2" xfId="58011" xr:uid="{00000000-0005-0000-0000-0000B5E20000}"/>
    <cellStyle name="Обычный 12 10 3 3" xfId="58012" xr:uid="{00000000-0005-0000-0000-0000B6E20000}"/>
    <cellStyle name="Обычный 12 10 4" xfId="58013" xr:uid="{00000000-0005-0000-0000-0000B7E20000}"/>
    <cellStyle name="Обычный 12 10 5" xfId="58014" xr:uid="{00000000-0005-0000-0000-0000B8E20000}"/>
    <cellStyle name="Обычный 12 11" xfId="58015" xr:uid="{00000000-0005-0000-0000-0000B9E20000}"/>
    <cellStyle name="Обычный 12 11 2" xfId="58016" xr:uid="{00000000-0005-0000-0000-0000BAE20000}"/>
    <cellStyle name="Обычный 12 11 2 2" xfId="58017" xr:uid="{00000000-0005-0000-0000-0000BBE20000}"/>
    <cellStyle name="Обычный 12 11 2 3" xfId="58018" xr:uid="{00000000-0005-0000-0000-0000BCE20000}"/>
    <cellStyle name="Обычный 12 11 3" xfId="58019" xr:uid="{00000000-0005-0000-0000-0000BDE20000}"/>
    <cellStyle name="Обычный 12 11 3 2" xfId="58020" xr:uid="{00000000-0005-0000-0000-0000BEE20000}"/>
    <cellStyle name="Обычный 12 11 3 3" xfId="58021" xr:uid="{00000000-0005-0000-0000-0000BFE20000}"/>
    <cellStyle name="Обычный 12 11 4" xfId="58022" xr:uid="{00000000-0005-0000-0000-0000C0E20000}"/>
    <cellStyle name="Обычный 12 11 5" xfId="58023" xr:uid="{00000000-0005-0000-0000-0000C1E20000}"/>
    <cellStyle name="Обычный 12 12" xfId="58024" xr:uid="{00000000-0005-0000-0000-0000C2E20000}"/>
    <cellStyle name="Обычный 12 12 2" xfId="58025" xr:uid="{00000000-0005-0000-0000-0000C3E20000}"/>
    <cellStyle name="Обычный 12 12 2 2" xfId="58026" xr:uid="{00000000-0005-0000-0000-0000C4E20000}"/>
    <cellStyle name="Обычный 12 12 2 3" xfId="58027" xr:uid="{00000000-0005-0000-0000-0000C5E20000}"/>
    <cellStyle name="Обычный 12 12 3" xfId="58028" xr:uid="{00000000-0005-0000-0000-0000C6E20000}"/>
    <cellStyle name="Обычный 12 12 3 2" xfId="58029" xr:uid="{00000000-0005-0000-0000-0000C7E20000}"/>
    <cellStyle name="Обычный 12 12 3 3" xfId="58030" xr:uid="{00000000-0005-0000-0000-0000C8E20000}"/>
    <cellStyle name="Обычный 12 12 4" xfId="58031" xr:uid="{00000000-0005-0000-0000-0000C9E20000}"/>
    <cellStyle name="Обычный 12 12 5" xfId="58032" xr:uid="{00000000-0005-0000-0000-0000CAE20000}"/>
    <cellStyle name="Обычный 12 13" xfId="58033" xr:uid="{00000000-0005-0000-0000-0000CBE20000}"/>
    <cellStyle name="Обычный 12 13 2" xfId="58034" xr:uid="{00000000-0005-0000-0000-0000CCE20000}"/>
    <cellStyle name="Обычный 12 13 2 2" xfId="58035" xr:uid="{00000000-0005-0000-0000-0000CDE20000}"/>
    <cellStyle name="Обычный 12 13 2 3" xfId="58036" xr:uid="{00000000-0005-0000-0000-0000CEE20000}"/>
    <cellStyle name="Обычный 12 13 3" xfId="58037" xr:uid="{00000000-0005-0000-0000-0000CFE20000}"/>
    <cellStyle name="Обычный 12 13 3 2" xfId="58038" xr:uid="{00000000-0005-0000-0000-0000D0E20000}"/>
    <cellStyle name="Обычный 12 13 3 3" xfId="58039" xr:uid="{00000000-0005-0000-0000-0000D1E20000}"/>
    <cellStyle name="Обычный 12 13 4" xfId="58040" xr:uid="{00000000-0005-0000-0000-0000D2E20000}"/>
    <cellStyle name="Обычный 12 13 5" xfId="58041" xr:uid="{00000000-0005-0000-0000-0000D3E20000}"/>
    <cellStyle name="Обычный 12 14" xfId="58042" xr:uid="{00000000-0005-0000-0000-0000D4E20000}"/>
    <cellStyle name="Обычный 12 14 2" xfId="58043" xr:uid="{00000000-0005-0000-0000-0000D5E20000}"/>
    <cellStyle name="Обычный 12 14 2 2" xfId="58044" xr:uid="{00000000-0005-0000-0000-0000D6E20000}"/>
    <cellStyle name="Обычный 12 14 2 3" xfId="58045" xr:uid="{00000000-0005-0000-0000-0000D7E20000}"/>
    <cellStyle name="Обычный 12 14 3" xfId="58046" xr:uid="{00000000-0005-0000-0000-0000D8E20000}"/>
    <cellStyle name="Обычный 12 14 3 2" xfId="58047" xr:uid="{00000000-0005-0000-0000-0000D9E20000}"/>
    <cellStyle name="Обычный 12 14 3 3" xfId="58048" xr:uid="{00000000-0005-0000-0000-0000DAE20000}"/>
    <cellStyle name="Обычный 12 14 4" xfId="58049" xr:uid="{00000000-0005-0000-0000-0000DBE20000}"/>
    <cellStyle name="Обычный 12 14 5" xfId="58050" xr:uid="{00000000-0005-0000-0000-0000DCE20000}"/>
    <cellStyle name="Обычный 12 15" xfId="58051" xr:uid="{00000000-0005-0000-0000-0000DDE20000}"/>
    <cellStyle name="Обычный 12 15 2" xfId="58052" xr:uid="{00000000-0005-0000-0000-0000DEE20000}"/>
    <cellStyle name="Обычный 12 15 2 2" xfId="58053" xr:uid="{00000000-0005-0000-0000-0000DFE20000}"/>
    <cellStyle name="Обычный 12 15 2 3" xfId="58054" xr:uid="{00000000-0005-0000-0000-0000E0E20000}"/>
    <cellStyle name="Обычный 12 15 3" xfId="58055" xr:uid="{00000000-0005-0000-0000-0000E1E20000}"/>
    <cellStyle name="Обычный 12 15 3 2" xfId="58056" xr:uid="{00000000-0005-0000-0000-0000E2E20000}"/>
    <cellStyle name="Обычный 12 15 3 3" xfId="58057" xr:uid="{00000000-0005-0000-0000-0000E3E20000}"/>
    <cellStyle name="Обычный 12 15 4" xfId="58058" xr:uid="{00000000-0005-0000-0000-0000E4E20000}"/>
    <cellStyle name="Обычный 12 15 5" xfId="58059" xr:uid="{00000000-0005-0000-0000-0000E5E20000}"/>
    <cellStyle name="Обычный 12 16" xfId="58060" xr:uid="{00000000-0005-0000-0000-0000E6E20000}"/>
    <cellStyle name="Обычный 12 16 2" xfId="58061" xr:uid="{00000000-0005-0000-0000-0000E7E20000}"/>
    <cellStyle name="Обычный 12 16 2 2" xfId="58062" xr:uid="{00000000-0005-0000-0000-0000E8E20000}"/>
    <cellStyle name="Обычный 12 16 2 3" xfId="58063" xr:uid="{00000000-0005-0000-0000-0000E9E20000}"/>
    <cellStyle name="Обычный 12 16 3" xfId="58064" xr:uid="{00000000-0005-0000-0000-0000EAE20000}"/>
    <cellStyle name="Обычный 12 16 3 2" xfId="58065" xr:uid="{00000000-0005-0000-0000-0000EBE20000}"/>
    <cellStyle name="Обычный 12 16 3 3" xfId="58066" xr:uid="{00000000-0005-0000-0000-0000ECE20000}"/>
    <cellStyle name="Обычный 12 16 4" xfId="58067" xr:uid="{00000000-0005-0000-0000-0000EDE20000}"/>
    <cellStyle name="Обычный 12 16 5" xfId="58068" xr:uid="{00000000-0005-0000-0000-0000EEE20000}"/>
    <cellStyle name="Обычный 12 17" xfId="58069" xr:uid="{00000000-0005-0000-0000-0000EFE20000}"/>
    <cellStyle name="Обычный 12 17 2" xfId="58070" xr:uid="{00000000-0005-0000-0000-0000F0E20000}"/>
    <cellStyle name="Обычный 12 17 3" xfId="58071" xr:uid="{00000000-0005-0000-0000-0000F1E20000}"/>
    <cellStyle name="Обычный 12 18" xfId="58072" xr:uid="{00000000-0005-0000-0000-0000F2E20000}"/>
    <cellStyle name="Обычный 12 18 2" xfId="58073" xr:uid="{00000000-0005-0000-0000-0000F3E20000}"/>
    <cellStyle name="Обычный 12 18 3" xfId="58074" xr:uid="{00000000-0005-0000-0000-0000F4E20000}"/>
    <cellStyle name="Обычный 12 19" xfId="58075" xr:uid="{00000000-0005-0000-0000-0000F5E20000}"/>
    <cellStyle name="Обычный 12 2" xfId="58076" xr:uid="{00000000-0005-0000-0000-0000F6E20000}"/>
    <cellStyle name="Обычный 12 2 2" xfId="58077" xr:uid="{00000000-0005-0000-0000-0000F7E20000}"/>
    <cellStyle name="Обычный 12 2 2 2" xfId="58078" xr:uid="{00000000-0005-0000-0000-0000F8E20000}"/>
    <cellStyle name="Обычный 12 2 2 2 2" xfId="58079" xr:uid="{00000000-0005-0000-0000-0000F9E20000}"/>
    <cellStyle name="Обычный 12 2 2 2 2 2" xfId="58080" xr:uid="{00000000-0005-0000-0000-0000FAE20000}"/>
    <cellStyle name="Обычный 12 2 2 2 2 3" xfId="58081" xr:uid="{00000000-0005-0000-0000-0000FBE20000}"/>
    <cellStyle name="Обычный 12 2 2 2 3" xfId="58082" xr:uid="{00000000-0005-0000-0000-0000FCE20000}"/>
    <cellStyle name="Обычный 12 2 2 2 3 2" xfId="58083" xr:uid="{00000000-0005-0000-0000-0000FDE20000}"/>
    <cellStyle name="Обычный 12 2 2 2 3 3" xfId="58084" xr:uid="{00000000-0005-0000-0000-0000FEE20000}"/>
    <cellStyle name="Обычный 12 2 2 2 4" xfId="58085" xr:uid="{00000000-0005-0000-0000-0000FFE20000}"/>
    <cellStyle name="Обычный 12 2 2 2 5" xfId="58086" xr:uid="{00000000-0005-0000-0000-000000E30000}"/>
    <cellStyle name="Обычный 12 2 2 3" xfId="58087" xr:uid="{00000000-0005-0000-0000-000001E30000}"/>
    <cellStyle name="Обычный 12 2 2 3 2" xfId="58088" xr:uid="{00000000-0005-0000-0000-000002E30000}"/>
    <cellStyle name="Обычный 12 2 2 3 3" xfId="58089" xr:uid="{00000000-0005-0000-0000-000003E30000}"/>
    <cellStyle name="Обычный 12 2 2 4" xfId="58090" xr:uid="{00000000-0005-0000-0000-000004E30000}"/>
    <cellStyle name="Обычный 12 2 2 4 2" xfId="58091" xr:uid="{00000000-0005-0000-0000-000005E30000}"/>
    <cellStyle name="Обычный 12 2 2 4 3" xfId="58092" xr:uid="{00000000-0005-0000-0000-000006E30000}"/>
    <cellStyle name="Обычный 12 2 2 5" xfId="58093" xr:uid="{00000000-0005-0000-0000-000007E30000}"/>
    <cellStyle name="Обычный 12 2 2 6" xfId="58094" xr:uid="{00000000-0005-0000-0000-000008E30000}"/>
    <cellStyle name="Обычный 12 2 2_объемы 2018г111" xfId="58095" xr:uid="{00000000-0005-0000-0000-000009E30000}"/>
    <cellStyle name="Обычный 12 2 3" xfId="58096" xr:uid="{00000000-0005-0000-0000-00000AE30000}"/>
    <cellStyle name="Обычный 12 2 3 2" xfId="58097" xr:uid="{00000000-0005-0000-0000-00000BE30000}"/>
    <cellStyle name="Обычный 12 2 3 2 2" xfId="58098" xr:uid="{00000000-0005-0000-0000-00000CE30000}"/>
    <cellStyle name="Обычный 12 2 3 2 3" xfId="58099" xr:uid="{00000000-0005-0000-0000-00000DE30000}"/>
    <cellStyle name="Обычный 12 2 3 3" xfId="58100" xr:uid="{00000000-0005-0000-0000-00000EE30000}"/>
    <cellStyle name="Обычный 12 2 3 3 2" xfId="58101" xr:uid="{00000000-0005-0000-0000-00000FE30000}"/>
    <cellStyle name="Обычный 12 2 3 3 3" xfId="58102" xr:uid="{00000000-0005-0000-0000-000010E30000}"/>
    <cellStyle name="Обычный 12 2 3 4" xfId="58103" xr:uid="{00000000-0005-0000-0000-000011E30000}"/>
    <cellStyle name="Обычный 12 2 3 5" xfId="58104" xr:uid="{00000000-0005-0000-0000-000012E30000}"/>
    <cellStyle name="Обычный 12 2 4" xfId="58105" xr:uid="{00000000-0005-0000-0000-000013E30000}"/>
    <cellStyle name="Обычный 12 2 4 2" xfId="58106" xr:uid="{00000000-0005-0000-0000-000014E30000}"/>
    <cellStyle name="Обычный 12 2 4 3" xfId="58107" xr:uid="{00000000-0005-0000-0000-000015E30000}"/>
    <cellStyle name="Обычный 12 2 5" xfId="58108" xr:uid="{00000000-0005-0000-0000-000016E30000}"/>
    <cellStyle name="Обычный 12 2 5 2" xfId="58109" xr:uid="{00000000-0005-0000-0000-000017E30000}"/>
    <cellStyle name="Обычный 12 2 5 3" xfId="58110" xr:uid="{00000000-0005-0000-0000-000018E30000}"/>
    <cellStyle name="Обычный 12 2 6" xfId="58111" xr:uid="{00000000-0005-0000-0000-000019E30000}"/>
    <cellStyle name="Обычный 12 2 7" xfId="58112" xr:uid="{00000000-0005-0000-0000-00001AE30000}"/>
    <cellStyle name="Обычный 12 2_объемы 2018г111" xfId="58113" xr:uid="{00000000-0005-0000-0000-00001BE30000}"/>
    <cellStyle name="Обычный 12 20" xfId="58114" xr:uid="{00000000-0005-0000-0000-00001CE30000}"/>
    <cellStyle name="Обычный 12 3" xfId="58115" xr:uid="{00000000-0005-0000-0000-00001DE30000}"/>
    <cellStyle name="Обычный 12 3 2" xfId="58116" xr:uid="{00000000-0005-0000-0000-00001EE30000}"/>
    <cellStyle name="Обычный 12 3 2 2" xfId="58117" xr:uid="{00000000-0005-0000-0000-00001FE30000}"/>
    <cellStyle name="Обычный 12 3 2 2 2" xfId="58118" xr:uid="{00000000-0005-0000-0000-000020E30000}"/>
    <cellStyle name="Обычный 12 3 2 2 3" xfId="58119" xr:uid="{00000000-0005-0000-0000-000021E30000}"/>
    <cellStyle name="Обычный 12 3 2 3" xfId="58120" xr:uid="{00000000-0005-0000-0000-000022E30000}"/>
    <cellStyle name="Обычный 12 3 2 3 2" xfId="58121" xr:uid="{00000000-0005-0000-0000-000023E30000}"/>
    <cellStyle name="Обычный 12 3 2 3 3" xfId="58122" xr:uid="{00000000-0005-0000-0000-000024E30000}"/>
    <cellStyle name="Обычный 12 3 2 4" xfId="58123" xr:uid="{00000000-0005-0000-0000-000025E30000}"/>
    <cellStyle name="Обычный 12 3 2 5" xfId="58124" xr:uid="{00000000-0005-0000-0000-000026E30000}"/>
    <cellStyle name="Обычный 12 3 3" xfId="58125" xr:uid="{00000000-0005-0000-0000-000027E30000}"/>
    <cellStyle name="Обычный 12 3 3 2" xfId="58126" xr:uid="{00000000-0005-0000-0000-000028E30000}"/>
    <cellStyle name="Обычный 12 3 3 3" xfId="58127" xr:uid="{00000000-0005-0000-0000-000029E30000}"/>
    <cellStyle name="Обычный 12 3 4" xfId="58128" xr:uid="{00000000-0005-0000-0000-00002AE30000}"/>
    <cellStyle name="Обычный 12 3 4 2" xfId="58129" xr:uid="{00000000-0005-0000-0000-00002BE30000}"/>
    <cellStyle name="Обычный 12 3 4 3" xfId="58130" xr:uid="{00000000-0005-0000-0000-00002CE30000}"/>
    <cellStyle name="Обычный 12 3 5" xfId="58131" xr:uid="{00000000-0005-0000-0000-00002DE30000}"/>
    <cellStyle name="Обычный 12 3 6" xfId="58132" xr:uid="{00000000-0005-0000-0000-00002EE30000}"/>
    <cellStyle name="Обычный 12 3_объемы 2018г111" xfId="58133" xr:uid="{00000000-0005-0000-0000-00002FE30000}"/>
    <cellStyle name="Обычный 12 4" xfId="58134" xr:uid="{00000000-0005-0000-0000-000030E30000}"/>
    <cellStyle name="Обычный 12 4 2" xfId="58135" xr:uid="{00000000-0005-0000-0000-000031E30000}"/>
    <cellStyle name="Обычный 12 4 2 2" xfId="58136" xr:uid="{00000000-0005-0000-0000-000032E30000}"/>
    <cellStyle name="Обычный 12 4 2 3" xfId="58137" xr:uid="{00000000-0005-0000-0000-000033E30000}"/>
    <cellStyle name="Обычный 12 4 3" xfId="58138" xr:uid="{00000000-0005-0000-0000-000034E30000}"/>
    <cellStyle name="Обычный 12 4 3 2" xfId="58139" xr:uid="{00000000-0005-0000-0000-000035E30000}"/>
    <cellStyle name="Обычный 12 4 3 3" xfId="58140" xr:uid="{00000000-0005-0000-0000-000036E30000}"/>
    <cellStyle name="Обычный 12 4 4" xfId="58141" xr:uid="{00000000-0005-0000-0000-000037E30000}"/>
    <cellStyle name="Обычный 12 4 5" xfId="58142" xr:uid="{00000000-0005-0000-0000-000038E30000}"/>
    <cellStyle name="Обычный 12 5" xfId="58143" xr:uid="{00000000-0005-0000-0000-000039E30000}"/>
    <cellStyle name="Обычный 12 5 2" xfId="58144" xr:uid="{00000000-0005-0000-0000-00003AE30000}"/>
    <cellStyle name="Обычный 12 5 2 2" xfId="58145" xr:uid="{00000000-0005-0000-0000-00003BE30000}"/>
    <cellStyle name="Обычный 12 5 2 3" xfId="58146" xr:uid="{00000000-0005-0000-0000-00003CE30000}"/>
    <cellStyle name="Обычный 12 5 3" xfId="58147" xr:uid="{00000000-0005-0000-0000-00003DE30000}"/>
    <cellStyle name="Обычный 12 5 3 2" xfId="58148" xr:uid="{00000000-0005-0000-0000-00003EE30000}"/>
    <cellStyle name="Обычный 12 5 3 3" xfId="58149" xr:uid="{00000000-0005-0000-0000-00003FE30000}"/>
    <cellStyle name="Обычный 12 5 4" xfId="58150" xr:uid="{00000000-0005-0000-0000-000040E30000}"/>
    <cellStyle name="Обычный 12 5 5" xfId="58151" xr:uid="{00000000-0005-0000-0000-000041E30000}"/>
    <cellStyle name="Обычный 12 6" xfId="58152" xr:uid="{00000000-0005-0000-0000-000042E30000}"/>
    <cellStyle name="Обычный 12 6 2" xfId="58153" xr:uid="{00000000-0005-0000-0000-000043E30000}"/>
    <cellStyle name="Обычный 12 6 2 2" xfId="58154" xr:uid="{00000000-0005-0000-0000-000044E30000}"/>
    <cellStyle name="Обычный 12 6 2 3" xfId="58155" xr:uid="{00000000-0005-0000-0000-000045E30000}"/>
    <cellStyle name="Обычный 12 6 3" xfId="58156" xr:uid="{00000000-0005-0000-0000-000046E30000}"/>
    <cellStyle name="Обычный 12 6 3 2" xfId="58157" xr:uid="{00000000-0005-0000-0000-000047E30000}"/>
    <cellStyle name="Обычный 12 6 3 3" xfId="58158" xr:uid="{00000000-0005-0000-0000-000048E30000}"/>
    <cellStyle name="Обычный 12 6 4" xfId="58159" xr:uid="{00000000-0005-0000-0000-000049E30000}"/>
    <cellStyle name="Обычный 12 6 5" xfId="58160" xr:uid="{00000000-0005-0000-0000-00004AE30000}"/>
    <cellStyle name="Обычный 12 7" xfId="58161" xr:uid="{00000000-0005-0000-0000-00004BE30000}"/>
    <cellStyle name="Обычный 12 7 2" xfId="58162" xr:uid="{00000000-0005-0000-0000-00004CE30000}"/>
    <cellStyle name="Обычный 12 7 2 2" xfId="58163" xr:uid="{00000000-0005-0000-0000-00004DE30000}"/>
    <cellStyle name="Обычный 12 7 2 3" xfId="58164" xr:uid="{00000000-0005-0000-0000-00004EE30000}"/>
    <cellStyle name="Обычный 12 7 3" xfId="58165" xr:uid="{00000000-0005-0000-0000-00004FE30000}"/>
    <cellStyle name="Обычный 12 7 3 2" xfId="58166" xr:uid="{00000000-0005-0000-0000-000050E30000}"/>
    <cellStyle name="Обычный 12 7 3 3" xfId="58167" xr:uid="{00000000-0005-0000-0000-000051E30000}"/>
    <cellStyle name="Обычный 12 7 4" xfId="58168" xr:uid="{00000000-0005-0000-0000-000052E30000}"/>
    <cellStyle name="Обычный 12 7 5" xfId="58169" xr:uid="{00000000-0005-0000-0000-000053E30000}"/>
    <cellStyle name="Обычный 12 8" xfId="58170" xr:uid="{00000000-0005-0000-0000-000054E30000}"/>
    <cellStyle name="Обычный 12 8 2" xfId="58171" xr:uid="{00000000-0005-0000-0000-000055E30000}"/>
    <cellStyle name="Обычный 12 8 2 2" xfId="58172" xr:uid="{00000000-0005-0000-0000-000056E30000}"/>
    <cellStyle name="Обычный 12 8 2 3" xfId="58173" xr:uid="{00000000-0005-0000-0000-000057E30000}"/>
    <cellStyle name="Обычный 12 8 3" xfId="58174" xr:uid="{00000000-0005-0000-0000-000058E30000}"/>
    <cellStyle name="Обычный 12 8 3 2" xfId="58175" xr:uid="{00000000-0005-0000-0000-000059E30000}"/>
    <cellStyle name="Обычный 12 8 3 3" xfId="58176" xr:uid="{00000000-0005-0000-0000-00005AE30000}"/>
    <cellStyle name="Обычный 12 8 4" xfId="58177" xr:uid="{00000000-0005-0000-0000-00005BE30000}"/>
    <cellStyle name="Обычный 12 8 5" xfId="58178" xr:uid="{00000000-0005-0000-0000-00005CE30000}"/>
    <cellStyle name="Обычный 12 9" xfId="58179" xr:uid="{00000000-0005-0000-0000-00005DE30000}"/>
    <cellStyle name="Обычный 12 9 2" xfId="58180" xr:uid="{00000000-0005-0000-0000-00005EE30000}"/>
    <cellStyle name="Обычный 12 9 2 2" xfId="58181" xr:uid="{00000000-0005-0000-0000-00005FE30000}"/>
    <cellStyle name="Обычный 12 9 2 3" xfId="58182" xr:uid="{00000000-0005-0000-0000-000060E30000}"/>
    <cellStyle name="Обычный 12 9 3" xfId="58183" xr:uid="{00000000-0005-0000-0000-000061E30000}"/>
    <cellStyle name="Обычный 12 9 3 2" xfId="58184" xr:uid="{00000000-0005-0000-0000-000062E30000}"/>
    <cellStyle name="Обычный 12 9 3 3" xfId="58185" xr:uid="{00000000-0005-0000-0000-000063E30000}"/>
    <cellStyle name="Обычный 12 9 4" xfId="58186" xr:uid="{00000000-0005-0000-0000-000064E30000}"/>
    <cellStyle name="Обычный 12 9 5" xfId="58187" xr:uid="{00000000-0005-0000-0000-000065E30000}"/>
    <cellStyle name="Обычный 12_объемы 2018г111" xfId="58188" xr:uid="{00000000-0005-0000-0000-000066E30000}"/>
    <cellStyle name="Обычный 120" xfId="58189" xr:uid="{00000000-0005-0000-0000-000067E30000}"/>
    <cellStyle name="Обычный 121" xfId="58190" xr:uid="{00000000-0005-0000-0000-000068E30000}"/>
    <cellStyle name="Обычный 122" xfId="58191" xr:uid="{00000000-0005-0000-0000-000069E30000}"/>
    <cellStyle name="Обычный 123" xfId="58192" xr:uid="{00000000-0005-0000-0000-00006AE30000}"/>
    <cellStyle name="Обычный 124" xfId="58193" xr:uid="{00000000-0005-0000-0000-00006BE30000}"/>
    <cellStyle name="Обычный 125" xfId="58194" xr:uid="{00000000-0005-0000-0000-00006CE30000}"/>
    <cellStyle name="Обычный 126" xfId="58195" xr:uid="{00000000-0005-0000-0000-00006DE30000}"/>
    <cellStyle name="Обычный 127" xfId="58196" xr:uid="{00000000-0005-0000-0000-00006EE30000}"/>
    <cellStyle name="Обычный 128" xfId="58197" xr:uid="{00000000-0005-0000-0000-00006FE30000}"/>
    <cellStyle name="Обычный 129" xfId="58198" xr:uid="{00000000-0005-0000-0000-000070E30000}"/>
    <cellStyle name="Обычный 13" xfId="58199" xr:uid="{00000000-0005-0000-0000-000071E30000}"/>
    <cellStyle name="Обычный 13 10" xfId="58200" xr:uid="{00000000-0005-0000-0000-000072E30000}"/>
    <cellStyle name="Обычный 13 10 2" xfId="58201" xr:uid="{00000000-0005-0000-0000-000073E30000}"/>
    <cellStyle name="Обычный 13 10 2 2" xfId="58202" xr:uid="{00000000-0005-0000-0000-000074E30000}"/>
    <cellStyle name="Обычный 13 10 2 3" xfId="58203" xr:uid="{00000000-0005-0000-0000-000075E30000}"/>
    <cellStyle name="Обычный 13 10 3" xfId="58204" xr:uid="{00000000-0005-0000-0000-000076E30000}"/>
    <cellStyle name="Обычный 13 10 3 2" xfId="58205" xr:uid="{00000000-0005-0000-0000-000077E30000}"/>
    <cellStyle name="Обычный 13 10 3 3" xfId="58206" xr:uid="{00000000-0005-0000-0000-000078E30000}"/>
    <cellStyle name="Обычный 13 10 4" xfId="58207" xr:uid="{00000000-0005-0000-0000-000079E30000}"/>
    <cellStyle name="Обычный 13 10 5" xfId="58208" xr:uid="{00000000-0005-0000-0000-00007AE30000}"/>
    <cellStyle name="Обычный 13 11" xfId="58209" xr:uid="{00000000-0005-0000-0000-00007BE30000}"/>
    <cellStyle name="Обычный 13 11 2" xfId="58210" xr:uid="{00000000-0005-0000-0000-00007CE30000}"/>
    <cellStyle name="Обычный 13 11 2 2" xfId="58211" xr:uid="{00000000-0005-0000-0000-00007DE30000}"/>
    <cellStyle name="Обычный 13 11 2 3" xfId="58212" xr:uid="{00000000-0005-0000-0000-00007EE30000}"/>
    <cellStyle name="Обычный 13 11 3" xfId="58213" xr:uid="{00000000-0005-0000-0000-00007FE30000}"/>
    <cellStyle name="Обычный 13 11 3 2" xfId="58214" xr:uid="{00000000-0005-0000-0000-000080E30000}"/>
    <cellStyle name="Обычный 13 11 3 3" xfId="58215" xr:uid="{00000000-0005-0000-0000-000081E30000}"/>
    <cellStyle name="Обычный 13 11 4" xfId="58216" xr:uid="{00000000-0005-0000-0000-000082E30000}"/>
    <cellStyle name="Обычный 13 11 5" xfId="58217" xr:uid="{00000000-0005-0000-0000-000083E30000}"/>
    <cellStyle name="Обычный 13 12" xfId="58218" xr:uid="{00000000-0005-0000-0000-000084E30000}"/>
    <cellStyle name="Обычный 13 12 2" xfId="58219" xr:uid="{00000000-0005-0000-0000-000085E30000}"/>
    <cellStyle name="Обычный 13 12 2 2" xfId="58220" xr:uid="{00000000-0005-0000-0000-000086E30000}"/>
    <cellStyle name="Обычный 13 12 2 3" xfId="58221" xr:uid="{00000000-0005-0000-0000-000087E30000}"/>
    <cellStyle name="Обычный 13 12 3" xfId="58222" xr:uid="{00000000-0005-0000-0000-000088E30000}"/>
    <cellStyle name="Обычный 13 12 3 2" xfId="58223" xr:uid="{00000000-0005-0000-0000-000089E30000}"/>
    <cellStyle name="Обычный 13 12 3 3" xfId="58224" xr:uid="{00000000-0005-0000-0000-00008AE30000}"/>
    <cellStyle name="Обычный 13 12 4" xfId="58225" xr:uid="{00000000-0005-0000-0000-00008BE30000}"/>
    <cellStyle name="Обычный 13 12 5" xfId="58226" xr:uid="{00000000-0005-0000-0000-00008CE30000}"/>
    <cellStyle name="Обычный 13 13" xfId="58227" xr:uid="{00000000-0005-0000-0000-00008DE30000}"/>
    <cellStyle name="Обычный 13 13 2" xfId="58228" xr:uid="{00000000-0005-0000-0000-00008EE30000}"/>
    <cellStyle name="Обычный 13 13 2 2" xfId="58229" xr:uid="{00000000-0005-0000-0000-00008FE30000}"/>
    <cellStyle name="Обычный 13 13 2 3" xfId="58230" xr:uid="{00000000-0005-0000-0000-000090E30000}"/>
    <cellStyle name="Обычный 13 13 3" xfId="58231" xr:uid="{00000000-0005-0000-0000-000091E30000}"/>
    <cellStyle name="Обычный 13 13 3 2" xfId="58232" xr:uid="{00000000-0005-0000-0000-000092E30000}"/>
    <cellStyle name="Обычный 13 13 3 3" xfId="58233" xr:uid="{00000000-0005-0000-0000-000093E30000}"/>
    <cellStyle name="Обычный 13 13 4" xfId="58234" xr:uid="{00000000-0005-0000-0000-000094E30000}"/>
    <cellStyle name="Обычный 13 13 5" xfId="58235" xr:uid="{00000000-0005-0000-0000-000095E30000}"/>
    <cellStyle name="Обычный 13 14" xfId="58236" xr:uid="{00000000-0005-0000-0000-000096E30000}"/>
    <cellStyle name="Обычный 13 14 2" xfId="58237" xr:uid="{00000000-0005-0000-0000-000097E30000}"/>
    <cellStyle name="Обычный 13 14 2 2" xfId="58238" xr:uid="{00000000-0005-0000-0000-000098E30000}"/>
    <cellStyle name="Обычный 13 14 2 3" xfId="58239" xr:uid="{00000000-0005-0000-0000-000099E30000}"/>
    <cellStyle name="Обычный 13 14 3" xfId="58240" xr:uid="{00000000-0005-0000-0000-00009AE30000}"/>
    <cellStyle name="Обычный 13 14 3 2" xfId="58241" xr:uid="{00000000-0005-0000-0000-00009BE30000}"/>
    <cellStyle name="Обычный 13 14 3 3" xfId="58242" xr:uid="{00000000-0005-0000-0000-00009CE30000}"/>
    <cellStyle name="Обычный 13 14 4" xfId="58243" xr:uid="{00000000-0005-0000-0000-00009DE30000}"/>
    <cellStyle name="Обычный 13 14 5" xfId="58244" xr:uid="{00000000-0005-0000-0000-00009EE30000}"/>
    <cellStyle name="Обычный 13 15" xfId="58245" xr:uid="{00000000-0005-0000-0000-00009FE30000}"/>
    <cellStyle name="Обычный 13 15 2" xfId="58246" xr:uid="{00000000-0005-0000-0000-0000A0E30000}"/>
    <cellStyle name="Обычный 13 15 2 2" xfId="58247" xr:uid="{00000000-0005-0000-0000-0000A1E30000}"/>
    <cellStyle name="Обычный 13 15 2 3" xfId="58248" xr:uid="{00000000-0005-0000-0000-0000A2E30000}"/>
    <cellStyle name="Обычный 13 15 3" xfId="58249" xr:uid="{00000000-0005-0000-0000-0000A3E30000}"/>
    <cellStyle name="Обычный 13 15 3 2" xfId="58250" xr:uid="{00000000-0005-0000-0000-0000A4E30000}"/>
    <cellStyle name="Обычный 13 15 3 3" xfId="58251" xr:uid="{00000000-0005-0000-0000-0000A5E30000}"/>
    <cellStyle name="Обычный 13 15 4" xfId="58252" xr:uid="{00000000-0005-0000-0000-0000A6E30000}"/>
    <cellStyle name="Обычный 13 15 5" xfId="58253" xr:uid="{00000000-0005-0000-0000-0000A7E30000}"/>
    <cellStyle name="Обычный 13 16" xfId="58254" xr:uid="{00000000-0005-0000-0000-0000A8E30000}"/>
    <cellStyle name="Обычный 13 16 2" xfId="58255" xr:uid="{00000000-0005-0000-0000-0000A9E30000}"/>
    <cellStyle name="Обычный 13 16 2 2" xfId="58256" xr:uid="{00000000-0005-0000-0000-0000AAE30000}"/>
    <cellStyle name="Обычный 13 16 2 3" xfId="58257" xr:uid="{00000000-0005-0000-0000-0000ABE30000}"/>
    <cellStyle name="Обычный 13 16 3" xfId="58258" xr:uid="{00000000-0005-0000-0000-0000ACE30000}"/>
    <cellStyle name="Обычный 13 16 3 2" xfId="58259" xr:uid="{00000000-0005-0000-0000-0000ADE30000}"/>
    <cellStyle name="Обычный 13 16 3 3" xfId="58260" xr:uid="{00000000-0005-0000-0000-0000AEE30000}"/>
    <cellStyle name="Обычный 13 16 4" xfId="58261" xr:uid="{00000000-0005-0000-0000-0000AFE30000}"/>
    <cellStyle name="Обычный 13 16 5" xfId="58262" xr:uid="{00000000-0005-0000-0000-0000B0E30000}"/>
    <cellStyle name="Обычный 13 17" xfId="58263" xr:uid="{00000000-0005-0000-0000-0000B1E30000}"/>
    <cellStyle name="Обычный 13 17 2" xfId="58264" xr:uid="{00000000-0005-0000-0000-0000B2E30000}"/>
    <cellStyle name="Обычный 13 17 3" xfId="58265" xr:uid="{00000000-0005-0000-0000-0000B3E30000}"/>
    <cellStyle name="Обычный 13 18" xfId="58266" xr:uid="{00000000-0005-0000-0000-0000B4E30000}"/>
    <cellStyle name="Обычный 13 18 2" xfId="58267" xr:uid="{00000000-0005-0000-0000-0000B5E30000}"/>
    <cellStyle name="Обычный 13 18 3" xfId="58268" xr:uid="{00000000-0005-0000-0000-0000B6E30000}"/>
    <cellStyle name="Обычный 13 19" xfId="58269" xr:uid="{00000000-0005-0000-0000-0000B7E30000}"/>
    <cellStyle name="Обычный 13 2" xfId="58270" xr:uid="{00000000-0005-0000-0000-0000B8E30000}"/>
    <cellStyle name="Обычный 13 2 2" xfId="58271" xr:uid="{00000000-0005-0000-0000-0000B9E30000}"/>
    <cellStyle name="Обычный 13 2 2 2" xfId="58272" xr:uid="{00000000-0005-0000-0000-0000BAE30000}"/>
    <cellStyle name="Обычный 13 2 2 2 2" xfId="58273" xr:uid="{00000000-0005-0000-0000-0000BBE30000}"/>
    <cellStyle name="Обычный 13 2 2 2 2 2" xfId="58274" xr:uid="{00000000-0005-0000-0000-0000BCE30000}"/>
    <cellStyle name="Обычный 13 2 2 2 2 3" xfId="58275" xr:uid="{00000000-0005-0000-0000-0000BDE30000}"/>
    <cellStyle name="Обычный 13 2 2 2 3" xfId="58276" xr:uid="{00000000-0005-0000-0000-0000BEE30000}"/>
    <cellStyle name="Обычный 13 2 2 2 3 2" xfId="58277" xr:uid="{00000000-0005-0000-0000-0000BFE30000}"/>
    <cellStyle name="Обычный 13 2 2 2 3 3" xfId="58278" xr:uid="{00000000-0005-0000-0000-0000C0E30000}"/>
    <cellStyle name="Обычный 13 2 2 2 4" xfId="58279" xr:uid="{00000000-0005-0000-0000-0000C1E30000}"/>
    <cellStyle name="Обычный 13 2 2 2 5" xfId="58280" xr:uid="{00000000-0005-0000-0000-0000C2E30000}"/>
    <cellStyle name="Обычный 13 2 2 3" xfId="58281" xr:uid="{00000000-0005-0000-0000-0000C3E30000}"/>
    <cellStyle name="Обычный 13 2 2 3 2" xfId="58282" xr:uid="{00000000-0005-0000-0000-0000C4E30000}"/>
    <cellStyle name="Обычный 13 2 2 3 3" xfId="58283" xr:uid="{00000000-0005-0000-0000-0000C5E30000}"/>
    <cellStyle name="Обычный 13 2 2 4" xfId="58284" xr:uid="{00000000-0005-0000-0000-0000C6E30000}"/>
    <cellStyle name="Обычный 13 2 2 4 2" xfId="58285" xr:uid="{00000000-0005-0000-0000-0000C7E30000}"/>
    <cellStyle name="Обычный 13 2 2 4 3" xfId="58286" xr:uid="{00000000-0005-0000-0000-0000C8E30000}"/>
    <cellStyle name="Обычный 13 2 2 5" xfId="58287" xr:uid="{00000000-0005-0000-0000-0000C9E30000}"/>
    <cellStyle name="Обычный 13 2 2 6" xfId="58288" xr:uid="{00000000-0005-0000-0000-0000CAE30000}"/>
    <cellStyle name="Обычный 13 2 2_объемы 2018г111" xfId="58289" xr:uid="{00000000-0005-0000-0000-0000CBE30000}"/>
    <cellStyle name="Обычный 13 2 3" xfId="58290" xr:uid="{00000000-0005-0000-0000-0000CCE30000}"/>
    <cellStyle name="Обычный 13 2 3 2" xfId="58291" xr:uid="{00000000-0005-0000-0000-0000CDE30000}"/>
    <cellStyle name="Обычный 13 2 3 2 2" xfId="58292" xr:uid="{00000000-0005-0000-0000-0000CEE30000}"/>
    <cellStyle name="Обычный 13 2 3 2 3" xfId="58293" xr:uid="{00000000-0005-0000-0000-0000CFE30000}"/>
    <cellStyle name="Обычный 13 2 3 3" xfId="58294" xr:uid="{00000000-0005-0000-0000-0000D0E30000}"/>
    <cellStyle name="Обычный 13 2 3 3 2" xfId="58295" xr:uid="{00000000-0005-0000-0000-0000D1E30000}"/>
    <cellStyle name="Обычный 13 2 3 3 3" xfId="58296" xr:uid="{00000000-0005-0000-0000-0000D2E30000}"/>
    <cellStyle name="Обычный 13 2 3 4" xfId="58297" xr:uid="{00000000-0005-0000-0000-0000D3E30000}"/>
    <cellStyle name="Обычный 13 2 3 5" xfId="58298" xr:uid="{00000000-0005-0000-0000-0000D4E30000}"/>
    <cellStyle name="Обычный 13 2 4" xfId="58299" xr:uid="{00000000-0005-0000-0000-0000D5E30000}"/>
    <cellStyle name="Обычный 13 2 4 2" xfId="58300" xr:uid="{00000000-0005-0000-0000-0000D6E30000}"/>
    <cellStyle name="Обычный 13 2 4 3" xfId="58301" xr:uid="{00000000-0005-0000-0000-0000D7E30000}"/>
    <cellStyle name="Обычный 13 2 5" xfId="58302" xr:uid="{00000000-0005-0000-0000-0000D8E30000}"/>
    <cellStyle name="Обычный 13 2 5 2" xfId="58303" xr:uid="{00000000-0005-0000-0000-0000D9E30000}"/>
    <cellStyle name="Обычный 13 2 5 3" xfId="58304" xr:uid="{00000000-0005-0000-0000-0000DAE30000}"/>
    <cellStyle name="Обычный 13 2 6" xfId="58305" xr:uid="{00000000-0005-0000-0000-0000DBE30000}"/>
    <cellStyle name="Обычный 13 2 7" xfId="58306" xr:uid="{00000000-0005-0000-0000-0000DCE30000}"/>
    <cellStyle name="Обычный 13 2_объемы 2018г111" xfId="58307" xr:uid="{00000000-0005-0000-0000-0000DDE30000}"/>
    <cellStyle name="Обычный 13 20" xfId="58308" xr:uid="{00000000-0005-0000-0000-0000DEE30000}"/>
    <cellStyle name="Обычный 13 3" xfId="58309" xr:uid="{00000000-0005-0000-0000-0000DFE30000}"/>
    <cellStyle name="Обычный 13 3 2" xfId="58310" xr:uid="{00000000-0005-0000-0000-0000E0E30000}"/>
    <cellStyle name="Обычный 13 3 2 2" xfId="58311" xr:uid="{00000000-0005-0000-0000-0000E1E30000}"/>
    <cellStyle name="Обычный 13 3 2 2 2" xfId="58312" xr:uid="{00000000-0005-0000-0000-0000E2E30000}"/>
    <cellStyle name="Обычный 13 3 2 2 3" xfId="58313" xr:uid="{00000000-0005-0000-0000-0000E3E30000}"/>
    <cellStyle name="Обычный 13 3 2 3" xfId="58314" xr:uid="{00000000-0005-0000-0000-0000E4E30000}"/>
    <cellStyle name="Обычный 13 3 2 3 2" xfId="58315" xr:uid="{00000000-0005-0000-0000-0000E5E30000}"/>
    <cellStyle name="Обычный 13 3 2 3 3" xfId="58316" xr:uid="{00000000-0005-0000-0000-0000E6E30000}"/>
    <cellStyle name="Обычный 13 3 2 4" xfId="58317" xr:uid="{00000000-0005-0000-0000-0000E7E30000}"/>
    <cellStyle name="Обычный 13 3 2 5" xfId="58318" xr:uid="{00000000-0005-0000-0000-0000E8E30000}"/>
    <cellStyle name="Обычный 13 3 3" xfId="58319" xr:uid="{00000000-0005-0000-0000-0000E9E30000}"/>
    <cellStyle name="Обычный 13 3 3 2" xfId="58320" xr:uid="{00000000-0005-0000-0000-0000EAE30000}"/>
    <cellStyle name="Обычный 13 3 3 3" xfId="58321" xr:uid="{00000000-0005-0000-0000-0000EBE30000}"/>
    <cellStyle name="Обычный 13 3 4" xfId="58322" xr:uid="{00000000-0005-0000-0000-0000ECE30000}"/>
    <cellStyle name="Обычный 13 3 4 2" xfId="58323" xr:uid="{00000000-0005-0000-0000-0000EDE30000}"/>
    <cellStyle name="Обычный 13 3 4 3" xfId="58324" xr:uid="{00000000-0005-0000-0000-0000EEE30000}"/>
    <cellStyle name="Обычный 13 3 5" xfId="58325" xr:uid="{00000000-0005-0000-0000-0000EFE30000}"/>
    <cellStyle name="Обычный 13 3 6" xfId="58326" xr:uid="{00000000-0005-0000-0000-0000F0E30000}"/>
    <cellStyle name="Обычный 13 3_объемы 2018г111" xfId="58327" xr:uid="{00000000-0005-0000-0000-0000F1E30000}"/>
    <cellStyle name="Обычный 13 4" xfId="58328" xr:uid="{00000000-0005-0000-0000-0000F2E30000}"/>
    <cellStyle name="Обычный 13 4 2" xfId="58329" xr:uid="{00000000-0005-0000-0000-0000F3E30000}"/>
    <cellStyle name="Обычный 13 4 2 2" xfId="58330" xr:uid="{00000000-0005-0000-0000-0000F4E30000}"/>
    <cellStyle name="Обычный 13 4 2 3" xfId="58331" xr:uid="{00000000-0005-0000-0000-0000F5E30000}"/>
    <cellStyle name="Обычный 13 4 3" xfId="58332" xr:uid="{00000000-0005-0000-0000-0000F6E30000}"/>
    <cellStyle name="Обычный 13 4 3 2" xfId="58333" xr:uid="{00000000-0005-0000-0000-0000F7E30000}"/>
    <cellStyle name="Обычный 13 4 3 3" xfId="58334" xr:uid="{00000000-0005-0000-0000-0000F8E30000}"/>
    <cellStyle name="Обычный 13 4 4" xfId="58335" xr:uid="{00000000-0005-0000-0000-0000F9E30000}"/>
    <cellStyle name="Обычный 13 4 5" xfId="58336" xr:uid="{00000000-0005-0000-0000-0000FAE30000}"/>
    <cellStyle name="Обычный 13 5" xfId="58337" xr:uid="{00000000-0005-0000-0000-0000FBE30000}"/>
    <cellStyle name="Обычный 13 5 2" xfId="58338" xr:uid="{00000000-0005-0000-0000-0000FCE30000}"/>
    <cellStyle name="Обычный 13 5 2 2" xfId="58339" xr:uid="{00000000-0005-0000-0000-0000FDE30000}"/>
    <cellStyle name="Обычный 13 5 2 3" xfId="58340" xr:uid="{00000000-0005-0000-0000-0000FEE30000}"/>
    <cellStyle name="Обычный 13 5 3" xfId="58341" xr:uid="{00000000-0005-0000-0000-0000FFE30000}"/>
    <cellStyle name="Обычный 13 5 3 2" xfId="58342" xr:uid="{00000000-0005-0000-0000-000000E40000}"/>
    <cellStyle name="Обычный 13 5 3 3" xfId="58343" xr:uid="{00000000-0005-0000-0000-000001E40000}"/>
    <cellStyle name="Обычный 13 5 4" xfId="58344" xr:uid="{00000000-0005-0000-0000-000002E40000}"/>
    <cellStyle name="Обычный 13 5 5" xfId="58345" xr:uid="{00000000-0005-0000-0000-000003E40000}"/>
    <cellStyle name="Обычный 13 6" xfId="58346" xr:uid="{00000000-0005-0000-0000-000004E40000}"/>
    <cellStyle name="Обычный 13 6 2" xfId="58347" xr:uid="{00000000-0005-0000-0000-000005E40000}"/>
    <cellStyle name="Обычный 13 6 2 2" xfId="58348" xr:uid="{00000000-0005-0000-0000-000006E40000}"/>
    <cellStyle name="Обычный 13 6 2 3" xfId="58349" xr:uid="{00000000-0005-0000-0000-000007E40000}"/>
    <cellStyle name="Обычный 13 6 3" xfId="58350" xr:uid="{00000000-0005-0000-0000-000008E40000}"/>
    <cellStyle name="Обычный 13 6 3 2" xfId="58351" xr:uid="{00000000-0005-0000-0000-000009E40000}"/>
    <cellStyle name="Обычный 13 6 3 3" xfId="58352" xr:uid="{00000000-0005-0000-0000-00000AE40000}"/>
    <cellStyle name="Обычный 13 6 4" xfId="58353" xr:uid="{00000000-0005-0000-0000-00000BE40000}"/>
    <cellStyle name="Обычный 13 6 5" xfId="58354" xr:uid="{00000000-0005-0000-0000-00000CE40000}"/>
    <cellStyle name="Обычный 13 7" xfId="58355" xr:uid="{00000000-0005-0000-0000-00000DE40000}"/>
    <cellStyle name="Обычный 13 7 2" xfId="58356" xr:uid="{00000000-0005-0000-0000-00000EE40000}"/>
    <cellStyle name="Обычный 13 7 2 2" xfId="58357" xr:uid="{00000000-0005-0000-0000-00000FE40000}"/>
    <cellStyle name="Обычный 13 7 2 3" xfId="58358" xr:uid="{00000000-0005-0000-0000-000010E40000}"/>
    <cellStyle name="Обычный 13 7 3" xfId="58359" xr:uid="{00000000-0005-0000-0000-000011E40000}"/>
    <cellStyle name="Обычный 13 7 3 2" xfId="58360" xr:uid="{00000000-0005-0000-0000-000012E40000}"/>
    <cellStyle name="Обычный 13 7 3 3" xfId="58361" xr:uid="{00000000-0005-0000-0000-000013E40000}"/>
    <cellStyle name="Обычный 13 7 4" xfId="58362" xr:uid="{00000000-0005-0000-0000-000014E40000}"/>
    <cellStyle name="Обычный 13 7 5" xfId="58363" xr:uid="{00000000-0005-0000-0000-000015E40000}"/>
    <cellStyle name="Обычный 13 8" xfId="58364" xr:uid="{00000000-0005-0000-0000-000016E40000}"/>
    <cellStyle name="Обычный 13 8 2" xfId="58365" xr:uid="{00000000-0005-0000-0000-000017E40000}"/>
    <cellStyle name="Обычный 13 8 2 2" xfId="58366" xr:uid="{00000000-0005-0000-0000-000018E40000}"/>
    <cellStyle name="Обычный 13 8 2 3" xfId="58367" xr:uid="{00000000-0005-0000-0000-000019E40000}"/>
    <cellStyle name="Обычный 13 8 3" xfId="58368" xr:uid="{00000000-0005-0000-0000-00001AE40000}"/>
    <cellStyle name="Обычный 13 8 3 2" xfId="58369" xr:uid="{00000000-0005-0000-0000-00001BE40000}"/>
    <cellStyle name="Обычный 13 8 3 3" xfId="58370" xr:uid="{00000000-0005-0000-0000-00001CE40000}"/>
    <cellStyle name="Обычный 13 8 4" xfId="58371" xr:uid="{00000000-0005-0000-0000-00001DE40000}"/>
    <cellStyle name="Обычный 13 8 5" xfId="58372" xr:uid="{00000000-0005-0000-0000-00001EE40000}"/>
    <cellStyle name="Обычный 13 9" xfId="58373" xr:uid="{00000000-0005-0000-0000-00001FE40000}"/>
    <cellStyle name="Обычный 13 9 2" xfId="58374" xr:uid="{00000000-0005-0000-0000-000020E40000}"/>
    <cellStyle name="Обычный 13 9 2 2" xfId="58375" xr:uid="{00000000-0005-0000-0000-000021E40000}"/>
    <cellStyle name="Обычный 13 9 2 3" xfId="58376" xr:uid="{00000000-0005-0000-0000-000022E40000}"/>
    <cellStyle name="Обычный 13 9 3" xfId="58377" xr:uid="{00000000-0005-0000-0000-000023E40000}"/>
    <cellStyle name="Обычный 13 9 3 2" xfId="58378" xr:uid="{00000000-0005-0000-0000-000024E40000}"/>
    <cellStyle name="Обычный 13 9 3 3" xfId="58379" xr:uid="{00000000-0005-0000-0000-000025E40000}"/>
    <cellStyle name="Обычный 13 9 4" xfId="58380" xr:uid="{00000000-0005-0000-0000-000026E40000}"/>
    <cellStyle name="Обычный 13 9 5" xfId="58381" xr:uid="{00000000-0005-0000-0000-000027E40000}"/>
    <cellStyle name="Обычный 13_объемы 2018г111" xfId="58382" xr:uid="{00000000-0005-0000-0000-000028E40000}"/>
    <cellStyle name="Обычный 130" xfId="58383" xr:uid="{00000000-0005-0000-0000-000029E40000}"/>
    <cellStyle name="Обычный 131" xfId="58384" xr:uid="{00000000-0005-0000-0000-00002AE40000}"/>
    <cellStyle name="Обычный 132" xfId="58385" xr:uid="{00000000-0005-0000-0000-00002BE40000}"/>
    <cellStyle name="Обычный 133" xfId="58386" xr:uid="{00000000-0005-0000-0000-00002CE40000}"/>
    <cellStyle name="Обычный 134" xfId="58387" xr:uid="{00000000-0005-0000-0000-00002DE40000}"/>
    <cellStyle name="Обычный 135" xfId="58388" xr:uid="{00000000-0005-0000-0000-00002EE40000}"/>
    <cellStyle name="Обычный 136" xfId="58389" xr:uid="{00000000-0005-0000-0000-00002FE40000}"/>
    <cellStyle name="Обычный 137" xfId="58390" xr:uid="{00000000-0005-0000-0000-000030E40000}"/>
    <cellStyle name="Обычный 138" xfId="58391" xr:uid="{00000000-0005-0000-0000-000031E40000}"/>
    <cellStyle name="Обычный 139" xfId="58392" xr:uid="{00000000-0005-0000-0000-000032E40000}"/>
    <cellStyle name="Обычный 14" xfId="58393" xr:uid="{00000000-0005-0000-0000-000033E40000}"/>
    <cellStyle name="Обычный 14 10" xfId="58394" xr:uid="{00000000-0005-0000-0000-000034E40000}"/>
    <cellStyle name="Обычный 14 10 2" xfId="58395" xr:uid="{00000000-0005-0000-0000-000035E40000}"/>
    <cellStyle name="Обычный 14 10 2 2" xfId="58396" xr:uid="{00000000-0005-0000-0000-000036E40000}"/>
    <cellStyle name="Обычный 14 10 2 3" xfId="58397" xr:uid="{00000000-0005-0000-0000-000037E40000}"/>
    <cellStyle name="Обычный 14 10 3" xfId="58398" xr:uid="{00000000-0005-0000-0000-000038E40000}"/>
    <cellStyle name="Обычный 14 10 3 2" xfId="58399" xr:uid="{00000000-0005-0000-0000-000039E40000}"/>
    <cellStyle name="Обычный 14 10 3 3" xfId="58400" xr:uid="{00000000-0005-0000-0000-00003AE40000}"/>
    <cellStyle name="Обычный 14 10 4" xfId="58401" xr:uid="{00000000-0005-0000-0000-00003BE40000}"/>
    <cellStyle name="Обычный 14 10 5" xfId="58402" xr:uid="{00000000-0005-0000-0000-00003CE40000}"/>
    <cellStyle name="Обычный 14 11" xfId="58403" xr:uid="{00000000-0005-0000-0000-00003DE40000}"/>
    <cellStyle name="Обычный 14 11 2" xfId="58404" xr:uid="{00000000-0005-0000-0000-00003EE40000}"/>
    <cellStyle name="Обычный 14 11 2 2" xfId="58405" xr:uid="{00000000-0005-0000-0000-00003FE40000}"/>
    <cellStyle name="Обычный 14 11 2 3" xfId="58406" xr:uid="{00000000-0005-0000-0000-000040E40000}"/>
    <cellStyle name="Обычный 14 11 3" xfId="58407" xr:uid="{00000000-0005-0000-0000-000041E40000}"/>
    <cellStyle name="Обычный 14 11 3 2" xfId="58408" xr:uid="{00000000-0005-0000-0000-000042E40000}"/>
    <cellStyle name="Обычный 14 11 3 3" xfId="58409" xr:uid="{00000000-0005-0000-0000-000043E40000}"/>
    <cellStyle name="Обычный 14 11 4" xfId="58410" xr:uid="{00000000-0005-0000-0000-000044E40000}"/>
    <cellStyle name="Обычный 14 11 5" xfId="58411" xr:uid="{00000000-0005-0000-0000-000045E40000}"/>
    <cellStyle name="Обычный 14 12" xfId="58412" xr:uid="{00000000-0005-0000-0000-000046E40000}"/>
    <cellStyle name="Обычный 14 12 2" xfId="58413" xr:uid="{00000000-0005-0000-0000-000047E40000}"/>
    <cellStyle name="Обычный 14 12 2 2" xfId="58414" xr:uid="{00000000-0005-0000-0000-000048E40000}"/>
    <cellStyle name="Обычный 14 12 2 3" xfId="58415" xr:uid="{00000000-0005-0000-0000-000049E40000}"/>
    <cellStyle name="Обычный 14 12 3" xfId="58416" xr:uid="{00000000-0005-0000-0000-00004AE40000}"/>
    <cellStyle name="Обычный 14 12 3 2" xfId="58417" xr:uid="{00000000-0005-0000-0000-00004BE40000}"/>
    <cellStyle name="Обычный 14 12 3 3" xfId="58418" xr:uid="{00000000-0005-0000-0000-00004CE40000}"/>
    <cellStyle name="Обычный 14 12 4" xfId="58419" xr:uid="{00000000-0005-0000-0000-00004DE40000}"/>
    <cellStyle name="Обычный 14 12 5" xfId="58420" xr:uid="{00000000-0005-0000-0000-00004EE40000}"/>
    <cellStyle name="Обычный 14 13" xfId="58421" xr:uid="{00000000-0005-0000-0000-00004FE40000}"/>
    <cellStyle name="Обычный 14 13 2" xfId="58422" xr:uid="{00000000-0005-0000-0000-000050E40000}"/>
    <cellStyle name="Обычный 14 13 2 2" xfId="58423" xr:uid="{00000000-0005-0000-0000-000051E40000}"/>
    <cellStyle name="Обычный 14 13 2 3" xfId="58424" xr:uid="{00000000-0005-0000-0000-000052E40000}"/>
    <cellStyle name="Обычный 14 13 3" xfId="58425" xr:uid="{00000000-0005-0000-0000-000053E40000}"/>
    <cellStyle name="Обычный 14 13 3 2" xfId="58426" xr:uid="{00000000-0005-0000-0000-000054E40000}"/>
    <cellStyle name="Обычный 14 13 3 3" xfId="58427" xr:uid="{00000000-0005-0000-0000-000055E40000}"/>
    <cellStyle name="Обычный 14 13 4" xfId="58428" xr:uid="{00000000-0005-0000-0000-000056E40000}"/>
    <cellStyle name="Обычный 14 13 5" xfId="58429" xr:uid="{00000000-0005-0000-0000-000057E40000}"/>
    <cellStyle name="Обычный 14 14" xfId="58430" xr:uid="{00000000-0005-0000-0000-000058E40000}"/>
    <cellStyle name="Обычный 14 14 2" xfId="58431" xr:uid="{00000000-0005-0000-0000-000059E40000}"/>
    <cellStyle name="Обычный 14 14 2 2" xfId="58432" xr:uid="{00000000-0005-0000-0000-00005AE40000}"/>
    <cellStyle name="Обычный 14 14 2 3" xfId="58433" xr:uid="{00000000-0005-0000-0000-00005BE40000}"/>
    <cellStyle name="Обычный 14 14 3" xfId="58434" xr:uid="{00000000-0005-0000-0000-00005CE40000}"/>
    <cellStyle name="Обычный 14 14 3 2" xfId="58435" xr:uid="{00000000-0005-0000-0000-00005DE40000}"/>
    <cellStyle name="Обычный 14 14 3 3" xfId="58436" xr:uid="{00000000-0005-0000-0000-00005EE40000}"/>
    <cellStyle name="Обычный 14 14 4" xfId="58437" xr:uid="{00000000-0005-0000-0000-00005FE40000}"/>
    <cellStyle name="Обычный 14 14 5" xfId="58438" xr:uid="{00000000-0005-0000-0000-000060E40000}"/>
    <cellStyle name="Обычный 14 15" xfId="58439" xr:uid="{00000000-0005-0000-0000-000061E40000}"/>
    <cellStyle name="Обычный 14 15 2" xfId="58440" xr:uid="{00000000-0005-0000-0000-000062E40000}"/>
    <cellStyle name="Обычный 14 15 2 2" xfId="58441" xr:uid="{00000000-0005-0000-0000-000063E40000}"/>
    <cellStyle name="Обычный 14 15 2 3" xfId="58442" xr:uid="{00000000-0005-0000-0000-000064E40000}"/>
    <cellStyle name="Обычный 14 15 3" xfId="58443" xr:uid="{00000000-0005-0000-0000-000065E40000}"/>
    <cellStyle name="Обычный 14 15 3 2" xfId="58444" xr:uid="{00000000-0005-0000-0000-000066E40000}"/>
    <cellStyle name="Обычный 14 15 3 3" xfId="58445" xr:uid="{00000000-0005-0000-0000-000067E40000}"/>
    <cellStyle name="Обычный 14 15 4" xfId="58446" xr:uid="{00000000-0005-0000-0000-000068E40000}"/>
    <cellStyle name="Обычный 14 15 5" xfId="58447" xr:uid="{00000000-0005-0000-0000-000069E40000}"/>
    <cellStyle name="Обычный 14 16" xfId="58448" xr:uid="{00000000-0005-0000-0000-00006AE40000}"/>
    <cellStyle name="Обычный 14 16 2" xfId="58449" xr:uid="{00000000-0005-0000-0000-00006BE40000}"/>
    <cellStyle name="Обычный 14 16 2 2" xfId="58450" xr:uid="{00000000-0005-0000-0000-00006CE40000}"/>
    <cellStyle name="Обычный 14 16 2 3" xfId="58451" xr:uid="{00000000-0005-0000-0000-00006DE40000}"/>
    <cellStyle name="Обычный 14 16 3" xfId="58452" xr:uid="{00000000-0005-0000-0000-00006EE40000}"/>
    <cellStyle name="Обычный 14 16 3 2" xfId="58453" xr:uid="{00000000-0005-0000-0000-00006FE40000}"/>
    <cellStyle name="Обычный 14 16 3 3" xfId="58454" xr:uid="{00000000-0005-0000-0000-000070E40000}"/>
    <cellStyle name="Обычный 14 16 4" xfId="58455" xr:uid="{00000000-0005-0000-0000-000071E40000}"/>
    <cellStyle name="Обычный 14 16 5" xfId="58456" xr:uid="{00000000-0005-0000-0000-000072E40000}"/>
    <cellStyle name="Обычный 14 17" xfId="58457" xr:uid="{00000000-0005-0000-0000-000073E40000}"/>
    <cellStyle name="Обычный 14 17 2" xfId="58458" xr:uid="{00000000-0005-0000-0000-000074E40000}"/>
    <cellStyle name="Обычный 14 17 3" xfId="58459" xr:uid="{00000000-0005-0000-0000-000075E40000}"/>
    <cellStyle name="Обычный 14 18" xfId="58460" xr:uid="{00000000-0005-0000-0000-000076E40000}"/>
    <cellStyle name="Обычный 14 18 2" xfId="58461" xr:uid="{00000000-0005-0000-0000-000077E40000}"/>
    <cellStyle name="Обычный 14 18 3" xfId="58462" xr:uid="{00000000-0005-0000-0000-000078E40000}"/>
    <cellStyle name="Обычный 14 19" xfId="58463" xr:uid="{00000000-0005-0000-0000-000079E40000}"/>
    <cellStyle name="Обычный 14 2" xfId="58464" xr:uid="{00000000-0005-0000-0000-00007AE40000}"/>
    <cellStyle name="Обычный 14 2 2" xfId="58465" xr:uid="{00000000-0005-0000-0000-00007BE40000}"/>
    <cellStyle name="Обычный 14 2 2 2" xfId="58466" xr:uid="{00000000-0005-0000-0000-00007CE40000}"/>
    <cellStyle name="Обычный 14 2 2 2 2" xfId="58467" xr:uid="{00000000-0005-0000-0000-00007DE40000}"/>
    <cellStyle name="Обычный 14 2 2 2 2 2" xfId="58468" xr:uid="{00000000-0005-0000-0000-00007EE40000}"/>
    <cellStyle name="Обычный 14 2 2 2 2 3" xfId="58469" xr:uid="{00000000-0005-0000-0000-00007FE40000}"/>
    <cellStyle name="Обычный 14 2 2 2 3" xfId="58470" xr:uid="{00000000-0005-0000-0000-000080E40000}"/>
    <cellStyle name="Обычный 14 2 2 2 3 2" xfId="58471" xr:uid="{00000000-0005-0000-0000-000081E40000}"/>
    <cellStyle name="Обычный 14 2 2 2 3 3" xfId="58472" xr:uid="{00000000-0005-0000-0000-000082E40000}"/>
    <cellStyle name="Обычный 14 2 2 2 4" xfId="58473" xr:uid="{00000000-0005-0000-0000-000083E40000}"/>
    <cellStyle name="Обычный 14 2 2 2 5" xfId="58474" xr:uid="{00000000-0005-0000-0000-000084E40000}"/>
    <cellStyle name="Обычный 14 2 2 3" xfId="58475" xr:uid="{00000000-0005-0000-0000-000085E40000}"/>
    <cellStyle name="Обычный 14 2 2 3 2" xfId="58476" xr:uid="{00000000-0005-0000-0000-000086E40000}"/>
    <cellStyle name="Обычный 14 2 2 3 3" xfId="58477" xr:uid="{00000000-0005-0000-0000-000087E40000}"/>
    <cellStyle name="Обычный 14 2 2 4" xfId="58478" xr:uid="{00000000-0005-0000-0000-000088E40000}"/>
    <cellStyle name="Обычный 14 2 2 4 2" xfId="58479" xr:uid="{00000000-0005-0000-0000-000089E40000}"/>
    <cellStyle name="Обычный 14 2 2 4 3" xfId="58480" xr:uid="{00000000-0005-0000-0000-00008AE40000}"/>
    <cellStyle name="Обычный 14 2 2 5" xfId="58481" xr:uid="{00000000-0005-0000-0000-00008BE40000}"/>
    <cellStyle name="Обычный 14 2 2 6" xfId="58482" xr:uid="{00000000-0005-0000-0000-00008CE40000}"/>
    <cellStyle name="Обычный 14 2 2_объемы 2018г111" xfId="58483" xr:uid="{00000000-0005-0000-0000-00008DE40000}"/>
    <cellStyle name="Обычный 14 2 3" xfId="58484" xr:uid="{00000000-0005-0000-0000-00008EE40000}"/>
    <cellStyle name="Обычный 14 2 3 2" xfId="58485" xr:uid="{00000000-0005-0000-0000-00008FE40000}"/>
    <cellStyle name="Обычный 14 2 3 2 2" xfId="58486" xr:uid="{00000000-0005-0000-0000-000090E40000}"/>
    <cellStyle name="Обычный 14 2 3 2 3" xfId="58487" xr:uid="{00000000-0005-0000-0000-000091E40000}"/>
    <cellStyle name="Обычный 14 2 3 3" xfId="58488" xr:uid="{00000000-0005-0000-0000-000092E40000}"/>
    <cellStyle name="Обычный 14 2 3 3 2" xfId="58489" xr:uid="{00000000-0005-0000-0000-000093E40000}"/>
    <cellStyle name="Обычный 14 2 3 3 3" xfId="58490" xr:uid="{00000000-0005-0000-0000-000094E40000}"/>
    <cellStyle name="Обычный 14 2 3 4" xfId="58491" xr:uid="{00000000-0005-0000-0000-000095E40000}"/>
    <cellStyle name="Обычный 14 2 3 5" xfId="58492" xr:uid="{00000000-0005-0000-0000-000096E40000}"/>
    <cellStyle name="Обычный 14 2 4" xfId="58493" xr:uid="{00000000-0005-0000-0000-000097E40000}"/>
    <cellStyle name="Обычный 14 2 4 2" xfId="58494" xr:uid="{00000000-0005-0000-0000-000098E40000}"/>
    <cellStyle name="Обычный 14 2 4 3" xfId="58495" xr:uid="{00000000-0005-0000-0000-000099E40000}"/>
    <cellStyle name="Обычный 14 2 5" xfId="58496" xr:uid="{00000000-0005-0000-0000-00009AE40000}"/>
    <cellStyle name="Обычный 14 2 5 2" xfId="58497" xr:uid="{00000000-0005-0000-0000-00009BE40000}"/>
    <cellStyle name="Обычный 14 2 5 3" xfId="58498" xr:uid="{00000000-0005-0000-0000-00009CE40000}"/>
    <cellStyle name="Обычный 14 2 6" xfId="58499" xr:uid="{00000000-0005-0000-0000-00009DE40000}"/>
    <cellStyle name="Обычный 14 2 7" xfId="58500" xr:uid="{00000000-0005-0000-0000-00009EE40000}"/>
    <cellStyle name="Обычный 14 2_объемы 2018г111" xfId="58501" xr:uid="{00000000-0005-0000-0000-00009FE40000}"/>
    <cellStyle name="Обычный 14 20" xfId="58502" xr:uid="{00000000-0005-0000-0000-0000A0E40000}"/>
    <cellStyle name="Обычный 14 3" xfId="58503" xr:uid="{00000000-0005-0000-0000-0000A1E40000}"/>
    <cellStyle name="Обычный 14 3 2" xfId="58504" xr:uid="{00000000-0005-0000-0000-0000A2E40000}"/>
    <cellStyle name="Обычный 14 3 2 2" xfId="58505" xr:uid="{00000000-0005-0000-0000-0000A3E40000}"/>
    <cellStyle name="Обычный 14 3 2 2 2" xfId="58506" xr:uid="{00000000-0005-0000-0000-0000A4E40000}"/>
    <cellStyle name="Обычный 14 3 2 2 3" xfId="58507" xr:uid="{00000000-0005-0000-0000-0000A5E40000}"/>
    <cellStyle name="Обычный 14 3 2 3" xfId="58508" xr:uid="{00000000-0005-0000-0000-0000A6E40000}"/>
    <cellStyle name="Обычный 14 3 2 3 2" xfId="58509" xr:uid="{00000000-0005-0000-0000-0000A7E40000}"/>
    <cellStyle name="Обычный 14 3 2 3 3" xfId="58510" xr:uid="{00000000-0005-0000-0000-0000A8E40000}"/>
    <cellStyle name="Обычный 14 3 2 4" xfId="58511" xr:uid="{00000000-0005-0000-0000-0000A9E40000}"/>
    <cellStyle name="Обычный 14 3 2 5" xfId="58512" xr:uid="{00000000-0005-0000-0000-0000AAE40000}"/>
    <cellStyle name="Обычный 14 3 3" xfId="58513" xr:uid="{00000000-0005-0000-0000-0000ABE40000}"/>
    <cellStyle name="Обычный 14 3 3 2" xfId="58514" xr:uid="{00000000-0005-0000-0000-0000ACE40000}"/>
    <cellStyle name="Обычный 14 3 3 3" xfId="58515" xr:uid="{00000000-0005-0000-0000-0000ADE40000}"/>
    <cellStyle name="Обычный 14 3 4" xfId="58516" xr:uid="{00000000-0005-0000-0000-0000AEE40000}"/>
    <cellStyle name="Обычный 14 3 4 2" xfId="58517" xr:uid="{00000000-0005-0000-0000-0000AFE40000}"/>
    <cellStyle name="Обычный 14 3 4 3" xfId="58518" xr:uid="{00000000-0005-0000-0000-0000B0E40000}"/>
    <cellStyle name="Обычный 14 3 5" xfId="58519" xr:uid="{00000000-0005-0000-0000-0000B1E40000}"/>
    <cellStyle name="Обычный 14 3 6" xfId="58520" xr:uid="{00000000-0005-0000-0000-0000B2E40000}"/>
    <cellStyle name="Обычный 14 3_объемы 2018г111" xfId="58521" xr:uid="{00000000-0005-0000-0000-0000B3E40000}"/>
    <cellStyle name="Обычный 14 4" xfId="58522" xr:uid="{00000000-0005-0000-0000-0000B4E40000}"/>
    <cellStyle name="Обычный 14 4 2" xfId="58523" xr:uid="{00000000-0005-0000-0000-0000B5E40000}"/>
    <cellStyle name="Обычный 14 4 2 2" xfId="58524" xr:uid="{00000000-0005-0000-0000-0000B6E40000}"/>
    <cellStyle name="Обычный 14 4 2 3" xfId="58525" xr:uid="{00000000-0005-0000-0000-0000B7E40000}"/>
    <cellStyle name="Обычный 14 4 3" xfId="58526" xr:uid="{00000000-0005-0000-0000-0000B8E40000}"/>
    <cellStyle name="Обычный 14 4 3 2" xfId="58527" xr:uid="{00000000-0005-0000-0000-0000B9E40000}"/>
    <cellStyle name="Обычный 14 4 3 3" xfId="58528" xr:uid="{00000000-0005-0000-0000-0000BAE40000}"/>
    <cellStyle name="Обычный 14 4 4" xfId="58529" xr:uid="{00000000-0005-0000-0000-0000BBE40000}"/>
    <cellStyle name="Обычный 14 4 5" xfId="58530" xr:uid="{00000000-0005-0000-0000-0000BCE40000}"/>
    <cellStyle name="Обычный 14 5" xfId="58531" xr:uid="{00000000-0005-0000-0000-0000BDE40000}"/>
    <cellStyle name="Обычный 14 5 2" xfId="58532" xr:uid="{00000000-0005-0000-0000-0000BEE40000}"/>
    <cellStyle name="Обычный 14 5 2 2" xfId="58533" xr:uid="{00000000-0005-0000-0000-0000BFE40000}"/>
    <cellStyle name="Обычный 14 5 2 3" xfId="58534" xr:uid="{00000000-0005-0000-0000-0000C0E40000}"/>
    <cellStyle name="Обычный 14 5 3" xfId="58535" xr:uid="{00000000-0005-0000-0000-0000C1E40000}"/>
    <cellStyle name="Обычный 14 5 3 2" xfId="58536" xr:uid="{00000000-0005-0000-0000-0000C2E40000}"/>
    <cellStyle name="Обычный 14 5 3 3" xfId="58537" xr:uid="{00000000-0005-0000-0000-0000C3E40000}"/>
    <cellStyle name="Обычный 14 5 4" xfId="58538" xr:uid="{00000000-0005-0000-0000-0000C4E40000}"/>
    <cellStyle name="Обычный 14 5 5" xfId="58539" xr:uid="{00000000-0005-0000-0000-0000C5E40000}"/>
    <cellStyle name="Обычный 14 6" xfId="58540" xr:uid="{00000000-0005-0000-0000-0000C6E40000}"/>
    <cellStyle name="Обычный 14 6 2" xfId="58541" xr:uid="{00000000-0005-0000-0000-0000C7E40000}"/>
    <cellStyle name="Обычный 14 6 2 2" xfId="58542" xr:uid="{00000000-0005-0000-0000-0000C8E40000}"/>
    <cellStyle name="Обычный 14 6 2 3" xfId="58543" xr:uid="{00000000-0005-0000-0000-0000C9E40000}"/>
    <cellStyle name="Обычный 14 6 3" xfId="58544" xr:uid="{00000000-0005-0000-0000-0000CAE40000}"/>
    <cellStyle name="Обычный 14 6 3 2" xfId="58545" xr:uid="{00000000-0005-0000-0000-0000CBE40000}"/>
    <cellStyle name="Обычный 14 6 3 3" xfId="58546" xr:uid="{00000000-0005-0000-0000-0000CCE40000}"/>
    <cellStyle name="Обычный 14 6 4" xfId="58547" xr:uid="{00000000-0005-0000-0000-0000CDE40000}"/>
    <cellStyle name="Обычный 14 6 5" xfId="58548" xr:uid="{00000000-0005-0000-0000-0000CEE40000}"/>
    <cellStyle name="Обычный 14 7" xfId="58549" xr:uid="{00000000-0005-0000-0000-0000CFE40000}"/>
    <cellStyle name="Обычный 14 7 2" xfId="58550" xr:uid="{00000000-0005-0000-0000-0000D0E40000}"/>
    <cellStyle name="Обычный 14 7 2 2" xfId="58551" xr:uid="{00000000-0005-0000-0000-0000D1E40000}"/>
    <cellStyle name="Обычный 14 7 2 3" xfId="58552" xr:uid="{00000000-0005-0000-0000-0000D2E40000}"/>
    <cellStyle name="Обычный 14 7 3" xfId="58553" xr:uid="{00000000-0005-0000-0000-0000D3E40000}"/>
    <cellStyle name="Обычный 14 7 3 2" xfId="58554" xr:uid="{00000000-0005-0000-0000-0000D4E40000}"/>
    <cellStyle name="Обычный 14 7 3 3" xfId="58555" xr:uid="{00000000-0005-0000-0000-0000D5E40000}"/>
    <cellStyle name="Обычный 14 7 4" xfId="58556" xr:uid="{00000000-0005-0000-0000-0000D6E40000}"/>
    <cellStyle name="Обычный 14 7 5" xfId="58557" xr:uid="{00000000-0005-0000-0000-0000D7E40000}"/>
    <cellStyle name="Обычный 14 8" xfId="58558" xr:uid="{00000000-0005-0000-0000-0000D8E40000}"/>
    <cellStyle name="Обычный 14 8 2" xfId="58559" xr:uid="{00000000-0005-0000-0000-0000D9E40000}"/>
    <cellStyle name="Обычный 14 8 2 2" xfId="58560" xr:uid="{00000000-0005-0000-0000-0000DAE40000}"/>
    <cellStyle name="Обычный 14 8 2 3" xfId="58561" xr:uid="{00000000-0005-0000-0000-0000DBE40000}"/>
    <cellStyle name="Обычный 14 8 3" xfId="58562" xr:uid="{00000000-0005-0000-0000-0000DCE40000}"/>
    <cellStyle name="Обычный 14 8 3 2" xfId="58563" xr:uid="{00000000-0005-0000-0000-0000DDE40000}"/>
    <cellStyle name="Обычный 14 8 3 3" xfId="58564" xr:uid="{00000000-0005-0000-0000-0000DEE40000}"/>
    <cellStyle name="Обычный 14 8 4" xfId="58565" xr:uid="{00000000-0005-0000-0000-0000DFE40000}"/>
    <cellStyle name="Обычный 14 8 5" xfId="58566" xr:uid="{00000000-0005-0000-0000-0000E0E40000}"/>
    <cellStyle name="Обычный 14 9" xfId="58567" xr:uid="{00000000-0005-0000-0000-0000E1E40000}"/>
    <cellStyle name="Обычный 14 9 2" xfId="58568" xr:uid="{00000000-0005-0000-0000-0000E2E40000}"/>
    <cellStyle name="Обычный 14 9 2 2" xfId="58569" xr:uid="{00000000-0005-0000-0000-0000E3E40000}"/>
    <cellStyle name="Обычный 14 9 2 3" xfId="58570" xr:uid="{00000000-0005-0000-0000-0000E4E40000}"/>
    <cellStyle name="Обычный 14 9 3" xfId="58571" xr:uid="{00000000-0005-0000-0000-0000E5E40000}"/>
    <cellStyle name="Обычный 14 9 3 2" xfId="58572" xr:uid="{00000000-0005-0000-0000-0000E6E40000}"/>
    <cellStyle name="Обычный 14 9 3 3" xfId="58573" xr:uid="{00000000-0005-0000-0000-0000E7E40000}"/>
    <cellStyle name="Обычный 14 9 4" xfId="58574" xr:uid="{00000000-0005-0000-0000-0000E8E40000}"/>
    <cellStyle name="Обычный 14 9 5" xfId="58575" xr:uid="{00000000-0005-0000-0000-0000E9E40000}"/>
    <cellStyle name="Обычный 14_объемы 2018г111" xfId="58576" xr:uid="{00000000-0005-0000-0000-0000EAE40000}"/>
    <cellStyle name="Обычный 140" xfId="58577" xr:uid="{00000000-0005-0000-0000-0000EBE40000}"/>
    <cellStyle name="Обычный 140 2" xfId="58578" xr:uid="{00000000-0005-0000-0000-0000ECE40000}"/>
    <cellStyle name="Обычный 140 3" xfId="58579" xr:uid="{00000000-0005-0000-0000-0000EDE40000}"/>
    <cellStyle name="Обычный 141" xfId="58580" xr:uid="{00000000-0005-0000-0000-0000EEE40000}"/>
    <cellStyle name="Обычный 142" xfId="58581" xr:uid="{00000000-0005-0000-0000-0000EFE40000}"/>
    <cellStyle name="Обычный 143" xfId="58582" xr:uid="{00000000-0005-0000-0000-0000F0E40000}"/>
    <cellStyle name="Обычный 143 2" xfId="58583" xr:uid="{00000000-0005-0000-0000-0000F1E40000}"/>
    <cellStyle name="Обычный 144" xfId="58584" xr:uid="{00000000-0005-0000-0000-0000F2E40000}"/>
    <cellStyle name="Обычный 144 2" xfId="61298" xr:uid="{00000000-0005-0000-0000-0000F3E40000}"/>
    <cellStyle name="Обычный 144 2 2" xfId="61346" xr:uid="{00000000-0005-0000-0000-0000F4E40000}"/>
    <cellStyle name="Обычный 144 2 3" xfId="61359" xr:uid="{00000000-0005-0000-0000-0000F5E40000}"/>
    <cellStyle name="Обычный 144 2 4" xfId="61368" xr:uid="{00000000-0005-0000-0000-0000F6E40000}"/>
    <cellStyle name="Обычный 144 2 5" xfId="61400" xr:uid="{00000000-0005-0000-0000-0000F7E40000}"/>
    <cellStyle name="Обычный 144 2 6" xfId="61413" xr:uid="{00000000-0005-0000-0000-0000F8E40000}"/>
    <cellStyle name="Обычный 145" xfId="61300" xr:uid="{00000000-0005-0000-0000-0000F9E40000}"/>
    <cellStyle name="Обычный 146" xfId="61301" xr:uid="{00000000-0005-0000-0000-0000FAE40000}"/>
    <cellStyle name="Обычный 147" xfId="61312" xr:uid="{00000000-0005-0000-0000-0000FBE40000}"/>
    <cellStyle name="Обычный 148" xfId="61313" xr:uid="{00000000-0005-0000-0000-0000FCE40000}"/>
    <cellStyle name="Обычный 149" xfId="61314" xr:uid="{00000000-0005-0000-0000-0000FDE40000}"/>
    <cellStyle name="Обычный 149 10" xfId="61371" xr:uid="{00000000-0005-0000-0000-0000FEE40000}"/>
    <cellStyle name="Обычный 149 11" xfId="61388" xr:uid="{00000000-0005-0000-0000-0000FFE40000}"/>
    <cellStyle name="Обычный 149 12" xfId="61391" xr:uid="{00000000-0005-0000-0000-000000E50000}"/>
    <cellStyle name="Обычный 149 13" xfId="61401" xr:uid="{00000000-0005-0000-0000-000001E50000}"/>
    <cellStyle name="Обычный 149 14" xfId="61403" xr:uid="{00000000-0005-0000-0000-000002E50000}"/>
    <cellStyle name="Обычный 149 2" xfId="61323" xr:uid="{00000000-0005-0000-0000-000003E50000}"/>
    <cellStyle name="Обычный 149 3" xfId="61324" xr:uid="{00000000-0005-0000-0000-000004E50000}"/>
    <cellStyle name="Обычный 149 4" xfId="61328" xr:uid="{00000000-0005-0000-0000-000005E50000}"/>
    <cellStyle name="Обычный 149 5" xfId="61340" xr:uid="{00000000-0005-0000-0000-000006E50000}"/>
    <cellStyle name="Обычный 149 6" xfId="61348" xr:uid="{00000000-0005-0000-0000-000007E50000}"/>
    <cellStyle name="Обычный 149 7" xfId="61351" xr:uid="{00000000-0005-0000-0000-000008E50000}"/>
    <cellStyle name="Обычный 149 8" xfId="61352" xr:uid="{00000000-0005-0000-0000-000009E50000}"/>
    <cellStyle name="Обычный 149 9" xfId="61370" xr:uid="{00000000-0005-0000-0000-00000AE50000}"/>
    <cellStyle name="Обычный 149 9 2" xfId="61372" xr:uid="{00000000-0005-0000-0000-00000BE50000}"/>
    <cellStyle name="Обычный 149 9 3" xfId="61389" xr:uid="{00000000-0005-0000-0000-00000CE50000}"/>
    <cellStyle name="Обычный 149 9 4" xfId="61402" xr:uid="{00000000-0005-0000-0000-00000DE50000}"/>
    <cellStyle name="Обычный 149 9 5" xfId="61404" xr:uid="{00000000-0005-0000-0000-00000EE50000}"/>
    <cellStyle name="Обычный 15" xfId="58585" xr:uid="{00000000-0005-0000-0000-00000FE50000}"/>
    <cellStyle name="Обычный 15 10" xfId="58586" xr:uid="{00000000-0005-0000-0000-000010E50000}"/>
    <cellStyle name="Обычный 15 10 2" xfId="58587" xr:uid="{00000000-0005-0000-0000-000011E50000}"/>
    <cellStyle name="Обычный 15 10 2 2" xfId="58588" xr:uid="{00000000-0005-0000-0000-000012E50000}"/>
    <cellStyle name="Обычный 15 10 2 3" xfId="58589" xr:uid="{00000000-0005-0000-0000-000013E50000}"/>
    <cellStyle name="Обычный 15 10 3" xfId="58590" xr:uid="{00000000-0005-0000-0000-000014E50000}"/>
    <cellStyle name="Обычный 15 10 3 2" xfId="58591" xr:uid="{00000000-0005-0000-0000-000015E50000}"/>
    <cellStyle name="Обычный 15 10 3 3" xfId="58592" xr:uid="{00000000-0005-0000-0000-000016E50000}"/>
    <cellStyle name="Обычный 15 10 4" xfId="58593" xr:uid="{00000000-0005-0000-0000-000017E50000}"/>
    <cellStyle name="Обычный 15 10 5" xfId="58594" xr:uid="{00000000-0005-0000-0000-000018E50000}"/>
    <cellStyle name="Обычный 15 11" xfId="58595" xr:uid="{00000000-0005-0000-0000-000019E50000}"/>
    <cellStyle name="Обычный 15 11 2" xfId="58596" xr:uid="{00000000-0005-0000-0000-00001AE50000}"/>
    <cellStyle name="Обычный 15 11 2 2" xfId="58597" xr:uid="{00000000-0005-0000-0000-00001BE50000}"/>
    <cellStyle name="Обычный 15 11 2 3" xfId="58598" xr:uid="{00000000-0005-0000-0000-00001CE50000}"/>
    <cellStyle name="Обычный 15 11 3" xfId="58599" xr:uid="{00000000-0005-0000-0000-00001DE50000}"/>
    <cellStyle name="Обычный 15 11 3 2" xfId="58600" xr:uid="{00000000-0005-0000-0000-00001EE50000}"/>
    <cellStyle name="Обычный 15 11 3 3" xfId="58601" xr:uid="{00000000-0005-0000-0000-00001FE50000}"/>
    <cellStyle name="Обычный 15 11 4" xfId="58602" xr:uid="{00000000-0005-0000-0000-000020E50000}"/>
    <cellStyle name="Обычный 15 11 5" xfId="58603" xr:uid="{00000000-0005-0000-0000-000021E50000}"/>
    <cellStyle name="Обычный 15 12" xfId="58604" xr:uid="{00000000-0005-0000-0000-000022E50000}"/>
    <cellStyle name="Обычный 15 12 2" xfId="58605" xr:uid="{00000000-0005-0000-0000-000023E50000}"/>
    <cellStyle name="Обычный 15 12 2 2" xfId="58606" xr:uid="{00000000-0005-0000-0000-000024E50000}"/>
    <cellStyle name="Обычный 15 12 2 3" xfId="58607" xr:uid="{00000000-0005-0000-0000-000025E50000}"/>
    <cellStyle name="Обычный 15 12 3" xfId="58608" xr:uid="{00000000-0005-0000-0000-000026E50000}"/>
    <cellStyle name="Обычный 15 12 3 2" xfId="58609" xr:uid="{00000000-0005-0000-0000-000027E50000}"/>
    <cellStyle name="Обычный 15 12 3 3" xfId="58610" xr:uid="{00000000-0005-0000-0000-000028E50000}"/>
    <cellStyle name="Обычный 15 12 4" xfId="58611" xr:uid="{00000000-0005-0000-0000-000029E50000}"/>
    <cellStyle name="Обычный 15 12 5" xfId="58612" xr:uid="{00000000-0005-0000-0000-00002AE50000}"/>
    <cellStyle name="Обычный 15 13" xfId="58613" xr:uid="{00000000-0005-0000-0000-00002BE50000}"/>
    <cellStyle name="Обычный 15 13 2" xfId="58614" xr:uid="{00000000-0005-0000-0000-00002CE50000}"/>
    <cellStyle name="Обычный 15 13 2 2" xfId="58615" xr:uid="{00000000-0005-0000-0000-00002DE50000}"/>
    <cellStyle name="Обычный 15 13 2 3" xfId="58616" xr:uid="{00000000-0005-0000-0000-00002EE50000}"/>
    <cellStyle name="Обычный 15 13 3" xfId="58617" xr:uid="{00000000-0005-0000-0000-00002FE50000}"/>
    <cellStyle name="Обычный 15 13 3 2" xfId="58618" xr:uid="{00000000-0005-0000-0000-000030E50000}"/>
    <cellStyle name="Обычный 15 13 3 3" xfId="58619" xr:uid="{00000000-0005-0000-0000-000031E50000}"/>
    <cellStyle name="Обычный 15 13 4" xfId="58620" xr:uid="{00000000-0005-0000-0000-000032E50000}"/>
    <cellStyle name="Обычный 15 13 5" xfId="58621" xr:uid="{00000000-0005-0000-0000-000033E50000}"/>
    <cellStyle name="Обычный 15 14" xfId="58622" xr:uid="{00000000-0005-0000-0000-000034E50000}"/>
    <cellStyle name="Обычный 15 14 2" xfId="58623" xr:uid="{00000000-0005-0000-0000-000035E50000}"/>
    <cellStyle name="Обычный 15 14 2 2" xfId="58624" xr:uid="{00000000-0005-0000-0000-000036E50000}"/>
    <cellStyle name="Обычный 15 14 2 3" xfId="58625" xr:uid="{00000000-0005-0000-0000-000037E50000}"/>
    <cellStyle name="Обычный 15 14 3" xfId="58626" xr:uid="{00000000-0005-0000-0000-000038E50000}"/>
    <cellStyle name="Обычный 15 14 3 2" xfId="58627" xr:uid="{00000000-0005-0000-0000-000039E50000}"/>
    <cellStyle name="Обычный 15 14 3 3" xfId="58628" xr:uid="{00000000-0005-0000-0000-00003AE50000}"/>
    <cellStyle name="Обычный 15 14 4" xfId="58629" xr:uid="{00000000-0005-0000-0000-00003BE50000}"/>
    <cellStyle name="Обычный 15 14 5" xfId="58630" xr:uid="{00000000-0005-0000-0000-00003CE50000}"/>
    <cellStyle name="Обычный 15 15" xfId="58631" xr:uid="{00000000-0005-0000-0000-00003DE50000}"/>
    <cellStyle name="Обычный 15 15 2" xfId="58632" xr:uid="{00000000-0005-0000-0000-00003EE50000}"/>
    <cellStyle name="Обычный 15 15 2 2" xfId="58633" xr:uid="{00000000-0005-0000-0000-00003FE50000}"/>
    <cellStyle name="Обычный 15 15 2 3" xfId="58634" xr:uid="{00000000-0005-0000-0000-000040E50000}"/>
    <cellStyle name="Обычный 15 15 3" xfId="58635" xr:uid="{00000000-0005-0000-0000-000041E50000}"/>
    <cellStyle name="Обычный 15 15 3 2" xfId="58636" xr:uid="{00000000-0005-0000-0000-000042E50000}"/>
    <cellStyle name="Обычный 15 15 3 3" xfId="58637" xr:uid="{00000000-0005-0000-0000-000043E50000}"/>
    <cellStyle name="Обычный 15 15 4" xfId="58638" xr:uid="{00000000-0005-0000-0000-000044E50000}"/>
    <cellStyle name="Обычный 15 15 5" xfId="58639" xr:uid="{00000000-0005-0000-0000-000045E50000}"/>
    <cellStyle name="Обычный 15 16" xfId="58640" xr:uid="{00000000-0005-0000-0000-000046E50000}"/>
    <cellStyle name="Обычный 15 16 2" xfId="58641" xr:uid="{00000000-0005-0000-0000-000047E50000}"/>
    <cellStyle name="Обычный 15 16 2 2" xfId="58642" xr:uid="{00000000-0005-0000-0000-000048E50000}"/>
    <cellStyle name="Обычный 15 16 2 3" xfId="58643" xr:uid="{00000000-0005-0000-0000-000049E50000}"/>
    <cellStyle name="Обычный 15 16 3" xfId="58644" xr:uid="{00000000-0005-0000-0000-00004AE50000}"/>
    <cellStyle name="Обычный 15 16 3 2" xfId="58645" xr:uid="{00000000-0005-0000-0000-00004BE50000}"/>
    <cellStyle name="Обычный 15 16 3 3" xfId="58646" xr:uid="{00000000-0005-0000-0000-00004CE50000}"/>
    <cellStyle name="Обычный 15 16 4" xfId="58647" xr:uid="{00000000-0005-0000-0000-00004DE50000}"/>
    <cellStyle name="Обычный 15 16 5" xfId="58648" xr:uid="{00000000-0005-0000-0000-00004EE50000}"/>
    <cellStyle name="Обычный 15 17" xfId="58649" xr:uid="{00000000-0005-0000-0000-00004FE50000}"/>
    <cellStyle name="Обычный 15 17 2" xfId="58650" xr:uid="{00000000-0005-0000-0000-000050E50000}"/>
    <cellStyle name="Обычный 15 17 3" xfId="58651" xr:uid="{00000000-0005-0000-0000-000051E50000}"/>
    <cellStyle name="Обычный 15 18" xfId="58652" xr:uid="{00000000-0005-0000-0000-000052E50000}"/>
    <cellStyle name="Обычный 15 18 2" xfId="58653" xr:uid="{00000000-0005-0000-0000-000053E50000}"/>
    <cellStyle name="Обычный 15 18 3" xfId="58654" xr:uid="{00000000-0005-0000-0000-000054E50000}"/>
    <cellStyle name="Обычный 15 19" xfId="58655" xr:uid="{00000000-0005-0000-0000-000055E50000}"/>
    <cellStyle name="Обычный 15 2" xfId="58656" xr:uid="{00000000-0005-0000-0000-000056E50000}"/>
    <cellStyle name="Обычный 15 2 2" xfId="58657" xr:uid="{00000000-0005-0000-0000-000057E50000}"/>
    <cellStyle name="Обычный 15 2 2 2" xfId="58658" xr:uid="{00000000-0005-0000-0000-000058E50000}"/>
    <cellStyle name="Обычный 15 2 2 2 2" xfId="58659" xr:uid="{00000000-0005-0000-0000-000059E50000}"/>
    <cellStyle name="Обычный 15 2 2 2 2 2" xfId="58660" xr:uid="{00000000-0005-0000-0000-00005AE50000}"/>
    <cellStyle name="Обычный 15 2 2 2 2 3" xfId="58661" xr:uid="{00000000-0005-0000-0000-00005BE50000}"/>
    <cellStyle name="Обычный 15 2 2 2 3" xfId="58662" xr:uid="{00000000-0005-0000-0000-00005CE50000}"/>
    <cellStyle name="Обычный 15 2 2 2 3 2" xfId="58663" xr:uid="{00000000-0005-0000-0000-00005DE50000}"/>
    <cellStyle name="Обычный 15 2 2 2 3 3" xfId="58664" xr:uid="{00000000-0005-0000-0000-00005EE50000}"/>
    <cellStyle name="Обычный 15 2 2 2 4" xfId="58665" xr:uid="{00000000-0005-0000-0000-00005FE50000}"/>
    <cellStyle name="Обычный 15 2 2 2 5" xfId="58666" xr:uid="{00000000-0005-0000-0000-000060E50000}"/>
    <cellStyle name="Обычный 15 2 2 3" xfId="58667" xr:uid="{00000000-0005-0000-0000-000061E50000}"/>
    <cellStyle name="Обычный 15 2 2 3 2" xfId="58668" xr:uid="{00000000-0005-0000-0000-000062E50000}"/>
    <cellStyle name="Обычный 15 2 2 3 3" xfId="58669" xr:uid="{00000000-0005-0000-0000-000063E50000}"/>
    <cellStyle name="Обычный 15 2 2 4" xfId="58670" xr:uid="{00000000-0005-0000-0000-000064E50000}"/>
    <cellStyle name="Обычный 15 2 2 4 2" xfId="58671" xr:uid="{00000000-0005-0000-0000-000065E50000}"/>
    <cellStyle name="Обычный 15 2 2 4 3" xfId="58672" xr:uid="{00000000-0005-0000-0000-000066E50000}"/>
    <cellStyle name="Обычный 15 2 2 5" xfId="58673" xr:uid="{00000000-0005-0000-0000-000067E50000}"/>
    <cellStyle name="Обычный 15 2 2 6" xfId="58674" xr:uid="{00000000-0005-0000-0000-000068E50000}"/>
    <cellStyle name="Обычный 15 2 2_объемы 2018г111" xfId="58675" xr:uid="{00000000-0005-0000-0000-000069E50000}"/>
    <cellStyle name="Обычный 15 2 3" xfId="58676" xr:uid="{00000000-0005-0000-0000-00006AE50000}"/>
    <cellStyle name="Обычный 15 2 3 2" xfId="58677" xr:uid="{00000000-0005-0000-0000-00006BE50000}"/>
    <cellStyle name="Обычный 15 2 3 2 2" xfId="58678" xr:uid="{00000000-0005-0000-0000-00006CE50000}"/>
    <cellStyle name="Обычный 15 2 3 2 3" xfId="58679" xr:uid="{00000000-0005-0000-0000-00006DE50000}"/>
    <cellStyle name="Обычный 15 2 3 3" xfId="58680" xr:uid="{00000000-0005-0000-0000-00006EE50000}"/>
    <cellStyle name="Обычный 15 2 3 3 2" xfId="58681" xr:uid="{00000000-0005-0000-0000-00006FE50000}"/>
    <cellStyle name="Обычный 15 2 3 3 3" xfId="58682" xr:uid="{00000000-0005-0000-0000-000070E50000}"/>
    <cellStyle name="Обычный 15 2 3 4" xfId="58683" xr:uid="{00000000-0005-0000-0000-000071E50000}"/>
    <cellStyle name="Обычный 15 2 3 5" xfId="58684" xr:uid="{00000000-0005-0000-0000-000072E50000}"/>
    <cellStyle name="Обычный 15 2 4" xfId="58685" xr:uid="{00000000-0005-0000-0000-000073E50000}"/>
    <cellStyle name="Обычный 15 2 4 2" xfId="58686" xr:uid="{00000000-0005-0000-0000-000074E50000}"/>
    <cellStyle name="Обычный 15 2 4 3" xfId="58687" xr:uid="{00000000-0005-0000-0000-000075E50000}"/>
    <cellStyle name="Обычный 15 2 4 4" xfId="4" xr:uid="{00000000-0005-0000-0000-000076E50000}"/>
    <cellStyle name="Обычный 15 2 5" xfId="58688" xr:uid="{00000000-0005-0000-0000-000077E50000}"/>
    <cellStyle name="Обычный 15 2 5 2" xfId="58689" xr:uid="{00000000-0005-0000-0000-000078E50000}"/>
    <cellStyle name="Обычный 15 2 5 3" xfId="58690" xr:uid="{00000000-0005-0000-0000-000079E50000}"/>
    <cellStyle name="Обычный 15 2 6" xfId="58691" xr:uid="{00000000-0005-0000-0000-00007AE50000}"/>
    <cellStyle name="Обычный 15 2 7" xfId="58692" xr:uid="{00000000-0005-0000-0000-00007BE50000}"/>
    <cellStyle name="Обычный 15 2_объемы 2018г111" xfId="58693" xr:uid="{00000000-0005-0000-0000-00007CE50000}"/>
    <cellStyle name="Обычный 15 20" xfId="58694" xr:uid="{00000000-0005-0000-0000-00007DE50000}"/>
    <cellStyle name="Обычный 15 3" xfId="58695" xr:uid="{00000000-0005-0000-0000-00007EE50000}"/>
    <cellStyle name="Обычный 15 3 2" xfId="58696" xr:uid="{00000000-0005-0000-0000-00007FE50000}"/>
    <cellStyle name="Обычный 15 3 2 2" xfId="58697" xr:uid="{00000000-0005-0000-0000-000080E50000}"/>
    <cellStyle name="Обычный 15 3 2 2 2" xfId="58698" xr:uid="{00000000-0005-0000-0000-000081E50000}"/>
    <cellStyle name="Обычный 15 3 2 2 3" xfId="58699" xr:uid="{00000000-0005-0000-0000-000082E50000}"/>
    <cellStyle name="Обычный 15 3 2 3" xfId="58700" xr:uid="{00000000-0005-0000-0000-000083E50000}"/>
    <cellStyle name="Обычный 15 3 2 3 2" xfId="58701" xr:uid="{00000000-0005-0000-0000-000084E50000}"/>
    <cellStyle name="Обычный 15 3 2 3 3" xfId="58702" xr:uid="{00000000-0005-0000-0000-000085E50000}"/>
    <cellStyle name="Обычный 15 3 2 4" xfId="58703" xr:uid="{00000000-0005-0000-0000-000086E50000}"/>
    <cellStyle name="Обычный 15 3 2 5" xfId="58704" xr:uid="{00000000-0005-0000-0000-000087E50000}"/>
    <cellStyle name="Обычный 15 3 3" xfId="58705" xr:uid="{00000000-0005-0000-0000-000088E50000}"/>
    <cellStyle name="Обычный 15 3 3 2" xfId="58706" xr:uid="{00000000-0005-0000-0000-000089E50000}"/>
    <cellStyle name="Обычный 15 3 3 3" xfId="58707" xr:uid="{00000000-0005-0000-0000-00008AE50000}"/>
    <cellStyle name="Обычный 15 3 4" xfId="58708" xr:uid="{00000000-0005-0000-0000-00008BE50000}"/>
    <cellStyle name="Обычный 15 3 4 2" xfId="58709" xr:uid="{00000000-0005-0000-0000-00008CE50000}"/>
    <cellStyle name="Обычный 15 3 4 3" xfId="58710" xr:uid="{00000000-0005-0000-0000-00008DE50000}"/>
    <cellStyle name="Обычный 15 3 5" xfId="58711" xr:uid="{00000000-0005-0000-0000-00008EE50000}"/>
    <cellStyle name="Обычный 15 3 6" xfId="58712" xr:uid="{00000000-0005-0000-0000-00008FE50000}"/>
    <cellStyle name="Обычный 15 3_объемы 2018г111" xfId="58713" xr:uid="{00000000-0005-0000-0000-000090E50000}"/>
    <cellStyle name="Обычный 15 4" xfId="58714" xr:uid="{00000000-0005-0000-0000-000091E50000}"/>
    <cellStyle name="Обычный 15 4 2" xfId="58715" xr:uid="{00000000-0005-0000-0000-000092E50000}"/>
    <cellStyle name="Обычный 15 4 2 2" xfId="58716" xr:uid="{00000000-0005-0000-0000-000093E50000}"/>
    <cellStyle name="Обычный 15 4 2 3" xfId="58717" xr:uid="{00000000-0005-0000-0000-000094E50000}"/>
    <cellStyle name="Обычный 15 4 3" xfId="58718" xr:uid="{00000000-0005-0000-0000-000095E50000}"/>
    <cellStyle name="Обычный 15 4 3 2" xfId="58719" xr:uid="{00000000-0005-0000-0000-000096E50000}"/>
    <cellStyle name="Обычный 15 4 3 3" xfId="58720" xr:uid="{00000000-0005-0000-0000-000097E50000}"/>
    <cellStyle name="Обычный 15 4 4" xfId="58721" xr:uid="{00000000-0005-0000-0000-000098E50000}"/>
    <cellStyle name="Обычный 15 4 5" xfId="58722" xr:uid="{00000000-0005-0000-0000-000099E50000}"/>
    <cellStyle name="Обычный 15 5" xfId="58723" xr:uid="{00000000-0005-0000-0000-00009AE50000}"/>
    <cellStyle name="Обычный 15 5 2" xfId="58724" xr:uid="{00000000-0005-0000-0000-00009BE50000}"/>
    <cellStyle name="Обычный 15 5 2 2" xfId="58725" xr:uid="{00000000-0005-0000-0000-00009CE50000}"/>
    <cellStyle name="Обычный 15 5 2 3" xfId="58726" xr:uid="{00000000-0005-0000-0000-00009DE50000}"/>
    <cellStyle name="Обычный 15 5 3" xfId="58727" xr:uid="{00000000-0005-0000-0000-00009EE50000}"/>
    <cellStyle name="Обычный 15 5 3 2" xfId="58728" xr:uid="{00000000-0005-0000-0000-00009FE50000}"/>
    <cellStyle name="Обычный 15 5 3 3" xfId="58729" xr:uid="{00000000-0005-0000-0000-0000A0E50000}"/>
    <cellStyle name="Обычный 15 5 4" xfId="58730" xr:uid="{00000000-0005-0000-0000-0000A1E50000}"/>
    <cellStyle name="Обычный 15 5 5" xfId="58731" xr:uid="{00000000-0005-0000-0000-0000A2E50000}"/>
    <cellStyle name="Обычный 15 6" xfId="58732" xr:uid="{00000000-0005-0000-0000-0000A3E50000}"/>
    <cellStyle name="Обычный 15 6 2" xfId="58733" xr:uid="{00000000-0005-0000-0000-0000A4E50000}"/>
    <cellStyle name="Обычный 15 6 2 2" xfId="58734" xr:uid="{00000000-0005-0000-0000-0000A5E50000}"/>
    <cellStyle name="Обычный 15 6 2 3" xfId="58735" xr:uid="{00000000-0005-0000-0000-0000A6E50000}"/>
    <cellStyle name="Обычный 15 6 3" xfId="58736" xr:uid="{00000000-0005-0000-0000-0000A7E50000}"/>
    <cellStyle name="Обычный 15 6 3 2" xfId="58737" xr:uid="{00000000-0005-0000-0000-0000A8E50000}"/>
    <cellStyle name="Обычный 15 6 3 3" xfId="58738" xr:uid="{00000000-0005-0000-0000-0000A9E50000}"/>
    <cellStyle name="Обычный 15 6 4" xfId="58739" xr:uid="{00000000-0005-0000-0000-0000AAE50000}"/>
    <cellStyle name="Обычный 15 6 5" xfId="58740" xr:uid="{00000000-0005-0000-0000-0000ABE50000}"/>
    <cellStyle name="Обычный 15 7" xfId="58741" xr:uid="{00000000-0005-0000-0000-0000ACE50000}"/>
    <cellStyle name="Обычный 15 7 2" xfId="58742" xr:uid="{00000000-0005-0000-0000-0000ADE50000}"/>
    <cellStyle name="Обычный 15 7 2 2" xfId="58743" xr:uid="{00000000-0005-0000-0000-0000AEE50000}"/>
    <cellStyle name="Обычный 15 7 2 3" xfId="58744" xr:uid="{00000000-0005-0000-0000-0000AFE50000}"/>
    <cellStyle name="Обычный 15 7 3" xfId="58745" xr:uid="{00000000-0005-0000-0000-0000B0E50000}"/>
    <cellStyle name="Обычный 15 7 3 2" xfId="58746" xr:uid="{00000000-0005-0000-0000-0000B1E50000}"/>
    <cellStyle name="Обычный 15 7 3 3" xfId="58747" xr:uid="{00000000-0005-0000-0000-0000B2E50000}"/>
    <cellStyle name="Обычный 15 7 4" xfId="58748" xr:uid="{00000000-0005-0000-0000-0000B3E50000}"/>
    <cellStyle name="Обычный 15 7 5" xfId="58749" xr:uid="{00000000-0005-0000-0000-0000B4E50000}"/>
    <cellStyle name="Обычный 15 8" xfId="58750" xr:uid="{00000000-0005-0000-0000-0000B5E50000}"/>
    <cellStyle name="Обычный 15 8 2" xfId="58751" xr:uid="{00000000-0005-0000-0000-0000B6E50000}"/>
    <cellStyle name="Обычный 15 8 2 2" xfId="58752" xr:uid="{00000000-0005-0000-0000-0000B7E50000}"/>
    <cellStyle name="Обычный 15 8 2 3" xfId="58753" xr:uid="{00000000-0005-0000-0000-0000B8E50000}"/>
    <cellStyle name="Обычный 15 8 3" xfId="58754" xr:uid="{00000000-0005-0000-0000-0000B9E50000}"/>
    <cellStyle name="Обычный 15 8 3 2" xfId="58755" xr:uid="{00000000-0005-0000-0000-0000BAE50000}"/>
    <cellStyle name="Обычный 15 8 3 3" xfId="58756" xr:uid="{00000000-0005-0000-0000-0000BBE50000}"/>
    <cellStyle name="Обычный 15 8 4" xfId="58757" xr:uid="{00000000-0005-0000-0000-0000BCE50000}"/>
    <cellStyle name="Обычный 15 8 5" xfId="58758" xr:uid="{00000000-0005-0000-0000-0000BDE50000}"/>
    <cellStyle name="Обычный 15 9" xfId="58759" xr:uid="{00000000-0005-0000-0000-0000BEE50000}"/>
    <cellStyle name="Обычный 15 9 2" xfId="58760" xr:uid="{00000000-0005-0000-0000-0000BFE50000}"/>
    <cellStyle name="Обычный 15 9 2 2" xfId="58761" xr:uid="{00000000-0005-0000-0000-0000C0E50000}"/>
    <cellStyle name="Обычный 15 9 2 3" xfId="58762" xr:uid="{00000000-0005-0000-0000-0000C1E50000}"/>
    <cellStyle name="Обычный 15 9 3" xfId="58763" xr:uid="{00000000-0005-0000-0000-0000C2E50000}"/>
    <cellStyle name="Обычный 15 9 3 2" xfId="58764" xr:uid="{00000000-0005-0000-0000-0000C3E50000}"/>
    <cellStyle name="Обычный 15 9 3 3" xfId="58765" xr:uid="{00000000-0005-0000-0000-0000C4E50000}"/>
    <cellStyle name="Обычный 15 9 4" xfId="58766" xr:uid="{00000000-0005-0000-0000-0000C5E50000}"/>
    <cellStyle name="Обычный 15 9 5" xfId="58767" xr:uid="{00000000-0005-0000-0000-0000C6E50000}"/>
    <cellStyle name="Обычный 15_объемы 2018г111" xfId="58768" xr:uid="{00000000-0005-0000-0000-0000C7E50000}"/>
    <cellStyle name="Обычный 150" xfId="61317" xr:uid="{00000000-0005-0000-0000-0000C8E50000}"/>
    <cellStyle name="Обычный 150 2" xfId="61329" xr:uid="{00000000-0005-0000-0000-0000C9E50000}"/>
    <cellStyle name="Обычный 151" xfId="61322" xr:uid="{00000000-0005-0000-0000-0000CAE50000}"/>
    <cellStyle name="Обычный 152" xfId="61347" xr:uid="{00000000-0005-0000-0000-0000CBE50000}"/>
    <cellStyle name="Обычный 16" xfId="58769" xr:uid="{00000000-0005-0000-0000-0000CCE50000}"/>
    <cellStyle name="Обычный 16 2" xfId="58770" xr:uid="{00000000-0005-0000-0000-0000CDE50000}"/>
    <cellStyle name="Обычный 17" xfId="58771" xr:uid="{00000000-0005-0000-0000-0000CEE50000}"/>
    <cellStyle name="Обычный 17 2" xfId="58772" xr:uid="{00000000-0005-0000-0000-0000CFE50000}"/>
    <cellStyle name="Обычный 17 3" xfId="61302" xr:uid="{00000000-0005-0000-0000-0000D0E50000}"/>
    <cellStyle name="Обычный 18" xfId="58773" xr:uid="{00000000-0005-0000-0000-0000D1E50000}"/>
    <cellStyle name="Обычный 18 2" xfId="58774" xr:uid="{00000000-0005-0000-0000-0000D2E50000}"/>
    <cellStyle name="Обычный 18 2 2" xfId="58775" xr:uid="{00000000-0005-0000-0000-0000D3E50000}"/>
    <cellStyle name="Обычный 18 2 2 2" xfId="58776" xr:uid="{00000000-0005-0000-0000-0000D4E50000}"/>
    <cellStyle name="Обычный 18 2 2 2 2" xfId="58777" xr:uid="{00000000-0005-0000-0000-0000D5E50000}"/>
    <cellStyle name="Обычный 18 2 2 2 3" xfId="58778" xr:uid="{00000000-0005-0000-0000-0000D6E50000}"/>
    <cellStyle name="Обычный 18 2 2 3" xfId="58779" xr:uid="{00000000-0005-0000-0000-0000D7E50000}"/>
    <cellStyle name="Обычный 18 2 2 3 2" xfId="58780" xr:uid="{00000000-0005-0000-0000-0000D8E50000}"/>
    <cellStyle name="Обычный 18 2 2 3 3" xfId="58781" xr:uid="{00000000-0005-0000-0000-0000D9E50000}"/>
    <cellStyle name="Обычный 18 2 2 4" xfId="58782" xr:uid="{00000000-0005-0000-0000-0000DAE50000}"/>
    <cellStyle name="Обычный 18 2 2 5" xfId="58783" xr:uid="{00000000-0005-0000-0000-0000DBE50000}"/>
    <cellStyle name="Обычный 18 2 3" xfId="58784" xr:uid="{00000000-0005-0000-0000-0000DCE50000}"/>
    <cellStyle name="Обычный 18 2 3 2" xfId="58785" xr:uid="{00000000-0005-0000-0000-0000DDE50000}"/>
    <cellStyle name="Обычный 18 2 3 3" xfId="58786" xr:uid="{00000000-0005-0000-0000-0000DEE50000}"/>
    <cellStyle name="Обычный 18 2 4" xfId="58787" xr:uid="{00000000-0005-0000-0000-0000DFE50000}"/>
    <cellStyle name="Обычный 18 2 4 2" xfId="58788" xr:uid="{00000000-0005-0000-0000-0000E0E50000}"/>
    <cellStyle name="Обычный 18 2 4 3" xfId="58789" xr:uid="{00000000-0005-0000-0000-0000E1E50000}"/>
    <cellStyle name="Обычный 18 2 5" xfId="58790" xr:uid="{00000000-0005-0000-0000-0000E2E50000}"/>
    <cellStyle name="Обычный 18 2 6" xfId="58791" xr:uid="{00000000-0005-0000-0000-0000E3E50000}"/>
    <cellStyle name="Обычный 18 2_объемы 2018г111" xfId="58792" xr:uid="{00000000-0005-0000-0000-0000E4E50000}"/>
    <cellStyle name="Обычный 18 3" xfId="58793" xr:uid="{00000000-0005-0000-0000-0000E5E50000}"/>
    <cellStyle name="Обычный 18 3 2" xfId="58794" xr:uid="{00000000-0005-0000-0000-0000E6E50000}"/>
    <cellStyle name="Обычный 18 3 2 2" xfId="58795" xr:uid="{00000000-0005-0000-0000-0000E7E50000}"/>
    <cellStyle name="Обычный 18 3 2 3" xfId="58796" xr:uid="{00000000-0005-0000-0000-0000E8E50000}"/>
    <cellStyle name="Обычный 18 3 3" xfId="58797" xr:uid="{00000000-0005-0000-0000-0000E9E50000}"/>
    <cellStyle name="Обычный 18 3 3 2" xfId="58798" xr:uid="{00000000-0005-0000-0000-0000EAE50000}"/>
    <cellStyle name="Обычный 18 3 3 3" xfId="58799" xr:uid="{00000000-0005-0000-0000-0000EBE50000}"/>
    <cellStyle name="Обычный 18 3 4" xfId="58800" xr:uid="{00000000-0005-0000-0000-0000ECE50000}"/>
    <cellStyle name="Обычный 18 3 5" xfId="58801" xr:uid="{00000000-0005-0000-0000-0000EDE50000}"/>
    <cellStyle name="Обычный 18 4" xfId="58802" xr:uid="{00000000-0005-0000-0000-0000EEE50000}"/>
    <cellStyle name="Обычный 18 4 2" xfId="58803" xr:uid="{00000000-0005-0000-0000-0000EFE50000}"/>
    <cellStyle name="Обычный 18 4 3" xfId="58804" xr:uid="{00000000-0005-0000-0000-0000F0E50000}"/>
    <cellStyle name="Обычный 18 5" xfId="58805" xr:uid="{00000000-0005-0000-0000-0000F1E50000}"/>
    <cellStyle name="Обычный 18 5 2" xfId="58806" xr:uid="{00000000-0005-0000-0000-0000F2E50000}"/>
    <cellStyle name="Обычный 18 5 3" xfId="58807" xr:uid="{00000000-0005-0000-0000-0000F3E50000}"/>
    <cellStyle name="Обычный 18 6" xfId="58808" xr:uid="{00000000-0005-0000-0000-0000F4E50000}"/>
    <cellStyle name="Обычный 18 7" xfId="58809" xr:uid="{00000000-0005-0000-0000-0000F5E50000}"/>
    <cellStyle name="Обычный 18_объемы 2018г111" xfId="58810" xr:uid="{00000000-0005-0000-0000-0000F6E50000}"/>
    <cellStyle name="Обычный 19" xfId="58811" xr:uid="{00000000-0005-0000-0000-0000F7E50000}"/>
    <cellStyle name="Обычный 19 2" xfId="58812" xr:uid="{00000000-0005-0000-0000-0000F8E50000}"/>
    <cellStyle name="Обычный 19 2 2" xfId="58813" xr:uid="{00000000-0005-0000-0000-0000F9E50000}"/>
    <cellStyle name="Обычный 19 2 2 2" xfId="58814" xr:uid="{00000000-0005-0000-0000-0000FAE50000}"/>
    <cellStyle name="Обычный 19 2 2 2 2" xfId="58815" xr:uid="{00000000-0005-0000-0000-0000FBE50000}"/>
    <cellStyle name="Обычный 19 2 2 2 3" xfId="58816" xr:uid="{00000000-0005-0000-0000-0000FCE50000}"/>
    <cellStyle name="Обычный 19 2 2 3" xfId="58817" xr:uid="{00000000-0005-0000-0000-0000FDE50000}"/>
    <cellStyle name="Обычный 19 2 2 3 2" xfId="58818" xr:uid="{00000000-0005-0000-0000-0000FEE50000}"/>
    <cellStyle name="Обычный 19 2 2 3 3" xfId="58819" xr:uid="{00000000-0005-0000-0000-0000FFE50000}"/>
    <cellStyle name="Обычный 19 2 2 4" xfId="58820" xr:uid="{00000000-0005-0000-0000-000000E60000}"/>
    <cellStyle name="Обычный 19 2 2 5" xfId="58821" xr:uid="{00000000-0005-0000-0000-000001E60000}"/>
    <cellStyle name="Обычный 19 2 3" xfId="58822" xr:uid="{00000000-0005-0000-0000-000002E60000}"/>
    <cellStyle name="Обычный 19 2 3 2" xfId="58823" xr:uid="{00000000-0005-0000-0000-000003E60000}"/>
    <cellStyle name="Обычный 19 2 3 3" xfId="58824" xr:uid="{00000000-0005-0000-0000-000004E60000}"/>
    <cellStyle name="Обычный 19 2 4" xfId="58825" xr:uid="{00000000-0005-0000-0000-000005E60000}"/>
    <cellStyle name="Обычный 19 2 4 2" xfId="58826" xr:uid="{00000000-0005-0000-0000-000006E60000}"/>
    <cellStyle name="Обычный 19 2 4 3" xfId="58827" xr:uid="{00000000-0005-0000-0000-000007E60000}"/>
    <cellStyle name="Обычный 19 2 5" xfId="58828" xr:uid="{00000000-0005-0000-0000-000008E60000}"/>
    <cellStyle name="Обычный 19 2 6" xfId="58829" xr:uid="{00000000-0005-0000-0000-000009E60000}"/>
    <cellStyle name="Обычный 19 2_объемы 2018г111" xfId="58830" xr:uid="{00000000-0005-0000-0000-00000AE60000}"/>
    <cellStyle name="Обычный 19 3" xfId="58831" xr:uid="{00000000-0005-0000-0000-00000BE60000}"/>
    <cellStyle name="Обычный 19 3 2" xfId="58832" xr:uid="{00000000-0005-0000-0000-00000CE60000}"/>
    <cellStyle name="Обычный 19 3 2 2" xfId="58833" xr:uid="{00000000-0005-0000-0000-00000DE60000}"/>
    <cellStyle name="Обычный 19 3 2 3" xfId="58834" xr:uid="{00000000-0005-0000-0000-00000EE60000}"/>
    <cellStyle name="Обычный 19 3 3" xfId="58835" xr:uid="{00000000-0005-0000-0000-00000FE60000}"/>
    <cellStyle name="Обычный 19 3 3 2" xfId="58836" xr:uid="{00000000-0005-0000-0000-000010E60000}"/>
    <cellStyle name="Обычный 19 3 3 3" xfId="58837" xr:uid="{00000000-0005-0000-0000-000011E60000}"/>
    <cellStyle name="Обычный 19 3 4" xfId="58838" xr:uid="{00000000-0005-0000-0000-000012E60000}"/>
    <cellStyle name="Обычный 19 3 5" xfId="58839" xr:uid="{00000000-0005-0000-0000-000013E60000}"/>
    <cellStyle name="Обычный 19 4" xfId="58840" xr:uid="{00000000-0005-0000-0000-000014E60000}"/>
    <cellStyle name="Обычный 19 4 2" xfId="58841" xr:uid="{00000000-0005-0000-0000-000015E60000}"/>
    <cellStyle name="Обычный 19 4 2 2" xfId="58842" xr:uid="{00000000-0005-0000-0000-000016E60000}"/>
    <cellStyle name="Обычный 19 4 2 3" xfId="58843" xr:uid="{00000000-0005-0000-0000-000017E60000}"/>
    <cellStyle name="Обычный 19 4 3" xfId="58844" xr:uid="{00000000-0005-0000-0000-000018E60000}"/>
    <cellStyle name="Обычный 19 4 3 2" xfId="58845" xr:uid="{00000000-0005-0000-0000-000019E60000}"/>
    <cellStyle name="Обычный 19 4 3 3" xfId="58846" xr:uid="{00000000-0005-0000-0000-00001AE60000}"/>
    <cellStyle name="Обычный 19 4 4" xfId="58847" xr:uid="{00000000-0005-0000-0000-00001BE60000}"/>
    <cellStyle name="Обычный 19 4 5" xfId="58848" xr:uid="{00000000-0005-0000-0000-00001CE60000}"/>
    <cellStyle name="Обычный 19 5" xfId="58849" xr:uid="{00000000-0005-0000-0000-00001DE60000}"/>
    <cellStyle name="Обычный 19 5 2" xfId="58850" xr:uid="{00000000-0005-0000-0000-00001EE60000}"/>
    <cellStyle name="Обычный 19 5 2 2" xfId="58851" xr:uid="{00000000-0005-0000-0000-00001FE60000}"/>
    <cellStyle name="Обычный 19 5 2 3" xfId="58852" xr:uid="{00000000-0005-0000-0000-000020E60000}"/>
    <cellStyle name="Обычный 19 5 3" xfId="58853" xr:uid="{00000000-0005-0000-0000-000021E60000}"/>
    <cellStyle name="Обычный 19 5 3 2" xfId="58854" xr:uid="{00000000-0005-0000-0000-000022E60000}"/>
    <cellStyle name="Обычный 19 5 3 3" xfId="58855" xr:uid="{00000000-0005-0000-0000-000023E60000}"/>
    <cellStyle name="Обычный 19 5 4" xfId="58856" xr:uid="{00000000-0005-0000-0000-000024E60000}"/>
    <cellStyle name="Обычный 19 5 5" xfId="58857" xr:uid="{00000000-0005-0000-0000-000025E60000}"/>
    <cellStyle name="Обычный 19 6" xfId="58858" xr:uid="{00000000-0005-0000-0000-000026E60000}"/>
    <cellStyle name="Обычный 19 6 2" xfId="58859" xr:uid="{00000000-0005-0000-0000-000027E60000}"/>
    <cellStyle name="Обычный 19 6 3" xfId="58860" xr:uid="{00000000-0005-0000-0000-000028E60000}"/>
    <cellStyle name="Обычный 19 7" xfId="58861" xr:uid="{00000000-0005-0000-0000-000029E60000}"/>
    <cellStyle name="Обычный 19 7 2" xfId="58862" xr:uid="{00000000-0005-0000-0000-00002AE60000}"/>
    <cellStyle name="Обычный 19 7 3" xfId="58863" xr:uid="{00000000-0005-0000-0000-00002BE60000}"/>
    <cellStyle name="Обычный 19 8" xfId="58864" xr:uid="{00000000-0005-0000-0000-00002CE60000}"/>
    <cellStyle name="Обычный 19 9" xfId="58865" xr:uid="{00000000-0005-0000-0000-00002DE60000}"/>
    <cellStyle name="Обычный 19_объемы 2018г111" xfId="58866" xr:uid="{00000000-0005-0000-0000-00002EE60000}"/>
    <cellStyle name="Обычный 2" xfId="3" xr:uid="{00000000-0005-0000-0000-00002FE60000}"/>
    <cellStyle name="Обычный 2 10" xfId="58867" xr:uid="{00000000-0005-0000-0000-000030E60000}"/>
    <cellStyle name="Обычный 2 100" xfId="58868" xr:uid="{00000000-0005-0000-0000-000031E60000}"/>
    <cellStyle name="Обычный 2 101" xfId="58869" xr:uid="{00000000-0005-0000-0000-000032E60000}"/>
    <cellStyle name="Обычный 2 102" xfId="58870" xr:uid="{00000000-0005-0000-0000-000033E60000}"/>
    <cellStyle name="Обычный 2 103" xfId="58871" xr:uid="{00000000-0005-0000-0000-000034E60000}"/>
    <cellStyle name="Обычный 2 104" xfId="58872" xr:uid="{00000000-0005-0000-0000-000035E60000}"/>
    <cellStyle name="Обычный 2 105" xfId="58873" xr:uid="{00000000-0005-0000-0000-000036E60000}"/>
    <cellStyle name="Обычный 2 106" xfId="58874" xr:uid="{00000000-0005-0000-0000-000037E60000}"/>
    <cellStyle name="Обычный 2 107" xfId="58875" xr:uid="{00000000-0005-0000-0000-000038E60000}"/>
    <cellStyle name="Обычный 2 108" xfId="58876" xr:uid="{00000000-0005-0000-0000-000039E60000}"/>
    <cellStyle name="Обычный 2 109" xfId="58877" xr:uid="{00000000-0005-0000-0000-00003AE60000}"/>
    <cellStyle name="Обычный 2 11" xfId="58878" xr:uid="{00000000-0005-0000-0000-00003BE60000}"/>
    <cellStyle name="Обычный 2 110" xfId="58879" xr:uid="{00000000-0005-0000-0000-00003CE60000}"/>
    <cellStyle name="Обычный 2 111" xfId="58880" xr:uid="{00000000-0005-0000-0000-00003DE60000}"/>
    <cellStyle name="Обычный 2 112" xfId="58881" xr:uid="{00000000-0005-0000-0000-00003EE60000}"/>
    <cellStyle name="Обычный 2 113" xfId="58882" xr:uid="{00000000-0005-0000-0000-00003FE60000}"/>
    <cellStyle name="Обычный 2 114" xfId="58883" xr:uid="{00000000-0005-0000-0000-000040E60000}"/>
    <cellStyle name="Обычный 2 115" xfId="58884" xr:uid="{00000000-0005-0000-0000-000041E60000}"/>
    <cellStyle name="Обычный 2 116" xfId="58885" xr:uid="{00000000-0005-0000-0000-000042E60000}"/>
    <cellStyle name="Обычный 2 117" xfId="58886" xr:uid="{00000000-0005-0000-0000-000043E60000}"/>
    <cellStyle name="Обычный 2 118" xfId="58887" xr:uid="{00000000-0005-0000-0000-000044E60000}"/>
    <cellStyle name="Обычный 2 119" xfId="58888" xr:uid="{00000000-0005-0000-0000-000045E60000}"/>
    <cellStyle name="Обычный 2 12" xfId="58889" xr:uid="{00000000-0005-0000-0000-000046E60000}"/>
    <cellStyle name="Обычный 2 120" xfId="58890" xr:uid="{00000000-0005-0000-0000-000047E60000}"/>
    <cellStyle name="Обычный 2 121" xfId="58891" xr:uid="{00000000-0005-0000-0000-000048E60000}"/>
    <cellStyle name="Обычный 2 122" xfId="58892" xr:uid="{00000000-0005-0000-0000-000049E60000}"/>
    <cellStyle name="Обычный 2 123" xfId="58893" xr:uid="{00000000-0005-0000-0000-00004AE60000}"/>
    <cellStyle name="Обычный 2 124" xfId="58894" xr:uid="{00000000-0005-0000-0000-00004BE60000}"/>
    <cellStyle name="Обычный 2 125" xfId="58895" xr:uid="{00000000-0005-0000-0000-00004CE60000}"/>
    <cellStyle name="Обычный 2 126" xfId="58896" xr:uid="{00000000-0005-0000-0000-00004DE60000}"/>
    <cellStyle name="Обычный 2 127" xfId="58897" xr:uid="{00000000-0005-0000-0000-00004EE60000}"/>
    <cellStyle name="Обычный 2 128" xfId="58898" xr:uid="{00000000-0005-0000-0000-00004FE60000}"/>
    <cellStyle name="Обычный 2 129" xfId="58899" xr:uid="{00000000-0005-0000-0000-000050E60000}"/>
    <cellStyle name="Обычный 2 13" xfId="58900" xr:uid="{00000000-0005-0000-0000-000051E60000}"/>
    <cellStyle name="Обычный 2 130" xfId="58901" xr:uid="{00000000-0005-0000-0000-000052E60000}"/>
    <cellStyle name="Обычный 2 131" xfId="58902" xr:uid="{00000000-0005-0000-0000-000053E60000}"/>
    <cellStyle name="Обычный 2 132" xfId="58903" xr:uid="{00000000-0005-0000-0000-000054E60000}"/>
    <cellStyle name="Обычный 2 133" xfId="58904" xr:uid="{00000000-0005-0000-0000-000055E60000}"/>
    <cellStyle name="Обычный 2 134" xfId="58905" xr:uid="{00000000-0005-0000-0000-000056E60000}"/>
    <cellStyle name="Обычный 2 135" xfId="58906" xr:uid="{00000000-0005-0000-0000-000057E60000}"/>
    <cellStyle name="Обычный 2 136" xfId="1" xr:uid="{00000000-0005-0000-0000-000058E60000}"/>
    <cellStyle name="Обычный 2 136 10" xfId="58907" xr:uid="{00000000-0005-0000-0000-000059E60000}"/>
    <cellStyle name="Обычный 2 136 11" xfId="58908" xr:uid="{00000000-0005-0000-0000-00005AE60000}"/>
    <cellStyle name="Обычный 2 136 11 7" xfId="61295" xr:uid="{00000000-0005-0000-0000-00005BE60000}"/>
    <cellStyle name="Обычный 2 136 11 7 2" xfId="61303" xr:uid="{00000000-0005-0000-0000-00005CE60000}"/>
    <cellStyle name="Обычный 2 136 11 7 3" xfId="61304" xr:uid="{00000000-0005-0000-0000-00005DE60000}"/>
    <cellStyle name="Обычный 2 136 11 7 4" xfId="61325" xr:uid="{00000000-0005-0000-0000-00005EE60000}"/>
    <cellStyle name="Обычный 2 136 11 7 4 2" xfId="61336" xr:uid="{00000000-0005-0000-0000-00005FE60000}"/>
    <cellStyle name="Обычный 2 136 11 7 4 3" xfId="61338" xr:uid="{00000000-0005-0000-0000-000060E60000}"/>
    <cellStyle name="Обычный 2 136 11 7 4 3 2" xfId="61358" xr:uid="{00000000-0005-0000-0000-000061E60000}"/>
    <cellStyle name="Обычный 2 136 11 7 4 3 3" xfId="61367" xr:uid="{00000000-0005-0000-0000-000062E60000}"/>
    <cellStyle name="Обычный 2 136 11 7 4 3 4" xfId="61378" xr:uid="{00000000-0005-0000-0000-000063E60000}"/>
    <cellStyle name="Обычный 2 136 11 7 4 3 5" xfId="61387" xr:uid="{00000000-0005-0000-0000-000064E60000}"/>
    <cellStyle name="Обычный 2 136 11 7 4 3 6" xfId="61399" xr:uid="{00000000-0005-0000-0000-000065E60000}"/>
    <cellStyle name="Обычный 2 136 11 7 4 3 7" xfId="61412" xr:uid="{00000000-0005-0000-0000-000066E60000}"/>
    <cellStyle name="Обычный 2 136 11 7 4 4" xfId="61356" xr:uid="{00000000-0005-0000-0000-000067E60000}"/>
    <cellStyle name="Обычный 2 136 11 7 4 5" xfId="61365" xr:uid="{00000000-0005-0000-0000-000068E60000}"/>
    <cellStyle name="Обычный 2 136 11 7 4 6" xfId="61376" xr:uid="{00000000-0005-0000-0000-000069E60000}"/>
    <cellStyle name="Обычный 2 136 11 7 4 7" xfId="61385" xr:uid="{00000000-0005-0000-0000-00006AE60000}"/>
    <cellStyle name="Обычный 2 136 11 7 4 8" xfId="61397" xr:uid="{00000000-0005-0000-0000-00006BE60000}"/>
    <cellStyle name="Обычный 2 136 11 7 4 9" xfId="61410" xr:uid="{00000000-0005-0000-0000-00006CE60000}"/>
    <cellStyle name="Обычный 2 136 11 7 5" xfId="61383" xr:uid="{00000000-0005-0000-0000-00006DE60000}"/>
    <cellStyle name="Обычный 2 136 11 7 6" xfId="61395" xr:uid="{00000000-0005-0000-0000-00006EE60000}"/>
    <cellStyle name="Обычный 2 136 11 7 7" xfId="61408" xr:uid="{00000000-0005-0000-0000-00006FE60000}"/>
    <cellStyle name="Обычный 2 136 12" xfId="58909" xr:uid="{00000000-0005-0000-0000-000070E60000}"/>
    <cellStyle name="Обычный 2 136 13" xfId="58910" xr:uid="{00000000-0005-0000-0000-000071E60000}"/>
    <cellStyle name="Обычный 2 136 14" xfId="61334" xr:uid="{00000000-0005-0000-0000-000072E60000}"/>
    <cellStyle name="Обычный 2 136 15" xfId="61331" xr:uid="{00000000-0005-0000-0000-000073E60000}"/>
    <cellStyle name="Обычный 2 136 15 2" xfId="61343" xr:uid="{00000000-0005-0000-0000-000074E60000}"/>
    <cellStyle name="Обычный 2 136 15 3" xfId="61353" xr:uid="{00000000-0005-0000-0000-000075E60000}"/>
    <cellStyle name="Обычный 2 136 15 4" xfId="61362" xr:uid="{00000000-0005-0000-0000-000076E60000}"/>
    <cellStyle name="Обычный 2 136 15 5" xfId="61373" xr:uid="{00000000-0005-0000-0000-000077E60000}"/>
    <cellStyle name="Обычный 2 136 15 6" xfId="61380" xr:uid="{00000000-0005-0000-0000-000078E60000}"/>
    <cellStyle name="Обычный 2 136 15 7" xfId="61392" xr:uid="{00000000-0005-0000-0000-000079E60000}"/>
    <cellStyle name="Обычный 2 136 15 8" xfId="61405" xr:uid="{00000000-0005-0000-0000-00007AE60000}"/>
    <cellStyle name="Обычный 2 136 2" xfId="58911" xr:uid="{00000000-0005-0000-0000-00007BE60000}"/>
    <cellStyle name="Обычный 2 136 21" xfId="61296" xr:uid="{00000000-0005-0000-0000-00007CE60000}"/>
    <cellStyle name="Обычный 2 136 21 2" xfId="61305" xr:uid="{00000000-0005-0000-0000-00007DE60000}"/>
    <cellStyle name="Обычный 2 136 23" xfId="61335" xr:uid="{00000000-0005-0000-0000-00007EE60000}"/>
    <cellStyle name="Обычный 2 136 23 2" xfId="61339" xr:uid="{00000000-0005-0000-0000-00007FE60000}"/>
    <cellStyle name="Обычный 2 136 23 3" xfId="61360" xr:uid="{00000000-0005-0000-0000-000080E60000}"/>
    <cellStyle name="Обычный 2 136 23 4" xfId="61369" xr:uid="{00000000-0005-0000-0000-000081E60000}"/>
    <cellStyle name="Обычный 2 136 23 5" xfId="61379" xr:uid="{00000000-0005-0000-0000-000082E60000}"/>
    <cellStyle name="Обычный 2 136 23 6" xfId="61384" xr:uid="{00000000-0005-0000-0000-000083E60000}"/>
    <cellStyle name="Обычный 2 136 23 7" xfId="61396" xr:uid="{00000000-0005-0000-0000-000084E60000}"/>
    <cellStyle name="Обычный 2 136 23 8" xfId="61409" xr:uid="{00000000-0005-0000-0000-000085E60000}"/>
    <cellStyle name="Обычный 2 136 3" xfId="58912" xr:uid="{00000000-0005-0000-0000-000086E60000}"/>
    <cellStyle name="Обычный 2 136 4" xfId="58913" xr:uid="{00000000-0005-0000-0000-000087E60000}"/>
    <cellStyle name="Обычный 2 136 5" xfId="58914" xr:uid="{00000000-0005-0000-0000-000088E60000}"/>
    <cellStyle name="Обычный 2 136 6" xfId="58915" xr:uid="{00000000-0005-0000-0000-000089E60000}"/>
    <cellStyle name="Обычный 2 136 7" xfId="58916" xr:uid="{00000000-0005-0000-0000-00008AE60000}"/>
    <cellStyle name="Обычный 2 136 7 2" xfId="58917" xr:uid="{00000000-0005-0000-0000-00008BE60000}"/>
    <cellStyle name="Обычный 2 136 8" xfId="58918" xr:uid="{00000000-0005-0000-0000-00008CE60000}"/>
    <cellStyle name="Обычный 2 136 9" xfId="58919" xr:uid="{00000000-0005-0000-0000-00008DE60000}"/>
    <cellStyle name="Обычный 2 136 9 2" xfId="58920" xr:uid="{00000000-0005-0000-0000-00008EE60000}"/>
    <cellStyle name="Обычный 2 137" xfId="58921" xr:uid="{00000000-0005-0000-0000-00008FE60000}"/>
    <cellStyle name="Обычный 2 138" xfId="58922" xr:uid="{00000000-0005-0000-0000-000090E60000}"/>
    <cellStyle name="Обычный 2 139" xfId="58923" xr:uid="{00000000-0005-0000-0000-000091E60000}"/>
    <cellStyle name="Обычный 2 14" xfId="58924" xr:uid="{00000000-0005-0000-0000-000092E60000}"/>
    <cellStyle name="Обычный 2 140" xfId="58925" xr:uid="{00000000-0005-0000-0000-000093E60000}"/>
    <cellStyle name="Обычный 2 141" xfId="58926" xr:uid="{00000000-0005-0000-0000-000094E60000}"/>
    <cellStyle name="Обычный 2 142" xfId="58927" xr:uid="{00000000-0005-0000-0000-000095E60000}"/>
    <cellStyle name="Обычный 2 143" xfId="58928" xr:uid="{00000000-0005-0000-0000-000096E60000}"/>
    <cellStyle name="Обычный 2 144" xfId="58929" xr:uid="{00000000-0005-0000-0000-000097E60000}"/>
    <cellStyle name="Обычный 2 144 2" xfId="58930" xr:uid="{00000000-0005-0000-0000-000098E60000}"/>
    <cellStyle name="Обычный 2 145" xfId="58931" xr:uid="{00000000-0005-0000-0000-000099E60000}"/>
    <cellStyle name="Обычный 2 145 2" xfId="58932" xr:uid="{00000000-0005-0000-0000-00009AE60000}"/>
    <cellStyle name="Обычный 2 146" xfId="58933" xr:uid="{00000000-0005-0000-0000-00009BE60000}"/>
    <cellStyle name="Обычный 2 147" xfId="58934" xr:uid="{00000000-0005-0000-0000-00009CE60000}"/>
    <cellStyle name="Обычный 2 148" xfId="61293" xr:uid="{00000000-0005-0000-0000-00009DE60000}"/>
    <cellStyle name="Обычный 2 15" xfId="58935" xr:uid="{00000000-0005-0000-0000-00009EE60000}"/>
    <cellStyle name="Обычный 2 16" xfId="58936" xr:uid="{00000000-0005-0000-0000-00009FE60000}"/>
    <cellStyle name="Обычный 2 17" xfId="58937" xr:uid="{00000000-0005-0000-0000-0000A0E60000}"/>
    <cellStyle name="Обычный 2 18" xfId="58938" xr:uid="{00000000-0005-0000-0000-0000A1E60000}"/>
    <cellStyle name="Обычный 2 19" xfId="58939" xr:uid="{00000000-0005-0000-0000-0000A2E60000}"/>
    <cellStyle name="Обычный 2 2" xfId="58940" xr:uid="{00000000-0005-0000-0000-0000A3E60000}"/>
    <cellStyle name="Обычный 2 2 10" xfId="58941" xr:uid="{00000000-0005-0000-0000-0000A4E60000}"/>
    <cellStyle name="Обычный 2 2 2" xfId="58942" xr:uid="{00000000-0005-0000-0000-0000A5E60000}"/>
    <cellStyle name="Обычный 2 2 2 2" xfId="58943" xr:uid="{00000000-0005-0000-0000-0000A6E60000}"/>
    <cellStyle name="Обычный 2 2 2 2 2" xfId="58944" xr:uid="{00000000-0005-0000-0000-0000A7E60000}"/>
    <cellStyle name="Обычный 2 2 2 3" xfId="58945" xr:uid="{00000000-0005-0000-0000-0000A8E60000}"/>
    <cellStyle name="Обычный 2 2 2 3 2" xfId="58946" xr:uid="{00000000-0005-0000-0000-0000A9E60000}"/>
    <cellStyle name="Обычный 2 2 2 4" xfId="61390" xr:uid="{00000000-0005-0000-0000-0000AAE60000}"/>
    <cellStyle name="Обычный 2 2 3" xfId="58947" xr:uid="{00000000-0005-0000-0000-0000ABE60000}"/>
    <cellStyle name="Обычный 2 2 3 2" xfId="58948" xr:uid="{00000000-0005-0000-0000-0000ACE60000}"/>
    <cellStyle name="Обычный 2 2 3 3" xfId="58949" xr:uid="{00000000-0005-0000-0000-0000ADE60000}"/>
    <cellStyle name="Обычный 2 2 4" xfId="58950" xr:uid="{00000000-0005-0000-0000-0000AEE60000}"/>
    <cellStyle name="Обычный 2 2 4 2" xfId="58951" xr:uid="{00000000-0005-0000-0000-0000AFE60000}"/>
    <cellStyle name="Обычный 2 2 4 3" xfId="58952" xr:uid="{00000000-0005-0000-0000-0000B0E60000}"/>
    <cellStyle name="Обычный 2 2 5" xfId="58953" xr:uid="{00000000-0005-0000-0000-0000B1E60000}"/>
    <cellStyle name="Обычный 2 2 5 2" xfId="58954" xr:uid="{00000000-0005-0000-0000-0000B2E60000}"/>
    <cellStyle name="Обычный 2 2 5 3" xfId="58955" xr:uid="{00000000-0005-0000-0000-0000B3E60000}"/>
    <cellStyle name="Обычный 2 2 6" xfId="58956" xr:uid="{00000000-0005-0000-0000-0000B4E60000}"/>
    <cellStyle name="Обычный 2 2 6 2" xfId="58957" xr:uid="{00000000-0005-0000-0000-0000B5E60000}"/>
    <cellStyle name="Обычный 2 2 6 3" xfId="58958" xr:uid="{00000000-0005-0000-0000-0000B6E60000}"/>
    <cellStyle name="Обычный 2 2 7" xfId="58959" xr:uid="{00000000-0005-0000-0000-0000B7E60000}"/>
    <cellStyle name="Обычный 2 2 7 2" xfId="58960" xr:uid="{00000000-0005-0000-0000-0000B8E60000}"/>
    <cellStyle name="Обычный 2 2 7 3" xfId="58961" xr:uid="{00000000-0005-0000-0000-0000B9E60000}"/>
    <cellStyle name="Обычный 2 2 8" xfId="58962" xr:uid="{00000000-0005-0000-0000-0000BAE60000}"/>
    <cellStyle name="Обычный 2 2 9" xfId="58963" xr:uid="{00000000-0005-0000-0000-0000BBE60000}"/>
    <cellStyle name="Обычный 2 20" xfId="58964" xr:uid="{00000000-0005-0000-0000-0000BCE60000}"/>
    <cellStyle name="Обычный 2 21" xfId="58965" xr:uid="{00000000-0005-0000-0000-0000BDE60000}"/>
    <cellStyle name="Обычный 2 22" xfId="58966" xr:uid="{00000000-0005-0000-0000-0000BEE60000}"/>
    <cellStyle name="Обычный 2 23" xfId="58967" xr:uid="{00000000-0005-0000-0000-0000BFE60000}"/>
    <cellStyle name="Обычный 2 24" xfId="58968" xr:uid="{00000000-0005-0000-0000-0000C0E60000}"/>
    <cellStyle name="Обычный 2 25" xfId="58969" xr:uid="{00000000-0005-0000-0000-0000C1E60000}"/>
    <cellStyle name="Обычный 2 26" xfId="58970" xr:uid="{00000000-0005-0000-0000-0000C2E60000}"/>
    <cellStyle name="Обычный 2 27" xfId="58971" xr:uid="{00000000-0005-0000-0000-0000C3E60000}"/>
    <cellStyle name="Обычный 2 28" xfId="58972" xr:uid="{00000000-0005-0000-0000-0000C4E60000}"/>
    <cellStyle name="Обычный 2 29" xfId="58973" xr:uid="{00000000-0005-0000-0000-0000C5E60000}"/>
    <cellStyle name="Обычный 2 3" xfId="58974" xr:uid="{00000000-0005-0000-0000-0000C6E60000}"/>
    <cellStyle name="Обычный 2 3 2" xfId="58975" xr:uid="{00000000-0005-0000-0000-0000C7E60000}"/>
    <cellStyle name="Обычный 2 3 3" xfId="58976" xr:uid="{00000000-0005-0000-0000-0000C8E60000}"/>
    <cellStyle name="Обычный 2 30" xfId="58977" xr:uid="{00000000-0005-0000-0000-0000C9E60000}"/>
    <cellStyle name="Обычный 2 31" xfId="58978" xr:uid="{00000000-0005-0000-0000-0000CAE60000}"/>
    <cellStyle name="Обычный 2 32" xfId="58979" xr:uid="{00000000-0005-0000-0000-0000CBE60000}"/>
    <cellStyle name="Обычный 2 33" xfId="58980" xr:uid="{00000000-0005-0000-0000-0000CCE60000}"/>
    <cellStyle name="Обычный 2 34" xfId="58981" xr:uid="{00000000-0005-0000-0000-0000CDE60000}"/>
    <cellStyle name="Обычный 2 35" xfId="58982" xr:uid="{00000000-0005-0000-0000-0000CEE60000}"/>
    <cellStyle name="Обычный 2 36" xfId="58983" xr:uid="{00000000-0005-0000-0000-0000CFE60000}"/>
    <cellStyle name="Обычный 2 37" xfId="58984" xr:uid="{00000000-0005-0000-0000-0000D0E60000}"/>
    <cellStyle name="Обычный 2 38" xfId="58985" xr:uid="{00000000-0005-0000-0000-0000D1E60000}"/>
    <cellStyle name="Обычный 2 39" xfId="58986" xr:uid="{00000000-0005-0000-0000-0000D2E60000}"/>
    <cellStyle name="Обычный 2 4" xfId="58987" xr:uid="{00000000-0005-0000-0000-0000D3E60000}"/>
    <cellStyle name="Обычный 2 4 2" xfId="58988" xr:uid="{00000000-0005-0000-0000-0000D4E60000}"/>
    <cellStyle name="Обычный 2 40" xfId="58989" xr:uid="{00000000-0005-0000-0000-0000D5E60000}"/>
    <cellStyle name="Обычный 2 41" xfId="58990" xr:uid="{00000000-0005-0000-0000-0000D6E60000}"/>
    <cellStyle name="Обычный 2 42" xfId="58991" xr:uid="{00000000-0005-0000-0000-0000D7E60000}"/>
    <cellStyle name="Обычный 2 43" xfId="58992" xr:uid="{00000000-0005-0000-0000-0000D8E60000}"/>
    <cellStyle name="Обычный 2 44" xfId="58993" xr:uid="{00000000-0005-0000-0000-0000D9E60000}"/>
    <cellStyle name="Обычный 2 45" xfId="58994" xr:uid="{00000000-0005-0000-0000-0000DAE60000}"/>
    <cellStyle name="Обычный 2 46" xfId="58995" xr:uid="{00000000-0005-0000-0000-0000DBE60000}"/>
    <cellStyle name="Обычный 2 47" xfId="58996" xr:uid="{00000000-0005-0000-0000-0000DCE60000}"/>
    <cellStyle name="Обычный 2 48" xfId="58997" xr:uid="{00000000-0005-0000-0000-0000DDE60000}"/>
    <cellStyle name="Обычный 2 49" xfId="58998" xr:uid="{00000000-0005-0000-0000-0000DEE60000}"/>
    <cellStyle name="Обычный 2 5" xfId="58999" xr:uid="{00000000-0005-0000-0000-0000DFE60000}"/>
    <cellStyle name="Обычный 2 5 2" xfId="59000" xr:uid="{00000000-0005-0000-0000-0000E0E60000}"/>
    <cellStyle name="Обычный 2 5 3" xfId="59001" xr:uid="{00000000-0005-0000-0000-0000E1E60000}"/>
    <cellStyle name="Обычный 2 50" xfId="59002" xr:uid="{00000000-0005-0000-0000-0000E2E60000}"/>
    <cellStyle name="Обычный 2 51" xfId="59003" xr:uid="{00000000-0005-0000-0000-0000E3E60000}"/>
    <cellStyle name="Обычный 2 52" xfId="59004" xr:uid="{00000000-0005-0000-0000-0000E4E60000}"/>
    <cellStyle name="Обычный 2 53" xfId="59005" xr:uid="{00000000-0005-0000-0000-0000E5E60000}"/>
    <cellStyle name="Обычный 2 54" xfId="59006" xr:uid="{00000000-0005-0000-0000-0000E6E60000}"/>
    <cellStyle name="Обычный 2 55" xfId="59007" xr:uid="{00000000-0005-0000-0000-0000E7E60000}"/>
    <cellStyle name="Обычный 2 56" xfId="59008" xr:uid="{00000000-0005-0000-0000-0000E8E60000}"/>
    <cellStyle name="Обычный 2 57" xfId="59009" xr:uid="{00000000-0005-0000-0000-0000E9E60000}"/>
    <cellStyle name="Обычный 2 58" xfId="59010" xr:uid="{00000000-0005-0000-0000-0000EAE60000}"/>
    <cellStyle name="Обычный 2 59" xfId="59011" xr:uid="{00000000-0005-0000-0000-0000EBE60000}"/>
    <cellStyle name="Обычный 2 6" xfId="59012" xr:uid="{00000000-0005-0000-0000-0000ECE60000}"/>
    <cellStyle name="Обычный 2 6 2" xfId="59013" xr:uid="{00000000-0005-0000-0000-0000EDE60000}"/>
    <cellStyle name="Обычный 2 6 3" xfId="59014" xr:uid="{00000000-0005-0000-0000-0000EEE60000}"/>
    <cellStyle name="Обычный 2 60" xfId="59015" xr:uid="{00000000-0005-0000-0000-0000EFE60000}"/>
    <cellStyle name="Обычный 2 61" xfId="59016" xr:uid="{00000000-0005-0000-0000-0000F0E60000}"/>
    <cellStyle name="Обычный 2 62" xfId="59017" xr:uid="{00000000-0005-0000-0000-0000F1E60000}"/>
    <cellStyle name="Обычный 2 63" xfId="59018" xr:uid="{00000000-0005-0000-0000-0000F2E60000}"/>
    <cellStyle name="Обычный 2 64" xfId="59019" xr:uid="{00000000-0005-0000-0000-0000F3E60000}"/>
    <cellStyle name="Обычный 2 65" xfId="59020" xr:uid="{00000000-0005-0000-0000-0000F4E60000}"/>
    <cellStyle name="Обычный 2 66" xfId="59021" xr:uid="{00000000-0005-0000-0000-0000F5E60000}"/>
    <cellStyle name="Обычный 2 67" xfId="59022" xr:uid="{00000000-0005-0000-0000-0000F6E60000}"/>
    <cellStyle name="Обычный 2 68" xfId="59023" xr:uid="{00000000-0005-0000-0000-0000F7E60000}"/>
    <cellStyle name="Обычный 2 69" xfId="59024" xr:uid="{00000000-0005-0000-0000-0000F8E60000}"/>
    <cellStyle name="Обычный 2 7" xfId="59025" xr:uid="{00000000-0005-0000-0000-0000F9E60000}"/>
    <cellStyle name="Обычный 2 7 2" xfId="59026" xr:uid="{00000000-0005-0000-0000-0000FAE60000}"/>
    <cellStyle name="Обычный 2 70" xfId="59027" xr:uid="{00000000-0005-0000-0000-0000FBE60000}"/>
    <cellStyle name="Обычный 2 71" xfId="59028" xr:uid="{00000000-0005-0000-0000-0000FCE60000}"/>
    <cellStyle name="Обычный 2 72" xfId="59029" xr:uid="{00000000-0005-0000-0000-0000FDE60000}"/>
    <cellStyle name="Обычный 2 73" xfId="59030" xr:uid="{00000000-0005-0000-0000-0000FEE60000}"/>
    <cellStyle name="Обычный 2 74" xfId="59031" xr:uid="{00000000-0005-0000-0000-0000FFE60000}"/>
    <cellStyle name="Обычный 2 75" xfId="59032" xr:uid="{00000000-0005-0000-0000-000000E70000}"/>
    <cellStyle name="Обычный 2 76" xfId="59033" xr:uid="{00000000-0005-0000-0000-000001E70000}"/>
    <cellStyle name="Обычный 2 77" xfId="59034" xr:uid="{00000000-0005-0000-0000-000002E70000}"/>
    <cellStyle name="Обычный 2 78" xfId="59035" xr:uid="{00000000-0005-0000-0000-000003E70000}"/>
    <cellStyle name="Обычный 2 79" xfId="59036" xr:uid="{00000000-0005-0000-0000-000004E70000}"/>
    <cellStyle name="Обычный 2 8" xfId="59037" xr:uid="{00000000-0005-0000-0000-000005E70000}"/>
    <cellStyle name="Обычный 2 80" xfId="59038" xr:uid="{00000000-0005-0000-0000-000006E70000}"/>
    <cellStyle name="Обычный 2 81" xfId="59039" xr:uid="{00000000-0005-0000-0000-000007E70000}"/>
    <cellStyle name="Обычный 2 82" xfId="59040" xr:uid="{00000000-0005-0000-0000-000008E70000}"/>
    <cellStyle name="Обычный 2 83" xfId="59041" xr:uid="{00000000-0005-0000-0000-000009E70000}"/>
    <cellStyle name="Обычный 2 84" xfId="59042" xr:uid="{00000000-0005-0000-0000-00000AE70000}"/>
    <cellStyle name="Обычный 2 85" xfId="59043" xr:uid="{00000000-0005-0000-0000-00000BE70000}"/>
    <cellStyle name="Обычный 2 86" xfId="59044" xr:uid="{00000000-0005-0000-0000-00000CE70000}"/>
    <cellStyle name="Обычный 2 87" xfId="59045" xr:uid="{00000000-0005-0000-0000-00000DE70000}"/>
    <cellStyle name="Обычный 2 88" xfId="59046" xr:uid="{00000000-0005-0000-0000-00000EE70000}"/>
    <cellStyle name="Обычный 2 89" xfId="59047" xr:uid="{00000000-0005-0000-0000-00000FE70000}"/>
    <cellStyle name="Обычный 2 9" xfId="59048" xr:uid="{00000000-0005-0000-0000-000010E70000}"/>
    <cellStyle name="Обычный 2 90" xfId="59049" xr:uid="{00000000-0005-0000-0000-000011E70000}"/>
    <cellStyle name="Обычный 2 91" xfId="59050" xr:uid="{00000000-0005-0000-0000-000012E70000}"/>
    <cellStyle name="Обычный 2 92" xfId="59051" xr:uid="{00000000-0005-0000-0000-000013E70000}"/>
    <cellStyle name="Обычный 2 93" xfId="59052" xr:uid="{00000000-0005-0000-0000-000014E70000}"/>
    <cellStyle name="Обычный 2 94" xfId="59053" xr:uid="{00000000-0005-0000-0000-000015E70000}"/>
    <cellStyle name="Обычный 2 95" xfId="59054" xr:uid="{00000000-0005-0000-0000-000016E70000}"/>
    <cellStyle name="Обычный 2 96" xfId="59055" xr:uid="{00000000-0005-0000-0000-000017E70000}"/>
    <cellStyle name="Обычный 2 97" xfId="59056" xr:uid="{00000000-0005-0000-0000-000018E70000}"/>
    <cellStyle name="Обычный 2 98" xfId="59057" xr:uid="{00000000-0005-0000-0000-000019E70000}"/>
    <cellStyle name="Обычный 2 99" xfId="59058" xr:uid="{00000000-0005-0000-0000-00001AE70000}"/>
    <cellStyle name="Обычный 2_npa105B" xfId="59059" xr:uid="{00000000-0005-0000-0000-00001BE70000}"/>
    <cellStyle name="Обычный 20" xfId="59060" xr:uid="{00000000-0005-0000-0000-00001CE70000}"/>
    <cellStyle name="Обычный 20 2" xfId="59061" xr:uid="{00000000-0005-0000-0000-00001DE70000}"/>
    <cellStyle name="Обычный 20 2 2" xfId="59062" xr:uid="{00000000-0005-0000-0000-00001EE70000}"/>
    <cellStyle name="Обычный 20 2 2 2" xfId="59063" xr:uid="{00000000-0005-0000-0000-00001FE70000}"/>
    <cellStyle name="Обычный 20 2 2 2 2" xfId="59064" xr:uid="{00000000-0005-0000-0000-000020E70000}"/>
    <cellStyle name="Обычный 20 2 2 2 3" xfId="59065" xr:uid="{00000000-0005-0000-0000-000021E70000}"/>
    <cellStyle name="Обычный 20 2 2 3" xfId="59066" xr:uid="{00000000-0005-0000-0000-000022E70000}"/>
    <cellStyle name="Обычный 20 2 2 3 2" xfId="59067" xr:uid="{00000000-0005-0000-0000-000023E70000}"/>
    <cellStyle name="Обычный 20 2 2 3 3" xfId="59068" xr:uid="{00000000-0005-0000-0000-000024E70000}"/>
    <cellStyle name="Обычный 20 2 2 4" xfId="59069" xr:uid="{00000000-0005-0000-0000-000025E70000}"/>
    <cellStyle name="Обычный 20 2 2 5" xfId="59070" xr:uid="{00000000-0005-0000-0000-000026E70000}"/>
    <cellStyle name="Обычный 20 2 3" xfId="59071" xr:uid="{00000000-0005-0000-0000-000027E70000}"/>
    <cellStyle name="Обычный 20 2 3 2" xfId="59072" xr:uid="{00000000-0005-0000-0000-000028E70000}"/>
    <cellStyle name="Обычный 20 2 3 3" xfId="59073" xr:uid="{00000000-0005-0000-0000-000029E70000}"/>
    <cellStyle name="Обычный 20 2 4" xfId="59074" xr:uid="{00000000-0005-0000-0000-00002AE70000}"/>
    <cellStyle name="Обычный 20 2 4 2" xfId="59075" xr:uid="{00000000-0005-0000-0000-00002BE70000}"/>
    <cellStyle name="Обычный 20 2 4 3" xfId="59076" xr:uid="{00000000-0005-0000-0000-00002CE70000}"/>
    <cellStyle name="Обычный 20 2 5" xfId="59077" xr:uid="{00000000-0005-0000-0000-00002DE70000}"/>
    <cellStyle name="Обычный 20 2 6" xfId="59078" xr:uid="{00000000-0005-0000-0000-00002EE70000}"/>
    <cellStyle name="Обычный 20 2_объемы 2018г111" xfId="59079" xr:uid="{00000000-0005-0000-0000-00002FE70000}"/>
    <cellStyle name="Обычный 20 3" xfId="59080" xr:uid="{00000000-0005-0000-0000-000030E70000}"/>
    <cellStyle name="Обычный 20 3 2" xfId="59081" xr:uid="{00000000-0005-0000-0000-000031E70000}"/>
    <cellStyle name="Обычный 20 3 2 2" xfId="59082" xr:uid="{00000000-0005-0000-0000-000032E70000}"/>
    <cellStyle name="Обычный 20 3 2 3" xfId="59083" xr:uid="{00000000-0005-0000-0000-000033E70000}"/>
    <cellStyle name="Обычный 20 3 3" xfId="59084" xr:uid="{00000000-0005-0000-0000-000034E70000}"/>
    <cellStyle name="Обычный 20 3 3 2" xfId="59085" xr:uid="{00000000-0005-0000-0000-000035E70000}"/>
    <cellStyle name="Обычный 20 3 3 3" xfId="59086" xr:uid="{00000000-0005-0000-0000-000036E70000}"/>
    <cellStyle name="Обычный 20 3 4" xfId="59087" xr:uid="{00000000-0005-0000-0000-000037E70000}"/>
    <cellStyle name="Обычный 20 3 5" xfId="59088" xr:uid="{00000000-0005-0000-0000-000038E70000}"/>
    <cellStyle name="Обычный 20 4" xfId="59089" xr:uid="{00000000-0005-0000-0000-000039E70000}"/>
    <cellStyle name="Обычный 20 4 2" xfId="59090" xr:uid="{00000000-0005-0000-0000-00003AE70000}"/>
    <cellStyle name="Обычный 20 4 2 2" xfId="59091" xr:uid="{00000000-0005-0000-0000-00003BE70000}"/>
    <cellStyle name="Обычный 20 4 2 3" xfId="59092" xr:uid="{00000000-0005-0000-0000-00003CE70000}"/>
    <cellStyle name="Обычный 20 4 3" xfId="59093" xr:uid="{00000000-0005-0000-0000-00003DE70000}"/>
    <cellStyle name="Обычный 20 4 3 2" xfId="59094" xr:uid="{00000000-0005-0000-0000-00003EE70000}"/>
    <cellStyle name="Обычный 20 4 4" xfId="59095" xr:uid="{00000000-0005-0000-0000-00003FE70000}"/>
    <cellStyle name="Обычный 20 4 5" xfId="59096" xr:uid="{00000000-0005-0000-0000-000040E70000}"/>
    <cellStyle name="Обычный 20 4 5 2" xfId="59097" xr:uid="{00000000-0005-0000-0000-000041E70000}"/>
    <cellStyle name="Обычный 20 4 5 3" xfId="59098" xr:uid="{00000000-0005-0000-0000-000042E70000}"/>
    <cellStyle name="Обычный 20 4 5 3 2" xfId="59099" xr:uid="{00000000-0005-0000-0000-000043E70000}"/>
    <cellStyle name="Обычный 20 4 5 4" xfId="59100" xr:uid="{00000000-0005-0000-0000-000044E70000}"/>
    <cellStyle name="Обычный 20 4 6" xfId="59101" xr:uid="{00000000-0005-0000-0000-000045E70000}"/>
    <cellStyle name="Обычный 20 5" xfId="59102" xr:uid="{00000000-0005-0000-0000-000046E70000}"/>
    <cellStyle name="Обычный 20 5 2" xfId="59103" xr:uid="{00000000-0005-0000-0000-000047E70000}"/>
    <cellStyle name="Обычный 20 5 3" xfId="59104" xr:uid="{00000000-0005-0000-0000-000048E70000}"/>
    <cellStyle name="Обычный 20 6" xfId="59105" xr:uid="{00000000-0005-0000-0000-000049E70000}"/>
    <cellStyle name="Обычный 20 6 2" xfId="59106" xr:uid="{00000000-0005-0000-0000-00004AE70000}"/>
    <cellStyle name="Обычный 20 6 3" xfId="59107" xr:uid="{00000000-0005-0000-0000-00004BE70000}"/>
    <cellStyle name="Обычный 20 7" xfId="59108" xr:uid="{00000000-0005-0000-0000-00004CE70000}"/>
    <cellStyle name="Обычный 20 7 2" xfId="59109" xr:uid="{00000000-0005-0000-0000-00004DE70000}"/>
    <cellStyle name="Обычный 20 8" xfId="59110" xr:uid="{00000000-0005-0000-0000-00004EE70000}"/>
    <cellStyle name="Обычный 20 9" xfId="59111" xr:uid="{00000000-0005-0000-0000-00004FE70000}"/>
    <cellStyle name="Обычный 20_объемы 2018г111" xfId="59112" xr:uid="{00000000-0005-0000-0000-000050E70000}"/>
    <cellStyle name="Обычный 21" xfId="59113" xr:uid="{00000000-0005-0000-0000-000051E70000}"/>
    <cellStyle name="Обычный 21 2" xfId="59114" xr:uid="{00000000-0005-0000-0000-000052E70000}"/>
    <cellStyle name="Обычный 21 2 2" xfId="59115" xr:uid="{00000000-0005-0000-0000-000053E70000}"/>
    <cellStyle name="Обычный 21 2 2 2" xfId="59116" xr:uid="{00000000-0005-0000-0000-000054E70000}"/>
    <cellStyle name="Обычный 21 2 2 2 2" xfId="59117" xr:uid="{00000000-0005-0000-0000-000055E70000}"/>
    <cellStyle name="Обычный 21 2 2 2 3" xfId="59118" xr:uid="{00000000-0005-0000-0000-000056E70000}"/>
    <cellStyle name="Обычный 21 2 2 3" xfId="59119" xr:uid="{00000000-0005-0000-0000-000057E70000}"/>
    <cellStyle name="Обычный 21 2 2 3 2" xfId="59120" xr:uid="{00000000-0005-0000-0000-000058E70000}"/>
    <cellStyle name="Обычный 21 2 2 3 3" xfId="59121" xr:uid="{00000000-0005-0000-0000-000059E70000}"/>
    <cellStyle name="Обычный 21 2 2 4" xfId="59122" xr:uid="{00000000-0005-0000-0000-00005AE70000}"/>
    <cellStyle name="Обычный 21 2 2 5" xfId="59123" xr:uid="{00000000-0005-0000-0000-00005BE70000}"/>
    <cellStyle name="Обычный 21 2 3" xfId="59124" xr:uid="{00000000-0005-0000-0000-00005CE70000}"/>
    <cellStyle name="Обычный 21 2 3 2" xfId="59125" xr:uid="{00000000-0005-0000-0000-00005DE70000}"/>
    <cellStyle name="Обычный 21 2 3 3" xfId="59126" xr:uid="{00000000-0005-0000-0000-00005EE70000}"/>
    <cellStyle name="Обычный 21 2 4" xfId="59127" xr:uid="{00000000-0005-0000-0000-00005FE70000}"/>
    <cellStyle name="Обычный 21 2 4 2" xfId="59128" xr:uid="{00000000-0005-0000-0000-000060E70000}"/>
    <cellStyle name="Обычный 21 2 4 3" xfId="59129" xr:uid="{00000000-0005-0000-0000-000061E70000}"/>
    <cellStyle name="Обычный 21 2 5" xfId="59130" xr:uid="{00000000-0005-0000-0000-000062E70000}"/>
    <cellStyle name="Обычный 21 2 6" xfId="59131" xr:uid="{00000000-0005-0000-0000-000063E70000}"/>
    <cellStyle name="Обычный 21 2_объемы 2018г111" xfId="59132" xr:uid="{00000000-0005-0000-0000-000064E70000}"/>
    <cellStyle name="Обычный 21 3" xfId="59133" xr:uid="{00000000-0005-0000-0000-000065E70000}"/>
    <cellStyle name="Обычный 21 3 2" xfId="59134" xr:uid="{00000000-0005-0000-0000-000066E70000}"/>
    <cellStyle name="Обычный 21 3 2 2" xfId="59135" xr:uid="{00000000-0005-0000-0000-000067E70000}"/>
    <cellStyle name="Обычный 21 3 2 3" xfId="59136" xr:uid="{00000000-0005-0000-0000-000068E70000}"/>
    <cellStyle name="Обычный 21 3 3" xfId="59137" xr:uid="{00000000-0005-0000-0000-000069E70000}"/>
    <cellStyle name="Обычный 21 3 3 2" xfId="59138" xr:uid="{00000000-0005-0000-0000-00006AE70000}"/>
    <cellStyle name="Обычный 21 3 3 3" xfId="59139" xr:uid="{00000000-0005-0000-0000-00006BE70000}"/>
    <cellStyle name="Обычный 21 3 4" xfId="59140" xr:uid="{00000000-0005-0000-0000-00006CE70000}"/>
    <cellStyle name="Обычный 21 3 5" xfId="59141" xr:uid="{00000000-0005-0000-0000-00006DE70000}"/>
    <cellStyle name="Обычный 21 4" xfId="59142" xr:uid="{00000000-0005-0000-0000-00006EE70000}"/>
    <cellStyle name="Обычный 21 4 2" xfId="59143" xr:uid="{00000000-0005-0000-0000-00006FE70000}"/>
    <cellStyle name="Обычный 21 4 3" xfId="59144" xr:uid="{00000000-0005-0000-0000-000070E70000}"/>
    <cellStyle name="Обычный 21 5" xfId="59145" xr:uid="{00000000-0005-0000-0000-000071E70000}"/>
    <cellStyle name="Обычный 21 5 2" xfId="59146" xr:uid="{00000000-0005-0000-0000-000072E70000}"/>
    <cellStyle name="Обычный 21 5 3" xfId="59147" xr:uid="{00000000-0005-0000-0000-000073E70000}"/>
    <cellStyle name="Обычный 21 6" xfId="59148" xr:uid="{00000000-0005-0000-0000-000074E70000}"/>
    <cellStyle name="Обычный 21 7" xfId="59149" xr:uid="{00000000-0005-0000-0000-000075E70000}"/>
    <cellStyle name="Обычный 21_объемы 2018г111" xfId="59150" xr:uid="{00000000-0005-0000-0000-000076E70000}"/>
    <cellStyle name="Обычный 22" xfId="59151" xr:uid="{00000000-0005-0000-0000-000077E70000}"/>
    <cellStyle name="Обычный 22 2" xfId="59152" xr:uid="{00000000-0005-0000-0000-000078E70000}"/>
    <cellStyle name="Обычный 22 2 2" xfId="59153" xr:uid="{00000000-0005-0000-0000-000079E70000}"/>
    <cellStyle name="Обычный 22 2 2 2" xfId="59154" xr:uid="{00000000-0005-0000-0000-00007AE70000}"/>
    <cellStyle name="Обычный 22 2 2 3" xfId="59155" xr:uid="{00000000-0005-0000-0000-00007BE70000}"/>
    <cellStyle name="Обычный 22 2 3" xfId="59156" xr:uid="{00000000-0005-0000-0000-00007CE70000}"/>
    <cellStyle name="Обычный 22 2 3 2" xfId="59157" xr:uid="{00000000-0005-0000-0000-00007DE70000}"/>
    <cellStyle name="Обычный 22 2 3 3" xfId="59158" xr:uid="{00000000-0005-0000-0000-00007EE70000}"/>
    <cellStyle name="Обычный 22 2 4" xfId="59159" xr:uid="{00000000-0005-0000-0000-00007FE70000}"/>
    <cellStyle name="Обычный 22 2 5" xfId="59160" xr:uid="{00000000-0005-0000-0000-000080E70000}"/>
    <cellStyle name="Обычный 22 3" xfId="59161" xr:uid="{00000000-0005-0000-0000-000081E70000}"/>
    <cellStyle name="Обычный 22 3 2" xfId="59162" xr:uid="{00000000-0005-0000-0000-000082E70000}"/>
    <cellStyle name="Обычный 22 3 2 2" xfId="59163" xr:uid="{00000000-0005-0000-0000-000083E70000}"/>
    <cellStyle name="Обычный 22 3 2 3" xfId="59164" xr:uid="{00000000-0005-0000-0000-000084E70000}"/>
    <cellStyle name="Обычный 22 3 3" xfId="59165" xr:uid="{00000000-0005-0000-0000-000085E70000}"/>
    <cellStyle name="Обычный 22 3 3 2" xfId="59166" xr:uid="{00000000-0005-0000-0000-000086E70000}"/>
    <cellStyle name="Обычный 22 3 3 3" xfId="59167" xr:uid="{00000000-0005-0000-0000-000087E70000}"/>
    <cellStyle name="Обычный 22 3 4" xfId="59168" xr:uid="{00000000-0005-0000-0000-000088E70000}"/>
    <cellStyle name="Обычный 22 3 5" xfId="59169" xr:uid="{00000000-0005-0000-0000-000089E70000}"/>
    <cellStyle name="Обычный 22 4" xfId="59170" xr:uid="{00000000-0005-0000-0000-00008AE70000}"/>
    <cellStyle name="Обычный 22 4 2" xfId="59171" xr:uid="{00000000-0005-0000-0000-00008BE70000}"/>
    <cellStyle name="Обычный 22 4 3" xfId="59172" xr:uid="{00000000-0005-0000-0000-00008CE70000}"/>
    <cellStyle name="Обычный 22 5" xfId="59173" xr:uid="{00000000-0005-0000-0000-00008DE70000}"/>
    <cellStyle name="Обычный 22 5 2" xfId="59174" xr:uid="{00000000-0005-0000-0000-00008EE70000}"/>
    <cellStyle name="Обычный 22 5 3" xfId="59175" xr:uid="{00000000-0005-0000-0000-00008FE70000}"/>
    <cellStyle name="Обычный 22 6" xfId="59176" xr:uid="{00000000-0005-0000-0000-000090E70000}"/>
    <cellStyle name="Обычный 22 7" xfId="59177" xr:uid="{00000000-0005-0000-0000-000091E70000}"/>
    <cellStyle name="Обычный 22_объемы 2018г111" xfId="59178" xr:uid="{00000000-0005-0000-0000-000092E70000}"/>
    <cellStyle name="Обычный 23" xfId="59179" xr:uid="{00000000-0005-0000-0000-000093E70000}"/>
    <cellStyle name="Обычный 23 2" xfId="59180" xr:uid="{00000000-0005-0000-0000-000094E70000}"/>
    <cellStyle name="Обычный 23 3" xfId="59181" xr:uid="{00000000-0005-0000-0000-000095E70000}"/>
    <cellStyle name="Обычный 23 3 2" xfId="59182" xr:uid="{00000000-0005-0000-0000-000096E70000}"/>
    <cellStyle name="Обычный 23 3 3" xfId="59183" xr:uid="{00000000-0005-0000-0000-000097E70000}"/>
    <cellStyle name="Обычный 23 4" xfId="59184" xr:uid="{00000000-0005-0000-0000-000098E70000}"/>
    <cellStyle name="Обычный 23 4 2" xfId="59185" xr:uid="{00000000-0005-0000-0000-000099E70000}"/>
    <cellStyle name="Обычный 23 4 3" xfId="59186" xr:uid="{00000000-0005-0000-0000-00009AE70000}"/>
    <cellStyle name="Обычный 23 5" xfId="59187" xr:uid="{00000000-0005-0000-0000-00009BE70000}"/>
    <cellStyle name="Обычный 23 6" xfId="59188" xr:uid="{00000000-0005-0000-0000-00009CE70000}"/>
    <cellStyle name="Обычный 23_объемы 2018г111" xfId="59189" xr:uid="{00000000-0005-0000-0000-00009DE70000}"/>
    <cellStyle name="Обычный 24" xfId="59190" xr:uid="{00000000-0005-0000-0000-00009EE70000}"/>
    <cellStyle name="Обычный 24 2" xfId="59191" xr:uid="{00000000-0005-0000-0000-00009FE70000}"/>
    <cellStyle name="Обычный 24 3" xfId="59192" xr:uid="{00000000-0005-0000-0000-0000A0E70000}"/>
    <cellStyle name="Обычный 24 3 2" xfId="59193" xr:uid="{00000000-0005-0000-0000-0000A1E70000}"/>
    <cellStyle name="Обычный 24 3 3" xfId="59194" xr:uid="{00000000-0005-0000-0000-0000A2E70000}"/>
    <cellStyle name="Обычный 24 4" xfId="59195" xr:uid="{00000000-0005-0000-0000-0000A3E70000}"/>
    <cellStyle name="Обычный 24 4 2" xfId="59196" xr:uid="{00000000-0005-0000-0000-0000A4E70000}"/>
    <cellStyle name="Обычный 24 4 3" xfId="59197" xr:uid="{00000000-0005-0000-0000-0000A5E70000}"/>
    <cellStyle name="Обычный 24 5" xfId="59198" xr:uid="{00000000-0005-0000-0000-0000A6E70000}"/>
    <cellStyle name="Обычный 24 6" xfId="59199" xr:uid="{00000000-0005-0000-0000-0000A7E70000}"/>
    <cellStyle name="Обычный 24_объемы 2018г111" xfId="59200" xr:uid="{00000000-0005-0000-0000-0000A8E70000}"/>
    <cellStyle name="Обычный 25" xfId="59201" xr:uid="{00000000-0005-0000-0000-0000A9E70000}"/>
    <cellStyle name="Обычный 25 2" xfId="59202" xr:uid="{00000000-0005-0000-0000-0000AAE70000}"/>
    <cellStyle name="Обычный 25 2 2" xfId="59203" xr:uid="{00000000-0005-0000-0000-0000ABE70000}"/>
    <cellStyle name="Обычный 25 2 3" xfId="59204" xr:uid="{00000000-0005-0000-0000-0000ACE70000}"/>
    <cellStyle name="Обычный 25 3" xfId="59205" xr:uid="{00000000-0005-0000-0000-0000ADE70000}"/>
    <cellStyle name="Обычный 25 3 2" xfId="59206" xr:uid="{00000000-0005-0000-0000-0000AEE70000}"/>
    <cellStyle name="Обычный 25 3 3" xfId="59207" xr:uid="{00000000-0005-0000-0000-0000AFE70000}"/>
    <cellStyle name="Обычный 25 4" xfId="59208" xr:uid="{00000000-0005-0000-0000-0000B0E70000}"/>
    <cellStyle name="Обычный 25 5" xfId="59209" xr:uid="{00000000-0005-0000-0000-0000B1E70000}"/>
    <cellStyle name="Обычный 26" xfId="59210" xr:uid="{00000000-0005-0000-0000-0000B2E70000}"/>
    <cellStyle name="Обычный 26 10" xfId="59211" xr:uid="{00000000-0005-0000-0000-0000B3E70000}"/>
    <cellStyle name="Обычный 26 11" xfId="59212" xr:uid="{00000000-0005-0000-0000-0000B4E70000}"/>
    <cellStyle name="Обычный 26 12" xfId="59213" xr:uid="{00000000-0005-0000-0000-0000B5E70000}"/>
    <cellStyle name="Обычный 26 13" xfId="59214" xr:uid="{00000000-0005-0000-0000-0000B6E70000}"/>
    <cellStyle name="Обычный 26 14" xfId="59215" xr:uid="{00000000-0005-0000-0000-0000B7E70000}"/>
    <cellStyle name="Обычный 26 15" xfId="59216" xr:uid="{00000000-0005-0000-0000-0000B8E70000}"/>
    <cellStyle name="Обычный 26 2" xfId="59217" xr:uid="{00000000-0005-0000-0000-0000B9E70000}"/>
    <cellStyle name="Обычный 26 2 2" xfId="59218" xr:uid="{00000000-0005-0000-0000-0000BAE70000}"/>
    <cellStyle name="Обычный 26 2 2 2" xfId="59219" xr:uid="{00000000-0005-0000-0000-0000BBE70000}"/>
    <cellStyle name="Обычный 26 2 3" xfId="59220" xr:uid="{00000000-0005-0000-0000-0000BCE70000}"/>
    <cellStyle name="Обычный 26 3" xfId="59221" xr:uid="{00000000-0005-0000-0000-0000BDE70000}"/>
    <cellStyle name="Обычный 26 3 2" xfId="59222" xr:uid="{00000000-0005-0000-0000-0000BEE70000}"/>
    <cellStyle name="Обычный 26 3 3" xfId="59223" xr:uid="{00000000-0005-0000-0000-0000BFE70000}"/>
    <cellStyle name="Обычный 26 4" xfId="59224" xr:uid="{00000000-0005-0000-0000-0000C0E70000}"/>
    <cellStyle name="Обычный 26 4 2" xfId="59225" xr:uid="{00000000-0005-0000-0000-0000C1E70000}"/>
    <cellStyle name="Обычный 26 4 2 2" xfId="59226" xr:uid="{00000000-0005-0000-0000-0000C2E70000}"/>
    <cellStyle name="Обычный 26 4 3" xfId="59227" xr:uid="{00000000-0005-0000-0000-0000C3E70000}"/>
    <cellStyle name="Обычный 26 5" xfId="59228" xr:uid="{00000000-0005-0000-0000-0000C4E70000}"/>
    <cellStyle name="Обычный 26 5 2" xfId="59229" xr:uid="{00000000-0005-0000-0000-0000C5E70000}"/>
    <cellStyle name="Обычный 26 6" xfId="59230" xr:uid="{00000000-0005-0000-0000-0000C6E70000}"/>
    <cellStyle name="Обычный 26 6 2" xfId="59231" xr:uid="{00000000-0005-0000-0000-0000C7E70000}"/>
    <cellStyle name="Обычный 26 7" xfId="59232" xr:uid="{00000000-0005-0000-0000-0000C8E70000}"/>
    <cellStyle name="Обычный 26 8" xfId="59233" xr:uid="{00000000-0005-0000-0000-0000C9E70000}"/>
    <cellStyle name="Обычный 26 9" xfId="59234" xr:uid="{00000000-0005-0000-0000-0000CAE70000}"/>
    <cellStyle name="Обычный 27" xfId="59235" xr:uid="{00000000-0005-0000-0000-0000CBE70000}"/>
    <cellStyle name="Обычный 27 2" xfId="59236" xr:uid="{00000000-0005-0000-0000-0000CCE70000}"/>
    <cellStyle name="Обычный 27 2 2" xfId="59237" xr:uid="{00000000-0005-0000-0000-0000CDE70000}"/>
    <cellStyle name="Обычный 27 2 2 2" xfId="59238" xr:uid="{00000000-0005-0000-0000-0000CEE70000}"/>
    <cellStyle name="Обычный 27 2 3" xfId="59239" xr:uid="{00000000-0005-0000-0000-0000CFE70000}"/>
    <cellStyle name="Обычный 27 3" xfId="59240" xr:uid="{00000000-0005-0000-0000-0000D0E70000}"/>
    <cellStyle name="Обычный 27 3 2" xfId="59241" xr:uid="{00000000-0005-0000-0000-0000D1E70000}"/>
    <cellStyle name="Обычный 27 3 3" xfId="59242" xr:uid="{00000000-0005-0000-0000-0000D2E70000}"/>
    <cellStyle name="Обычный 27 4" xfId="59243" xr:uid="{00000000-0005-0000-0000-0000D3E70000}"/>
    <cellStyle name="Обычный 27 4 2" xfId="59244" xr:uid="{00000000-0005-0000-0000-0000D4E70000}"/>
    <cellStyle name="Обычный 27 5" xfId="59245" xr:uid="{00000000-0005-0000-0000-0000D5E70000}"/>
    <cellStyle name="Обычный 27 6" xfId="59246" xr:uid="{00000000-0005-0000-0000-0000D6E70000}"/>
    <cellStyle name="Обычный 27 7" xfId="59247" xr:uid="{00000000-0005-0000-0000-0000D7E70000}"/>
    <cellStyle name="Обычный 27 8" xfId="59248" xr:uid="{00000000-0005-0000-0000-0000D8E70000}"/>
    <cellStyle name="Обычный 27 9" xfId="59249" xr:uid="{00000000-0005-0000-0000-0000D9E70000}"/>
    <cellStyle name="Обычный 28" xfId="59250" xr:uid="{00000000-0005-0000-0000-0000DAE70000}"/>
    <cellStyle name="Обычный 28 2" xfId="59251" xr:uid="{00000000-0005-0000-0000-0000DBE70000}"/>
    <cellStyle name="Обычный 28 2 2" xfId="59252" xr:uid="{00000000-0005-0000-0000-0000DCE70000}"/>
    <cellStyle name="Обычный 28 2 2 2" xfId="59253" xr:uid="{00000000-0005-0000-0000-0000DDE70000}"/>
    <cellStyle name="Обычный 28 2 3" xfId="59254" xr:uid="{00000000-0005-0000-0000-0000DEE70000}"/>
    <cellStyle name="Обычный 28 3" xfId="59255" xr:uid="{00000000-0005-0000-0000-0000DFE70000}"/>
    <cellStyle name="Обычный 28 3 2" xfId="59256" xr:uid="{00000000-0005-0000-0000-0000E0E70000}"/>
    <cellStyle name="Обычный 28 3 3" xfId="59257" xr:uid="{00000000-0005-0000-0000-0000E1E70000}"/>
    <cellStyle name="Обычный 28 4" xfId="59258" xr:uid="{00000000-0005-0000-0000-0000E2E70000}"/>
    <cellStyle name="Обычный 28 4 2" xfId="59259" xr:uid="{00000000-0005-0000-0000-0000E3E70000}"/>
    <cellStyle name="Обычный 28 5" xfId="59260" xr:uid="{00000000-0005-0000-0000-0000E4E70000}"/>
    <cellStyle name="Обычный 28 6" xfId="59261" xr:uid="{00000000-0005-0000-0000-0000E5E70000}"/>
    <cellStyle name="Обычный 28 7" xfId="59262" xr:uid="{00000000-0005-0000-0000-0000E6E70000}"/>
    <cellStyle name="Обычный 28 8" xfId="59263" xr:uid="{00000000-0005-0000-0000-0000E7E70000}"/>
    <cellStyle name="Обычный 28 9" xfId="59264" xr:uid="{00000000-0005-0000-0000-0000E8E70000}"/>
    <cellStyle name="Обычный 29" xfId="59265" xr:uid="{00000000-0005-0000-0000-0000E9E70000}"/>
    <cellStyle name="Обычный 29 2" xfId="59266" xr:uid="{00000000-0005-0000-0000-0000EAE70000}"/>
    <cellStyle name="Обычный 29 2 2" xfId="59267" xr:uid="{00000000-0005-0000-0000-0000EBE70000}"/>
    <cellStyle name="Обычный 29 2 2 2" xfId="59268" xr:uid="{00000000-0005-0000-0000-0000ECE70000}"/>
    <cellStyle name="Обычный 29 2 3" xfId="59269" xr:uid="{00000000-0005-0000-0000-0000EDE70000}"/>
    <cellStyle name="Обычный 29 3" xfId="59270" xr:uid="{00000000-0005-0000-0000-0000EEE70000}"/>
    <cellStyle name="Обычный 29 3 2" xfId="59271" xr:uid="{00000000-0005-0000-0000-0000EFE70000}"/>
    <cellStyle name="Обычный 29 3 3" xfId="59272" xr:uid="{00000000-0005-0000-0000-0000F0E70000}"/>
    <cellStyle name="Обычный 29 4" xfId="59273" xr:uid="{00000000-0005-0000-0000-0000F1E70000}"/>
    <cellStyle name="Обычный 29 4 2" xfId="59274" xr:uid="{00000000-0005-0000-0000-0000F2E70000}"/>
    <cellStyle name="Обычный 29 5" xfId="59275" xr:uid="{00000000-0005-0000-0000-0000F3E70000}"/>
    <cellStyle name="Обычный 29 6" xfId="59276" xr:uid="{00000000-0005-0000-0000-0000F4E70000}"/>
    <cellStyle name="Обычный 29 7" xfId="59277" xr:uid="{00000000-0005-0000-0000-0000F5E70000}"/>
    <cellStyle name="Обычный 29 8" xfId="59278" xr:uid="{00000000-0005-0000-0000-0000F6E70000}"/>
    <cellStyle name="Обычный 29 9" xfId="59279" xr:uid="{00000000-0005-0000-0000-0000F7E70000}"/>
    <cellStyle name="Обычный 3" xfId="59280" xr:uid="{00000000-0005-0000-0000-0000F8E70000}"/>
    <cellStyle name="Обычный 3 10" xfId="59281" xr:uid="{00000000-0005-0000-0000-0000F9E70000}"/>
    <cellStyle name="Обычный 3 10 2" xfId="59282" xr:uid="{00000000-0005-0000-0000-0000FAE70000}"/>
    <cellStyle name="Обычный 3 10 2 2" xfId="59283" xr:uid="{00000000-0005-0000-0000-0000FBE70000}"/>
    <cellStyle name="Обычный 3 10 2 3" xfId="59284" xr:uid="{00000000-0005-0000-0000-0000FCE70000}"/>
    <cellStyle name="Обычный 3 10 3" xfId="59285" xr:uid="{00000000-0005-0000-0000-0000FDE70000}"/>
    <cellStyle name="Обычный 3 10 3 2" xfId="59286" xr:uid="{00000000-0005-0000-0000-0000FEE70000}"/>
    <cellStyle name="Обычный 3 10 3 3" xfId="59287" xr:uid="{00000000-0005-0000-0000-0000FFE70000}"/>
    <cellStyle name="Обычный 3 10 4" xfId="59288" xr:uid="{00000000-0005-0000-0000-000000E80000}"/>
    <cellStyle name="Обычный 3 10 5" xfId="59289" xr:uid="{00000000-0005-0000-0000-000001E80000}"/>
    <cellStyle name="Обычный 3 11" xfId="59290" xr:uid="{00000000-0005-0000-0000-000002E80000}"/>
    <cellStyle name="Обычный 3 11 2" xfId="59291" xr:uid="{00000000-0005-0000-0000-000003E80000}"/>
    <cellStyle name="Обычный 3 11 2 2" xfId="59292" xr:uid="{00000000-0005-0000-0000-000004E80000}"/>
    <cellStyle name="Обычный 3 11 2 3" xfId="59293" xr:uid="{00000000-0005-0000-0000-000005E80000}"/>
    <cellStyle name="Обычный 3 11 3" xfId="59294" xr:uid="{00000000-0005-0000-0000-000006E80000}"/>
    <cellStyle name="Обычный 3 11 3 2" xfId="59295" xr:uid="{00000000-0005-0000-0000-000007E80000}"/>
    <cellStyle name="Обычный 3 11 3 3" xfId="59296" xr:uid="{00000000-0005-0000-0000-000008E80000}"/>
    <cellStyle name="Обычный 3 11 4" xfId="59297" xr:uid="{00000000-0005-0000-0000-000009E80000}"/>
    <cellStyle name="Обычный 3 11 5" xfId="59298" xr:uid="{00000000-0005-0000-0000-00000AE80000}"/>
    <cellStyle name="Обычный 3 12" xfId="59299" xr:uid="{00000000-0005-0000-0000-00000BE80000}"/>
    <cellStyle name="Обычный 3 12 2" xfId="59300" xr:uid="{00000000-0005-0000-0000-00000CE80000}"/>
    <cellStyle name="Обычный 3 12 2 2" xfId="59301" xr:uid="{00000000-0005-0000-0000-00000DE80000}"/>
    <cellStyle name="Обычный 3 12 2 3" xfId="59302" xr:uid="{00000000-0005-0000-0000-00000EE80000}"/>
    <cellStyle name="Обычный 3 12 3" xfId="59303" xr:uid="{00000000-0005-0000-0000-00000FE80000}"/>
    <cellStyle name="Обычный 3 12 3 2" xfId="59304" xr:uid="{00000000-0005-0000-0000-000010E80000}"/>
    <cellStyle name="Обычный 3 12 3 3" xfId="59305" xr:uid="{00000000-0005-0000-0000-000011E80000}"/>
    <cellStyle name="Обычный 3 12 4" xfId="59306" xr:uid="{00000000-0005-0000-0000-000012E80000}"/>
    <cellStyle name="Обычный 3 12 5" xfId="59307" xr:uid="{00000000-0005-0000-0000-000013E80000}"/>
    <cellStyle name="Обычный 3 13" xfId="59308" xr:uid="{00000000-0005-0000-0000-000014E80000}"/>
    <cellStyle name="Обычный 3 13 2" xfId="59309" xr:uid="{00000000-0005-0000-0000-000015E80000}"/>
    <cellStyle name="Обычный 3 13 2 2" xfId="59310" xr:uid="{00000000-0005-0000-0000-000016E80000}"/>
    <cellStyle name="Обычный 3 13 2 3" xfId="59311" xr:uid="{00000000-0005-0000-0000-000017E80000}"/>
    <cellStyle name="Обычный 3 13 3" xfId="59312" xr:uid="{00000000-0005-0000-0000-000018E80000}"/>
    <cellStyle name="Обычный 3 13 3 2" xfId="59313" xr:uid="{00000000-0005-0000-0000-000019E80000}"/>
    <cellStyle name="Обычный 3 13 3 3" xfId="59314" xr:uid="{00000000-0005-0000-0000-00001AE80000}"/>
    <cellStyle name="Обычный 3 13 4" xfId="59315" xr:uid="{00000000-0005-0000-0000-00001BE80000}"/>
    <cellStyle name="Обычный 3 13 5" xfId="59316" xr:uid="{00000000-0005-0000-0000-00001CE80000}"/>
    <cellStyle name="Обычный 3 14" xfId="59317" xr:uid="{00000000-0005-0000-0000-00001DE80000}"/>
    <cellStyle name="Обычный 3 14 2" xfId="59318" xr:uid="{00000000-0005-0000-0000-00001EE80000}"/>
    <cellStyle name="Обычный 3 14 2 2" xfId="59319" xr:uid="{00000000-0005-0000-0000-00001FE80000}"/>
    <cellStyle name="Обычный 3 14 2 3" xfId="59320" xr:uid="{00000000-0005-0000-0000-000020E80000}"/>
    <cellStyle name="Обычный 3 14 3" xfId="59321" xr:uid="{00000000-0005-0000-0000-000021E80000}"/>
    <cellStyle name="Обычный 3 14 3 2" xfId="59322" xr:uid="{00000000-0005-0000-0000-000022E80000}"/>
    <cellStyle name="Обычный 3 14 3 3" xfId="59323" xr:uid="{00000000-0005-0000-0000-000023E80000}"/>
    <cellStyle name="Обычный 3 14 4" xfId="59324" xr:uid="{00000000-0005-0000-0000-000024E80000}"/>
    <cellStyle name="Обычный 3 14 5" xfId="59325" xr:uid="{00000000-0005-0000-0000-000025E80000}"/>
    <cellStyle name="Обычный 3 15" xfId="59326" xr:uid="{00000000-0005-0000-0000-000026E80000}"/>
    <cellStyle name="Обычный 3 15 2" xfId="59327" xr:uid="{00000000-0005-0000-0000-000027E80000}"/>
    <cellStyle name="Обычный 3 15 2 2" xfId="59328" xr:uid="{00000000-0005-0000-0000-000028E80000}"/>
    <cellStyle name="Обычный 3 15 2 3" xfId="59329" xr:uid="{00000000-0005-0000-0000-000029E80000}"/>
    <cellStyle name="Обычный 3 15 3" xfId="59330" xr:uid="{00000000-0005-0000-0000-00002AE80000}"/>
    <cellStyle name="Обычный 3 15 3 2" xfId="59331" xr:uid="{00000000-0005-0000-0000-00002BE80000}"/>
    <cellStyle name="Обычный 3 15 3 3" xfId="59332" xr:uid="{00000000-0005-0000-0000-00002CE80000}"/>
    <cellStyle name="Обычный 3 15 4" xfId="59333" xr:uid="{00000000-0005-0000-0000-00002DE80000}"/>
    <cellStyle name="Обычный 3 15 5" xfId="59334" xr:uid="{00000000-0005-0000-0000-00002EE80000}"/>
    <cellStyle name="Обычный 3 16" xfId="59335" xr:uid="{00000000-0005-0000-0000-00002FE80000}"/>
    <cellStyle name="Обычный 3 16 2" xfId="59336" xr:uid="{00000000-0005-0000-0000-000030E80000}"/>
    <cellStyle name="Обычный 3 16 2 2" xfId="59337" xr:uid="{00000000-0005-0000-0000-000031E80000}"/>
    <cellStyle name="Обычный 3 16 2 3" xfId="59338" xr:uid="{00000000-0005-0000-0000-000032E80000}"/>
    <cellStyle name="Обычный 3 16 3" xfId="59339" xr:uid="{00000000-0005-0000-0000-000033E80000}"/>
    <cellStyle name="Обычный 3 16 3 2" xfId="59340" xr:uid="{00000000-0005-0000-0000-000034E80000}"/>
    <cellStyle name="Обычный 3 16 3 3" xfId="59341" xr:uid="{00000000-0005-0000-0000-000035E80000}"/>
    <cellStyle name="Обычный 3 16 4" xfId="59342" xr:uid="{00000000-0005-0000-0000-000036E80000}"/>
    <cellStyle name="Обычный 3 16 5" xfId="59343" xr:uid="{00000000-0005-0000-0000-000037E80000}"/>
    <cellStyle name="Обычный 3 17" xfId="59344" xr:uid="{00000000-0005-0000-0000-000038E80000}"/>
    <cellStyle name="Обычный 3 17 2" xfId="59345" xr:uid="{00000000-0005-0000-0000-000039E80000}"/>
    <cellStyle name="Обычный 3 17 2 2" xfId="59346" xr:uid="{00000000-0005-0000-0000-00003AE80000}"/>
    <cellStyle name="Обычный 3 17 2 3" xfId="59347" xr:uid="{00000000-0005-0000-0000-00003BE80000}"/>
    <cellStyle name="Обычный 3 17 3" xfId="59348" xr:uid="{00000000-0005-0000-0000-00003CE80000}"/>
    <cellStyle name="Обычный 3 17 3 2" xfId="59349" xr:uid="{00000000-0005-0000-0000-00003DE80000}"/>
    <cellStyle name="Обычный 3 17 3 3" xfId="59350" xr:uid="{00000000-0005-0000-0000-00003EE80000}"/>
    <cellStyle name="Обычный 3 17 4" xfId="59351" xr:uid="{00000000-0005-0000-0000-00003FE80000}"/>
    <cellStyle name="Обычный 3 17 5" xfId="59352" xr:uid="{00000000-0005-0000-0000-000040E80000}"/>
    <cellStyle name="Обычный 3 18" xfId="59353" xr:uid="{00000000-0005-0000-0000-000041E80000}"/>
    <cellStyle name="Обычный 3 18 2" xfId="59354" xr:uid="{00000000-0005-0000-0000-000042E80000}"/>
    <cellStyle name="Обычный 3 18 2 2" xfId="59355" xr:uid="{00000000-0005-0000-0000-000043E80000}"/>
    <cellStyle name="Обычный 3 18 2 3" xfId="59356" xr:uid="{00000000-0005-0000-0000-000044E80000}"/>
    <cellStyle name="Обычный 3 18 3" xfId="59357" xr:uid="{00000000-0005-0000-0000-000045E80000}"/>
    <cellStyle name="Обычный 3 18 3 2" xfId="59358" xr:uid="{00000000-0005-0000-0000-000046E80000}"/>
    <cellStyle name="Обычный 3 18 3 3" xfId="59359" xr:uid="{00000000-0005-0000-0000-000047E80000}"/>
    <cellStyle name="Обычный 3 18 4" xfId="59360" xr:uid="{00000000-0005-0000-0000-000048E80000}"/>
    <cellStyle name="Обычный 3 18 5" xfId="59361" xr:uid="{00000000-0005-0000-0000-000049E80000}"/>
    <cellStyle name="Обычный 3 19" xfId="59362" xr:uid="{00000000-0005-0000-0000-00004AE80000}"/>
    <cellStyle name="Обычный 3 19 2" xfId="59363" xr:uid="{00000000-0005-0000-0000-00004BE80000}"/>
    <cellStyle name="Обычный 3 19 3" xfId="59364" xr:uid="{00000000-0005-0000-0000-00004CE80000}"/>
    <cellStyle name="Обычный 3 2" xfId="59365" xr:uid="{00000000-0005-0000-0000-00004DE80000}"/>
    <cellStyle name="Обычный 3 20" xfId="59366" xr:uid="{00000000-0005-0000-0000-00004EE80000}"/>
    <cellStyle name="Обычный 3 20 2" xfId="59367" xr:uid="{00000000-0005-0000-0000-00004FE80000}"/>
    <cellStyle name="Обычный 3 20 3" xfId="59368" xr:uid="{00000000-0005-0000-0000-000050E80000}"/>
    <cellStyle name="Обычный 3 21" xfId="59369" xr:uid="{00000000-0005-0000-0000-000051E80000}"/>
    <cellStyle name="Обычный 3 22" xfId="59370" xr:uid="{00000000-0005-0000-0000-000052E80000}"/>
    <cellStyle name="Обычный 3 23" xfId="59371" xr:uid="{00000000-0005-0000-0000-000053E80000}"/>
    <cellStyle name="Обычный 3 24" xfId="59372" xr:uid="{00000000-0005-0000-0000-000054E80000}"/>
    <cellStyle name="Обычный 3 3" xfId="59373" xr:uid="{00000000-0005-0000-0000-000055E80000}"/>
    <cellStyle name="Обычный 3 3 2" xfId="59374" xr:uid="{00000000-0005-0000-0000-000056E80000}"/>
    <cellStyle name="Обычный 3 3 3" xfId="59375" xr:uid="{00000000-0005-0000-0000-000057E80000}"/>
    <cellStyle name="Обычный 3 4" xfId="59376" xr:uid="{00000000-0005-0000-0000-000058E80000}"/>
    <cellStyle name="Обычный 3 4 2" xfId="59377" xr:uid="{00000000-0005-0000-0000-000059E80000}"/>
    <cellStyle name="Обычный 3 4 2 2" xfId="59378" xr:uid="{00000000-0005-0000-0000-00005AE80000}"/>
    <cellStyle name="Обычный 3 4 2 2 2" xfId="59379" xr:uid="{00000000-0005-0000-0000-00005BE80000}"/>
    <cellStyle name="Обычный 3 4 2 2 2 2" xfId="59380" xr:uid="{00000000-0005-0000-0000-00005CE80000}"/>
    <cellStyle name="Обычный 3 4 2 2 2 3" xfId="59381" xr:uid="{00000000-0005-0000-0000-00005DE80000}"/>
    <cellStyle name="Обычный 3 4 2 2 3" xfId="59382" xr:uid="{00000000-0005-0000-0000-00005EE80000}"/>
    <cellStyle name="Обычный 3 4 2 2 3 2" xfId="59383" xr:uid="{00000000-0005-0000-0000-00005FE80000}"/>
    <cellStyle name="Обычный 3 4 2 2 3 3" xfId="59384" xr:uid="{00000000-0005-0000-0000-000060E80000}"/>
    <cellStyle name="Обычный 3 4 2 2 4" xfId="59385" xr:uid="{00000000-0005-0000-0000-000061E80000}"/>
    <cellStyle name="Обычный 3 4 2 2 5" xfId="59386" xr:uid="{00000000-0005-0000-0000-000062E80000}"/>
    <cellStyle name="Обычный 3 4 2 3" xfId="59387" xr:uid="{00000000-0005-0000-0000-000063E80000}"/>
    <cellStyle name="Обычный 3 4 2 3 2" xfId="59388" xr:uid="{00000000-0005-0000-0000-000064E80000}"/>
    <cellStyle name="Обычный 3 4 2 3 3" xfId="59389" xr:uid="{00000000-0005-0000-0000-000065E80000}"/>
    <cellStyle name="Обычный 3 4 2 4" xfId="59390" xr:uid="{00000000-0005-0000-0000-000066E80000}"/>
    <cellStyle name="Обычный 3 4 2 4 2" xfId="59391" xr:uid="{00000000-0005-0000-0000-000067E80000}"/>
    <cellStyle name="Обычный 3 4 2 4 3" xfId="59392" xr:uid="{00000000-0005-0000-0000-000068E80000}"/>
    <cellStyle name="Обычный 3 4 2 5" xfId="59393" xr:uid="{00000000-0005-0000-0000-000069E80000}"/>
    <cellStyle name="Обычный 3 4 2 6" xfId="59394" xr:uid="{00000000-0005-0000-0000-00006AE80000}"/>
    <cellStyle name="Обычный 3 4 2_объемы 2018г111" xfId="59395" xr:uid="{00000000-0005-0000-0000-00006BE80000}"/>
    <cellStyle name="Обычный 3 4 3" xfId="59396" xr:uid="{00000000-0005-0000-0000-00006CE80000}"/>
    <cellStyle name="Обычный 3 4 3 2" xfId="59397" xr:uid="{00000000-0005-0000-0000-00006DE80000}"/>
    <cellStyle name="Обычный 3 4 3 2 2" xfId="59398" xr:uid="{00000000-0005-0000-0000-00006EE80000}"/>
    <cellStyle name="Обычный 3 4 3 2 3" xfId="59399" xr:uid="{00000000-0005-0000-0000-00006FE80000}"/>
    <cellStyle name="Обычный 3 4 3 3" xfId="59400" xr:uid="{00000000-0005-0000-0000-000070E80000}"/>
    <cellStyle name="Обычный 3 4 3 3 2" xfId="59401" xr:uid="{00000000-0005-0000-0000-000071E80000}"/>
    <cellStyle name="Обычный 3 4 3 3 3" xfId="59402" xr:uid="{00000000-0005-0000-0000-000072E80000}"/>
    <cellStyle name="Обычный 3 4 3 4" xfId="59403" xr:uid="{00000000-0005-0000-0000-000073E80000}"/>
    <cellStyle name="Обычный 3 4 3 5" xfId="59404" xr:uid="{00000000-0005-0000-0000-000074E80000}"/>
    <cellStyle name="Обычный 3 4 4" xfId="59405" xr:uid="{00000000-0005-0000-0000-000075E80000}"/>
    <cellStyle name="Обычный 3 4 4 2" xfId="59406" xr:uid="{00000000-0005-0000-0000-000076E80000}"/>
    <cellStyle name="Обычный 3 4 4 3" xfId="59407" xr:uid="{00000000-0005-0000-0000-000077E80000}"/>
    <cellStyle name="Обычный 3 4 5" xfId="59408" xr:uid="{00000000-0005-0000-0000-000078E80000}"/>
    <cellStyle name="Обычный 3 4 5 2" xfId="59409" xr:uid="{00000000-0005-0000-0000-000079E80000}"/>
    <cellStyle name="Обычный 3 4 5 3" xfId="59410" xr:uid="{00000000-0005-0000-0000-00007AE80000}"/>
    <cellStyle name="Обычный 3 4 6" xfId="59411" xr:uid="{00000000-0005-0000-0000-00007BE80000}"/>
    <cellStyle name="Обычный 3 4 7" xfId="59412" xr:uid="{00000000-0005-0000-0000-00007CE80000}"/>
    <cellStyle name="Обычный 3 4_объемы 2018г111" xfId="59413" xr:uid="{00000000-0005-0000-0000-00007DE80000}"/>
    <cellStyle name="Обычный 3 5" xfId="59414" xr:uid="{00000000-0005-0000-0000-00007EE80000}"/>
    <cellStyle name="Обычный 3 5 2" xfId="59415" xr:uid="{00000000-0005-0000-0000-00007FE80000}"/>
    <cellStyle name="Обычный 3 5 2 2" xfId="59416" xr:uid="{00000000-0005-0000-0000-000080E80000}"/>
    <cellStyle name="Обычный 3 5 2 2 2" xfId="59417" xr:uid="{00000000-0005-0000-0000-000081E80000}"/>
    <cellStyle name="Обычный 3 5 2 2 2 2" xfId="59418" xr:uid="{00000000-0005-0000-0000-000082E80000}"/>
    <cellStyle name="Обычный 3 5 2 2 2 3" xfId="59419" xr:uid="{00000000-0005-0000-0000-000083E80000}"/>
    <cellStyle name="Обычный 3 5 2 2 3" xfId="59420" xr:uid="{00000000-0005-0000-0000-000084E80000}"/>
    <cellStyle name="Обычный 3 5 2 2 3 2" xfId="59421" xr:uid="{00000000-0005-0000-0000-000085E80000}"/>
    <cellStyle name="Обычный 3 5 2 2 3 3" xfId="59422" xr:uid="{00000000-0005-0000-0000-000086E80000}"/>
    <cellStyle name="Обычный 3 5 2 2 4" xfId="59423" xr:uid="{00000000-0005-0000-0000-000087E80000}"/>
    <cellStyle name="Обычный 3 5 2 2 5" xfId="59424" xr:uid="{00000000-0005-0000-0000-000088E80000}"/>
    <cellStyle name="Обычный 3 5 2 3" xfId="59425" xr:uid="{00000000-0005-0000-0000-000089E80000}"/>
    <cellStyle name="Обычный 3 5 2 3 2" xfId="59426" xr:uid="{00000000-0005-0000-0000-00008AE80000}"/>
    <cellStyle name="Обычный 3 5 2 3 3" xfId="59427" xr:uid="{00000000-0005-0000-0000-00008BE80000}"/>
    <cellStyle name="Обычный 3 5 2 4" xfId="59428" xr:uid="{00000000-0005-0000-0000-00008CE80000}"/>
    <cellStyle name="Обычный 3 5 2 4 2" xfId="59429" xr:uid="{00000000-0005-0000-0000-00008DE80000}"/>
    <cellStyle name="Обычный 3 5 2 4 3" xfId="59430" xr:uid="{00000000-0005-0000-0000-00008EE80000}"/>
    <cellStyle name="Обычный 3 5 2 5" xfId="59431" xr:uid="{00000000-0005-0000-0000-00008FE80000}"/>
    <cellStyle name="Обычный 3 5 2 6" xfId="59432" xr:uid="{00000000-0005-0000-0000-000090E80000}"/>
    <cellStyle name="Обычный 3 5 2_объемы 2018г111" xfId="59433" xr:uid="{00000000-0005-0000-0000-000091E80000}"/>
    <cellStyle name="Обычный 3 5 3" xfId="59434" xr:uid="{00000000-0005-0000-0000-000092E80000}"/>
    <cellStyle name="Обычный 3 5 3 2" xfId="59435" xr:uid="{00000000-0005-0000-0000-000093E80000}"/>
    <cellStyle name="Обычный 3 5 3 2 2" xfId="59436" xr:uid="{00000000-0005-0000-0000-000094E80000}"/>
    <cellStyle name="Обычный 3 5 3 2 3" xfId="59437" xr:uid="{00000000-0005-0000-0000-000095E80000}"/>
    <cellStyle name="Обычный 3 5 3 3" xfId="59438" xr:uid="{00000000-0005-0000-0000-000096E80000}"/>
    <cellStyle name="Обычный 3 5 3 3 2" xfId="59439" xr:uid="{00000000-0005-0000-0000-000097E80000}"/>
    <cellStyle name="Обычный 3 5 3 3 3" xfId="59440" xr:uid="{00000000-0005-0000-0000-000098E80000}"/>
    <cellStyle name="Обычный 3 5 3 4" xfId="59441" xr:uid="{00000000-0005-0000-0000-000099E80000}"/>
    <cellStyle name="Обычный 3 5 3 5" xfId="59442" xr:uid="{00000000-0005-0000-0000-00009AE80000}"/>
    <cellStyle name="Обычный 3 5 4" xfId="59443" xr:uid="{00000000-0005-0000-0000-00009BE80000}"/>
    <cellStyle name="Обычный 3 5 4 2" xfId="59444" xr:uid="{00000000-0005-0000-0000-00009CE80000}"/>
    <cellStyle name="Обычный 3 5 4 3" xfId="59445" xr:uid="{00000000-0005-0000-0000-00009DE80000}"/>
    <cellStyle name="Обычный 3 5 5" xfId="59446" xr:uid="{00000000-0005-0000-0000-00009EE80000}"/>
    <cellStyle name="Обычный 3 5 5 2" xfId="59447" xr:uid="{00000000-0005-0000-0000-00009FE80000}"/>
    <cellStyle name="Обычный 3 5 5 3" xfId="59448" xr:uid="{00000000-0005-0000-0000-0000A0E80000}"/>
    <cellStyle name="Обычный 3 5 6" xfId="59449" xr:uid="{00000000-0005-0000-0000-0000A1E80000}"/>
    <cellStyle name="Обычный 3 5 7" xfId="59450" xr:uid="{00000000-0005-0000-0000-0000A2E80000}"/>
    <cellStyle name="Обычный 3 5_объемы 2018г111" xfId="59451" xr:uid="{00000000-0005-0000-0000-0000A3E80000}"/>
    <cellStyle name="Обычный 3 6" xfId="59452" xr:uid="{00000000-0005-0000-0000-0000A4E80000}"/>
    <cellStyle name="Обычный 3 6 2" xfId="59453" xr:uid="{00000000-0005-0000-0000-0000A5E80000}"/>
    <cellStyle name="Обычный 3 6 2 2" xfId="59454" xr:uid="{00000000-0005-0000-0000-0000A6E80000}"/>
    <cellStyle name="Обычный 3 6 2 2 2" xfId="59455" xr:uid="{00000000-0005-0000-0000-0000A7E80000}"/>
    <cellStyle name="Обычный 3 6 2 2 3" xfId="59456" xr:uid="{00000000-0005-0000-0000-0000A8E80000}"/>
    <cellStyle name="Обычный 3 6 2 3" xfId="59457" xr:uid="{00000000-0005-0000-0000-0000A9E80000}"/>
    <cellStyle name="Обычный 3 6 2 3 2" xfId="59458" xr:uid="{00000000-0005-0000-0000-0000AAE80000}"/>
    <cellStyle name="Обычный 3 6 2 3 3" xfId="59459" xr:uid="{00000000-0005-0000-0000-0000ABE80000}"/>
    <cellStyle name="Обычный 3 6 2 4" xfId="59460" xr:uid="{00000000-0005-0000-0000-0000ACE80000}"/>
    <cellStyle name="Обычный 3 6 2 5" xfId="59461" xr:uid="{00000000-0005-0000-0000-0000ADE80000}"/>
    <cellStyle name="Обычный 3 6 3" xfId="59462" xr:uid="{00000000-0005-0000-0000-0000AEE80000}"/>
    <cellStyle name="Обычный 3 6 3 2" xfId="59463" xr:uid="{00000000-0005-0000-0000-0000AFE80000}"/>
    <cellStyle name="Обычный 3 6 3 3" xfId="59464" xr:uid="{00000000-0005-0000-0000-0000B0E80000}"/>
    <cellStyle name="Обычный 3 6 4" xfId="59465" xr:uid="{00000000-0005-0000-0000-0000B1E80000}"/>
    <cellStyle name="Обычный 3 6 4 2" xfId="59466" xr:uid="{00000000-0005-0000-0000-0000B2E80000}"/>
    <cellStyle name="Обычный 3 6 4 3" xfId="59467" xr:uid="{00000000-0005-0000-0000-0000B3E80000}"/>
    <cellStyle name="Обычный 3 6 5" xfId="59468" xr:uid="{00000000-0005-0000-0000-0000B4E80000}"/>
    <cellStyle name="Обычный 3 6 6" xfId="59469" xr:uid="{00000000-0005-0000-0000-0000B5E80000}"/>
    <cellStyle name="Обычный 3 6_объемы 2018г111" xfId="59470" xr:uid="{00000000-0005-0000-0000-0000B6E80000}"/>
    <cellStyle name="Обычный 3 7" xfId="59471" xr:uid="{00000000-0005-0000-0000-0000B7E80000}"/>
    <cellStyle name="Обычный 3 7 2" xfId="59472" xr:uid="{00000000-0005-0000-0000-0000B8E80000}"/>
    <cellStyle name="Обычный 3 7 2 2" xfId="59473" xr:uid="{00000000-0005-0000-0000-0000B9E80000}"/>
    <cellStyle name="Обычный 3 7 2 3" xfId="59474" xr:uid="{00000000-0005-0000-0000-0000BAE80000}"/>
    <cellStyle name="Обычный 3 7 3" xfId="59475" xr:uid="{00000000-0005-0000-0000-0000BBE80000}"/>
    <cellStyle name="Обычный 3 7 3 2" xfId="59476" xr:uid="{00000000-0005-0000-0000-0000BCE80000}"/>
    <cellStyle name="Обычный 3 7 3 3" xfId="59477" xr:uid="{00000000-0005-0000-0000-0000BDE80000}"/>
    <cellStyle name="Обычный 3 7 4" xfId="59478" xr:uid="{00000000-0005-0000-0000-0000BEE80000}"/>
    <cellStyle name="Обычный 3 7 5" xfId="59479" xr:uid="{00000000-0005-0000-0000-0000BFE80000}"/>
    <cellStyle name="Обычный 3 8" xfId="59480" xr:uid="{00000000-0005-0000-0000-0000C0E80000}"/>
    <cellStyle name="Обычный 3 8 2" xfId="59481" xr:uid="{00000000-0005-0000-0000-0000C1E80000}"/>
    <cellStyle name="Обычный 3 8 2 2" xfId="59482" xr:uid="{00000000-0005-0000-0000-0000C2E80000}"/>
    <cellStyle name="Обычный 3 8 2 3" xfId="59483" xr:uid="{00000000-0005-0000-0000-0000C3E80000}"/>
    <cellStyle name="Обычный 3 8 3" xfId="59484" xr:uid="{00000000-0005-0000-0000-0000C4E80000}"/>
    <cellStyle name="Обычный 3 8 3 2" xfId="59485" xr:uid="{00000000-0005-0000-0000-0000C5E80000}"/>
    <cellStyle name="Обычный 3 8 3 3" xfId="59486" xr:uid="{00000000-0005-0000-0000-0000C6E80000}"/>
    <cellStyle name="Обычный 3 8 4" xfId="59487" xr:uid="{00000000-0005-0000-0000-0000C7E80000}"/>
    <cellStyle name="Обычный 3 8 5" xfId="59488" xr:uid="{00000000-0005-0000-0000-0000C8E80000}"/>
    <cellStyle name="Обычный 3 9" xfId="59489" xr:uid="{00000000-0005-0000-0000-0000C9E80000}"/>
    <cellStyle name="Обычный 3 9 2" xfId="59490" xr:uid="{00000000-0005-0000-0000-0000CAE80000}"/>
    <cellStyle name="Обычный 3 9 2 2" xfId="59491" xr:uid="{00000000-0005-0000-0000-0000CBE80000}"/>
    <cellStyle name="Обычный 3 9 2 3" xfId="59492" xr:uid="{00000000-0005-0000-0000-0000CCE80000}"/>
    <cellStyle name="Обычный 3 9 3" xfId="59493" xr:uid="{00000000-0005-0000-0000-0000CDE80000}"/>
    <cellStyle name="Обычный 3 9 3 2" xfId="59494" xr:uid="{00000000-0005-0000-0000-0000CEE80000}"/>
    <cellStyle name="Обычный 3 9 3 3" xfId="59495" xr:uid="{00000000-0005-0000-0000-0000CFE80000}"/>
    <cellStyle name="Обычный 3 9 4" xfId="59496" xr:uid="{00000000-0005-0000-0000-0000D0E80000}"/>
    <cellStyle name="Обычный 3 9 5" xfId="59497" xr:uid="{00000000-0005-0000-0000-0000D1E80000}"/>
    <cellStyle name="Обычный 3_объемы 2018г111" xfId="59498" xr:uid="{00000000-0005-0000-0000-0000D2E80000}"/>
    <cellStyle name="Обычный 30" xfId="59499" xr:uid="{00000000-0005-0000-0000-0000D3E80000}"/>
    <cellStyle name="Обычный 30 2" xfId="59500" xr:uid="{00000000-0005-0000-0000-0000D4E80000}"/>
    <cellStyle name="Обычный 30 2 2" xfId="59501" xr:uid="{00000000-0005-0000-0000-0000D5E80000}"/>
    <cellStyle name="Обычный 30 3" xfId="59502" xr:uid="{00000000-0005-0000-0000-0000D6E80000}"/>
    <cellStyle name="Обычный 30 3 2" xfId="59503" xr:uid="{00000000-0005-0000-0000-0000D7E80000}"/>
    <cellStyle name="Обычный 30 4" xfId="59504" xr:uid="{00000000-0005-0000-0000-0000D8E80000}"/>
    <cellStyle name="Обычный 30 5" xfId="59505" xr:uid="{00000000-0005-0000-0000-0000D9E80000}"/>
    <cellStyle name="Обычный 30 6" xfId="59506" xr:uid="{00000000-0005-0000-0000-0000DAE80000}"/>
    <cellStyle name="Обычный 30 7" xfId="59507" xr:uid="{00000000-0005-0000-0000-0000DBE80000}"/>
    <cellStyle name="Обычный 30 8" xfId="59508" xr:uid="{00000000-0005-0000-0000-0000DCE80000}"/>
    <cellStyle name="Обычный 31" xfId="59509" xr:uid="{00000000-0005-0000-0000-0000DDE80000}"/>
    <cellStyle name="Обычный 31 2" xfId="59510" xr:uid="{00000000-0005-0000-0000-0000DEE80000}"/>
    <cellStyle name="Обычный 31 2 2" xfId="59511" xr:uid="{00000000-0005-0000-0000-0000DFE80000}"/>
    <cellStyle name="Обычный 31 2 3" xfId="59512" xr:uid="{00000000-0005-0000-0000-0000E0E80000}"/>
    <cellStyle name="Обычный 31 3" xfId="59513" xr:uid="{00000000-0005-0000-0000-0000E1E80000}"/>
    <cellStyle name="Обычный 31 3 2" xfId="59514" xr:uid="{00000000-0005-0000-0000-0000E2E80000}"/>
    <cellStyle name="Обычный 31 3 3" xfId="59515" xr:uid="{00000000-0005-0000-0000-0000E3E80000}"/>
    <cellStyle name="Обычный 31 4" xfId="59516" xr:uid="{00000000-0005-0000-0000-0000E4E80000}"/>
    <cellStyle name="Обычный 31 5" xfId="59517" xr:uid="{00000000-0005-0000-0000-0000E5E80000}"/>
    <cellStyle name="Обычный 32" xfId="59518" xr:uid="{00000000-0005-0000-0000-0000E6E80000}"/>
    <cellStyle name="Обычный 32 2" xfId="59519" xr:uid="{00000000-0005-0000-0000-0000E7E80000}"/>
    <cellStyle name="Обычный 32 2 2" xfId="59520" xr:uid="{00000000-0005-0000-0000-0000E8E80000}"/>
    <cellStyle name="Обычный 32 2 3" xfId="59521" xr:uid="{00000000-0005-0000-0000-0000E9E80000}"/>
    <cellStyle name="Обычный 32 3" xfId="59522" xr:uid="{00000000-0005-0000-0000-0000EAE80000}"/>
    <cellStyle name="Обычный 32 3 2" xfId="59523" xr:uid="{00000000-0005-0000-0000-0000EBE80000}"/>
    <cellStyle name="Обычный 32 3 3" xfId="59524" xr:uid="{00000000-0005-0000-0000-0000ECE80000}"/>
    <cellStyle name="Обычный 32 4" xfId="59525" xr:uid="{00000000-0005-0000-0000-0000EDE80000}"/>
    <cellStyle name="Обычный 32 5" xfId="59526" xr:uid="{00000000-0005-0000-0000-0000EEE80000}"/>
    <cellStyle name="Обычный 33" xfId="59527" xr:uid="{00000000-0005-0000-0000-0000EFE80000}"/>
    <cellStyle name="Обычный 33 2" xfId="59528" xr:uid="{00000000-0005-0000-0000-0000F0E80000}"/>
    <cellStyle name="Обычный 33 2 2" xfId="59529" xr:uid="{00000000-0005-0000-0000-0000F1E80000}"/>
    <cellStyle name="Обычный 33 2 3" xfId="59530" xr:uid="{00000000-0005-0000-0000-0000F2E80000}"/>
    <cellStyle name="Обычный 33 3" xfId="59531" xr:uid="{00000000-0005-0000-0000-0000F3E80000}"/>
    <cellStyle name="Обычный 33 3 2" xfId="59532" xr:uid="{00000000-0005-0000-0000-0000F4E80000}"/>
    <cellStyle name="Обычный 33 3 3" xfId="59533" xr:uid="{00000000-0005-0000-0000-0000F5E80000}"/>
    <cellStyle name="Обычный 33 4" xfId="59534" xr:uid="{00000000-0005-0000-0000-0000F6E80000}"/>
    <cellStyle name="Обычный 33 5" xfId="59535" xr:uid="{00000000-0005-0000-0000-0000F7E80000}"/>
    <cellStyle name="Обычный 34" xfId="59536" xr:uid="{00000000-0005-0000-0000-0000F8E80000}"/>
    <cellStyle name="Обычный 34 2" xfId="59537" xr:uid="{00000000-0005-0000-0000-0000F9E80000}"/>
    <cellStyle name="Обычный 34 2 2" xfId="59538" xr:uid="{00000000-0005-0000-0000-0000FAE80000}"/>
    <cellStyle name="Обычный 34 2 3" xfId="59539" xr:uid="{00000000-0005-0000-0000-0000FBE80000}"/>
    <cellStyle name="Обычный 34 3" xfId="59540" xr:uid="{00000000-0005-0000-0000-0000FCE80000}"/>
    <cellStyle name="Обычный 34 3 2" xfId="59541" xr:uid="{00000000-0005-0000-0000-0000FDE80000}"/>
    <cellStyle name="Обычный 34 3 3" xfId="59542" xr:uid="{00000000-0005-0000-0000-0000FEE80000}"/>
    <cellStyle name="Обычный 34 4" xfId="59543" xr:uid="{00000000-0005-0000-0000-0000FFE80000}"/>
    <cellStyle name="Обычный 34 5" xfId="59544" xr:uid="{00000000-0005-0000-0000-000000E90000}"/>
    <cellStyle name="Обычный 35" xfId="59545" xr:uid="{00000000-0005-0000-0000-000001E90000}"/>
    <cellStyle name="Обычный 35 2" xfId="59546" xr:uid="{00000000-0005-0000-0000-000002E90000}"/>
    <cellStyle name="Обычный 35 2 2" xfId="59547" xr:uid="{00000000-0005-0000-0000-000003E90000}"/>
    <cellStyle name="Обычный 35 2 3" xfId="59548" xr:uid="{00000000-0005-0000-0000-000004E90000}"/>
    <cellStyle name="Обычный 35 3" xfId="59549" xr:uid="{00000000-0005-0000-0000-000005E90000}"/>
    <cellStyle name="Обычный 35 3 2" xfId="59550" xr:uid="{00000000-0005-0000-0000-000006E90000}"/>
    <cellStyle name="Обычный 35 3 3" xfId="59551" xr:uid="{00000000-0005-0000-0000-000007E90000}"/>
    <cellStyle name="Обычный 35 4" xfId="59552" xr:uid="{00000000-0005-0000-0000-000008E90000}"/>
    <cellStyle name="Обычный 35 5" xfId="59553" xr:uid="{00000000-0005-0000-0000-000009E90000}"/>
    <cellStyle name="Обычный 36" xfId="59554" xr:uid="{00000000-0005-0000-0000-00000AE90000}"/>
    <cellStyle name="Обычный 36 2" xfId="59555" xr:uid="{00000000-0005-0000-0000-00000BE90000}"/>
    <cellStyle name="Обычный 36 2 2" xfId="59556" xr:uid="{00000000-0005-0000-0000-00000CE90000}"/>
    <cellStyle name="Обычный 36 2 3" xfId="59557" xr:uid="{00000000-0005-0000-0000-00000DE90000}"/>
    <cellStyle name="Обычный 36 3" xfId="59558" xr:uid="{00000000-0005-0000-0000-00000EE90000}"/>
    <cellStyle name="Обычный 36 3 2" xfId="59559" xr:uid="{00000000-0005-0000-0000-00000FE90000}"/>
    <cellStyle name="Обычный 36 3 3" xfId="59560" xr:uid="{00000000-0005-0000-0000-000010E90000}"/>
    <cellStyle name="Обычный 36 4" xfId="59561" xr:uid="{00000000-0005-0000-0000-000011E90000}"/>
    <cellStyle name="Обычный 36 5" xfId="59562" xr:uid="{00000000-0005-0000-0000-000012E90000}"/>
    <cellStyle name="Обычный 37" xfId="59563" xr:uid="{00000000-0005-0000-0000-000013E90000}"/>
    <cellStyle name="Обычный 37 2" xfId="59564" xr:uid="{00000000-0005-0000-0000-000014E90000}"/>
    <cellStyle name="Обычный 37 2 2" xfId="59565" xr:uid="{00000000-0005-0000-0000-000015E90000}"/>
    <cellStyle name="Обычный 37 2 3" xfId="59566" xr:uid="{00000000-0005-0000-0000-000016E90000}"/>
    <cellStyle name="Обычный 37 3" xfId="59567" xr:uid="{00000000-0005-0000-0000-000017E90000}"/>
    <cellStyle name="Обычный 37 3 2" xfId="59568" xr:uid="{00000000-0005-0000-0000-000018E90000}"/>
    <cellStyle name="Обычный 37 3 3" xfId="59569" xr:uid="{00000000-0005-0000-0000-000019E90000}"/>
    <cellStyle name="Обычный 37 4" xfId="59570" xr:uid="{00000000-0005-0000-0000-00001AE90000}"/>
    <cellStyle name="Обычный 37 5" xfId="59571" xr:uid="{00000000-0005-0000-0000-00001BE90000}"/>
    <cellStyle name="Обычный 38" xfId="59572" xr:uid="{00000000-0005-0000-0000-00001CE90000}"/>
    <cellStyle name="Обычный 38 2" xfId="59573" xr:uid="{00000000-0005-0000-0000-00001DE90000}"/>
    <cellStyle name="Обычный 38 2 2" xfId="59574" xr:uid="{00000000-0005-0000-0000-00001EE90000}"/>
    <cellStyle name="Обычный 38 2 3" xfId="59575" xr:uid="{00000000-0005-0000-0000-00001FE90000}"/>
    <cellStyle name="Обычный 38 3" xfId="59576" xr:uid="{00000000-0005-0000-0000-000020E90000}"/>
    <cellStyle name="Обычный 38 3 2" xfId="59577" xr:uid="{00000000-0005-0000-0000-000021E90000}"/>
    <cellStyle name="Обычный 38 3 3" xfId="59578" xr:uid="{00000000-0005-0000-0000-000022E90000}"/>
    <cellStyle name="Обычный 38 4" xfId="59579" xr:uid="{00000000-0005-0000-0000-000023E90000}"/>
    <cellStyle name="Обычный 38 5" xfId="59580" xr:uid="{00000000-0005-0000-0000-000024E90000}"/>
    <cellStyle name="Обычный 39" xfId="59581" xr:uid="{00000000-0005-0000-0000-000025E90000}"/>
    <cellStyle name="Обычный 39 2" xfId="59582" xr:uid="{00000000-0005-0000-0000-000026E90000}"/>
    <cellStyle name="Обычный 39 2 2" xfId="59583" xr:uid="{00000000-0005-0000-0000-000027E90000}"/>
    <cellStyle name="Обычный 39 2 3" xfId="59584" xr:uid="{00000000-0005-0000-0000-000028E90000}"/>
    <cellStyle name="Обычный 39 3" xfId="59585" xr:uid="{00000000-0005-0000-0000-000029E90000}"/>
    <cellStyle name="Обычный 39 3 2" xfId="59586" xr:uid="{00000000-0005-0000-0000-00002AE90000}"/>
    <cellStyle name="Обычный 39 3 3" xfId="59587" xr:uid="{00000000-0005-0000-0000-00002BE90000}"/>
    <cellStyle name="Обычный 39 4" xfId="59588" xr:uid="{00000000-0005-0000-0000-00002CE90000}"/>
    <cellStyle name="Обычный 39 5" xfId="59589" xr:uid="{00000000-0005-0000-0000-00002DE90000}"/>
    <cellStyle name="Обычный 4" xfId="59590" xr:uid="{00000000-0005-0000-0000-00002EE90000}"/>
    <cellStyle name="Обычный 4 10" xfId="59591" xr:uid="{00000000-0005-0000-0000-00002FE90000}"/>
    <cellStyle name="Обычный 4 10 2" xfId="59592" xr:uid="{00000000-0005-0000-0000-000030E90000}"/>
    <cellStyle name="Обычный 4 10 2 2" xfId="59593" xr:uid="{00000000-0005-0000-0000-000031E90000}"/>
    <cellStyle name="Обычный 4 10 2 2 2" xfId="59594" xr:uid="{00000000-0005-0000-0000-000032E90000}"/>
    <cellStyle name="Обычный 4 10 2 2 3" xfId="59595" xr:uid="{00000000-0005-0000-0000-000033E90000}"/>
    <cellStyle name="Обычный 4 10 2 2 3 2" xfId="59596" xr:uid="{00000000-0005-0000-0000-000034E90000}"/>
    <cellStyle name="Обычный 4 10 2 2 4" xfId="59597" xr:uid="{00000000-0005-0000-0000-000035E90000}"/>
    <cellStyle name="Обычный 4 10 2 3" xfId="59598" xr:uid="{00000000-0005-0000-0000-000036E90000}"/>
    <cellStyle name="Обычный 4 10 3" xfId="59599" xr:uid="{00000000-0005-0000-0000-000037E90000}"/>
    <cellStyle name="Обычный 4 10 3 2" xfId="59600" xr:uid="{00000000-0005-0000-0000-000038E90000}"/>
    <cellStyle name="Обычный 4 10 3 3" xfId="59601" xr:uid="{00000000-0005-0000-0000-000039E90000}"/>
    <cellStyle name="Обычный 4 10 4" xfId="59602" xr:uid="{00000000-0005-0000-0000-00003AE90000}"/>
    <cellStyle name="Обычный 4 10 5" xfId="59603" xr:uid="{00000000-0005-0000-0000-00003BE90000}"/>
    <cellStyle name="Обычный 4 11" xfId="59604" xr:uid="{00000000-0005-0000-0000-00003CE90000}"/>
    <cellStyle name="Обычный 4 11 2" xfId="59605" xr:uid="{00000000-0005-0000-0000-00003DE90000}"/>
    <cellStyle name="Обычный 4 11 2 2" xfId="59606" xr:uid="{00000000-0005-0000-0000-00003EE90000}"/>
    <cellStyle name="Обычный 4 11 2 3" xfId="59607" xr:uid="{00000000-0005-0000-0000-00003FE90000}"/>
    <cellStyle name="Обычный 4 11 3" xfId="59608" xr:uid="{00000000-0005-0000-0000-000040E90000}"/>
    <cellStyle name="Обычный 4 11 3 2" xfId="59609" xr:uid="{00000000-0005-0000-0000-000041E90000}"/>
    <cellStyle name="Обычный 4 11 3 3" xfId="59610" xr:uid="{00000000-0005-0000-0000-000042E90000}"/>
    <cellStyle name="Обычный 4 11 4" xfId="59611" xr:uid="{00000000-0005-0000-0000-000043E90000}"/>
    <cellStyle name="Обычный 4 11 5" xfId="59612" xr:uid="{00000000-0005-0000-0000-000044E90000}"/>
    <cellStyle name="Обычный 4 12" xfId="59613" xr:uid="{00000000-0005-0000-0000-000045E90000}"/>
    <cellStyle name="Обычный 4 12 2" xfId="59614" xr:uid="{00000000-0005-0000-0000-000046E90000}"/>
    <cellStyle name="Обычный 4 12 2 2" xfId="59615" xr:uid="{00000000-0005-0000-0000-000047E90000}"/>
    <cellStyle name="Обычный 4 12 2 3" xfId="59616" xr:uid="{00000000-0005-0000-0000-000048E90000}"/>
    <cellStyle name="Обычный 4 12 3" xfId="59617" xr:uid="{00000000-0005-0000-0000-000049E90000}"/>
    <cellStyle name="Обычный 4 12 3 2" xfId="59618" xr:uid="{00000000-0005-0000-0000-00004AE90000}"/>
    <cellStyle name="Обычный 4 12 3 3" xfId="59619" xr:uid="{00000000-0005-0000-0000-00004BE90000}"/>
    <cellStyle name="Обычный 4 12 4" xfId="59620" xr:uid="{00000000-0005-0000-0000-00004CE90000}"/>
    <cellStyle name="Обычный 4 12 5" xfId="59621" xr:uid="{00000000-0005-0000-0000-00004DE90000}"/>
    <cellStyle name="Обычный 4 13" xfId="59622" xr:uid="{00000000-0005-0000-0000-00004EE90000}"/>
    <cellStyle name="Обычный 4 13 2" xfId="59623" xr:uid="{00000000-0005-0000-0000-00004FE90000}"/>
    <cellStyle name="Обычный 4 13 2 2" xfId="59624" xr:uid="{00000000-0005-0000-0000-000050E90000}"/>
    <cellStyle name="Обычный 4 13 2 3" xfId="59625" xr:uid="{00000000-0005-0000-0000-000051E90000}"/>
    <cellStyle name="Обычный 4 13 3" xfId="59626" xr:uid="{00000000-0005-0000-0000-000052E90000}"/>
    <cellStyle name="Обычный 4 13 3 2" xfId="59627" xr:uid="{00000000-0005-0000-0000-000053E90000}"/>
    <cellStyle name="Обычный 4 13 3 3" xfId="59628" xr:uid="{00000000-0005-0000-0000-000054E90000}"/>
    <cellStyle name="Обычный 4 13 4" xfId="59629" xr:uid="{00000000-0005-0000-0000-000055E90000}"/>
    <cellStyle name="Обычный 4 13 5" xfId="59630" xr:uid="{00000000-0005-0000-0000-000056E90000}"/>
    <cellStyle name="Обычный 4 14" xfId="59631" xr:uid="{00000000-0005-0000-0000-000057E90000}"/>
    <cellStyle name="Обычный 4 14 2" xfId="59632" xr:uid="{00000000-0005-0000-0000-000058E90000}"/>
    <cellStyle name="Обычный 4 14 2 2" xfId="59633" xr:uid="{00000000-0005-0000-0000-000059E90000}"/>
    <cellStyle name="Обычный 4 14 2 3" xfId="59634" xr:uid="{00000000-0005-0000-0000-00005AE90000}"/>
    <cellStyle name="Обычный 4 14 3" xfId="59635" xr:uid="{00000000-0005-0000-0000-00005BE90000}"/>
    <cellStyle name="Обычный 4 14 3 2" xfId="59636" xr:uid="{00000000-0005-0000-0000-00005CE90000}"/>
    <cellStyle name="Обычный 4 14 3 3" xfId="59637" xr:uid="{00000000-0005-0000-0000-00005DE90000}"/>
    <cellStyle name="Обычный 4 14 4" xfId="59638" xr:uid="{00000000-0005-0000-0000-00005EE90000}"/>
    <cellStyle name="Обычный 4 14 5" xfId="59639" xr:uid="{00000000-0005-0000-0000-00005FE90000}"/>
    <cellStyle name="Обычный 4 15" xfId="59640" xr:uid="{00000000-0005-0000-0000-000060E90000}"/>
    <cellStyle name="Обычный 4 15 2" xfId="59641" xr:uid="{00000000-0005-0000-0000-000061E90000}"/>
    <cellStyle name="Обычный 4 15 2 2" xfId="59642" xr:uid="{00000000-0005-0000-0000-000062E90000}"/>
    <cellStyle name="Обычный 4 15 2 3" xfId="59643" xr:uid="{00000000-0005-0000-0000-000063E90000}"/>
    <cellStyle name="Обычный 4 15 3" xfId="59644" xr:uid="{00000000-0005-0000-0000-000064E90000}"/>
    <cellStyle name="Обычный 4 15 3 2" xfId="59645" xr:uid="{00000000-0005-0000-0000-000065E90000}"/>
    <cellStyle name="Обычный 4 15 3 3" xfId="59646" xr:uid="{00000000-0005-0000-0000-000066E90000}"/>
    <cellStyle name="Обычный 4 15 4" xfId="59647" xr:uid="{00000000-0005-0000-0000-000067E90000}"/>
    <cellStyle name="Обычный 4 15 5" xfId="59648" xr:uid="{00000000-0005-0000-0000-000068E90000}"/>
    <cellStyle name="Обычный 4 16" xfId="59649" xr:uid="{00000000-0005-0000-0000-000069E90000}"/>
    <cellStyle name="Обычный 4 16 2" xfId="59650" xr:uid="{00000000-0005-0000-0000-00006AE90000}"/>
    <cellStyle name="Обычный 4 16 2 2" xfId="59651" xr:uid="{00000000-0005-0000-0000-00006BE90000}"/>
    <cellStyle name="Обычный 4 16 2 3" xfId="59652" xr:uid="{00000000-0005-0000-0000-00006CE90000}"/>
    <cellStyle name="Обычный 4 16 3" xfId="59653" xr:uid="{00000000-0005-0000-0000-00006DE90000}"/>
    <cellStyle name="Обычный 4 16 3 2" xfId="59654" xr:uid="{00000000-0005-0000-0000-00006EE90000}"/>
    <cellStyle name="Обычный 4 16 3 3" xfId="59655" xr:uid="{00000000-0005-0000-0000-00006FE90000}"/>
    <cellStyle name="Обычный 4 16 4" xfId="59656" xr:uid="{00000000-0005-0000-0000-000070E90000}"/>
    <cellStyle name="Обычный 4 16 5" xfId="59657" xr:uid="{00000000-0005-0000-0000-000071E90000}"/>
    <cellStyle name="Обычный 4 17" xfId="59658" xr:uid="{00000000-0005-0000-0000-000072E90000}"/>
    <cellStyle name="Обычный 4 17 2" xfId="59659" xr:uid="{00000000-0005-0000-0000-000073E90000}"/>
    <cellStyle name="Обычный 4 17 2 2" xfId="59660" xr:uid="{00000000-0005-0000-0000-000074E90000}"/>
    <cellStyle name="Обычный 4 17 2 3" xfId="59661" xr:uid="{00000000-0005-0000-0000-000075E90000}"/>
    <cellStyle name="Обычный 4 17 3" xfId="59662" xr:uid="{00000000-0005-0000-0000-000076E90000}"/>
    <cellStyle name="Обычный 4 17 3 2" xfId="59663" xr:uid="{00000000-0005-0000-0000-000077E90000}"/>
    <cellStyle name="Обычный 4 17 3 3" xfId="59664" xr:uid="{00000000-0005-0000-0000-000078E90000}"/>
    <cellStyle name="Обычный 4 17 4" xfId="59665" xr:uid="{00000000-0005-0000-0000-000079E90000}"/>
    <cellStyle name="Обычный 4 17 5" xfId="59666" xr:uid="{00000000-0005-0000-0000-00007AE90000}"/>
    <cellStyle name="Обычный 4 18" xfId="59667" xr:uid="{00000000-0005-0000-0000-00007BE90000}"/>
    <cellStyle name="Обычный 4 18 2" xfId="59668" xr:uid="{00000000-0005-0000-0000-00007CE90000}"/>
    <cellStyle name="Обычный 4 18 2 2" xfId="59669" xr:uid="{00000000-0005-0000-0000-00007DE90000}"/>
    <cellStyle name="Обычный 4 18 2 3" xfId="59670" xr:uid="{00000000-0005-0000-0000-00007EE90000}"/>
    <cellStyle name="Обычный 4 18 3" xfId="59671" xr:uid="{00000000-0005-0000-0000-00007FE90000}"/>
    <cellStyle name="Обычный 4 18 3 2" xfId="59672" xr:uid="{00000000-0005-0000-0000-000080E90000}"/>
    <cellStyle name="Обычный 4 18 3 3" xfId="59673" xr:uid="{00000000-0005-0000-0000-000081E90000}"/>
    <cellStyle name="Обычный 4 18 4" xfId="59674" xr:uid="{00000000-0005-0000-0000-000082E90000}"/>
    <cellStyle name="Обычный 4 18 5" xfId="59675" xr:uid="{00000000-0005-0000-0000-000083E90000}"/>
    <cellStyle name="Обычный 4 19" xfId="59676" xr:uid="{00000000-0005-0000-0000-000084E90000}"/>
    <cellStyle name="Обычный 4 19 2" xfId="59677" xr:uid="{00000000-0005-0000-0000-000085E90000}"/>
    <cellStyle name="Обычный 4 19 3" xfId="59678" xr:uid="{00000000-0005-0000-0000-000086E90000}"/>
    <cellStyle name="Обычный 4 2" xfId="59679" xr:uid="{00000000-0005-0000-0000-000087E90000}"/>
    <cellStyle name="Обычный 4 2 2" xfId="59680" xr:uid="{00000000-0005-0000-0000-000088E90000}"/>
    <cellStyle name="Обычный 4 20" xfId="59681" xr:uid="{00000000-0005-0000-0000-000089E90000}"/>
    <cellStyle name="Обычный 4 20 2" xfId="59682" xr:uid="{00000000-0005-0000-0000-00008AE90000}"/>
    <cellStyle name="Обычный 4 20 3" xfId="59683" xr:uid="{00000000-0005-0000-0000-00008BE90000}"/>
    <cellStyle name="Обычный 4 21" xfId="59684" xr:uid="{00000000-0005-0000-0000-00008CE90000}"/>
    <cellStyle name="Обычный 4 21 2" xfId="59685" xr:uid="{00000000-0005-0000-0000-00008DE90000}"/>
    <cellStyle name="Обычный 4 22" xfId="59686" xr:uid="{00000000-0005-0000-0000-00008EE90000}"/>
    <cellStyle name="Обычный 4 23" xfId="59687" xr:uid="{00000000-0005-0000-0000-00008FE90000}"/>
    <cellStyle name="Обычный 4 24" xfId="59688" xr:uid="{00000000-0005-0000-0000-000090E90000}"/>
    <cellStyle name="Обычный 4 25" xfId="59689" xr:uid="{00000000-0005-0000-0000-000091E90000}"/>
    <cellStyle name="Обычный 4 26" xfId="59690" xr:uid="{00000000-0005-0000-0000-000092E90000}"/>
    <cellStyle name="Обычный 4 27" xfId="59691" xr:uid="{00000000-0005-0000-0000-000093E90000}"/>
    <cellStyle name="Обычный 4 28" xfId="59692" xr:uid="{00000000-0005-0000-0000-000094E90000}"/>
    <cellStyle name="Обычный 4 29" xfId="59693" xr:uid="{00000000-0005-0000-0000-000095E90000}"/>
    <cellStyle name="Обычный 4 3" xfId="59694" xr:uid="{00000000-0005-0000-0000-000096E90000}"/>
    <cellStyle name="Обычный 4 3 2" xfId="59695" xr:uid="{00000000-0005-0000-0000-000097E90000}"/>
    <cellStyle name="Обычный 4 3 2 2" xfId="59696" xr:uid="{00000000-0005-0000-0000-000098E90000}"/>
    <cellStyle name="Обычный 4 3 2 2 2" xfId="59697" xr:uid="{00000000-0005-0000-0000-000099E90000}"/>
    <cellStyle name="Обычный 4 3 2 2 2 2" xfId="59698" xr:uid="{00000000-0005-0000-0000-00009AE90000}"/>
    <cellStyle name="Обычный 4 3 2 2 2 3" xfId="59699" xr:uid="{00000000-0005-0000-0000-00009BE90000}"/>
    <cellStyle name="Обычный 4 3 2 2 3" xfId="59700" xr:uid="{00000000-0005-0000-0000-00009CE90000}"/>
    <cellStyle name="Обычный 4 3 2 2 3 2" xfId="59701" xr:uid="{00000000-0005-0000-0000-00009DE90000}"/>
    <cellStyle name="Обычный 4 3 2 2 3 3" xfId="59702" xr:uid="{00000000-0005-0000-0000-00009EE90000}"/>
    <cellStyle name="Обычный 4 3 2 2 4" xfId="59703" xr:uid="{00000000-0005-0000-0000-00009FE90000}"/>
    <cellStyle name="Обычный 4 3 2 2 5" xfId="59704" xr:uid="{00000000-0005-0000-0000-0000A0E90000}"/>
    <cellStyle name="Обычный 4 3 2 3" xfId="59705" xr:uid="{00000000-0005-0000-0000-0000A1E90000}"/>
    <cellStyle name="Обычный 4 3 2 3 2" xfId="59706" xr:uid="{00000000-0005-0000-0000-0000A2E90000}"/>
    <cellStyle name="Обычный 4 3 2 3 3" xfId="59707" xr:uid="{00000000-0005-0000-0000-0000A3E90000}"/>
    <cellStyle name="Обычный 4 3 2 4" xfId="59708" xr:uid="{00000000-0005-0000-0000-0000A4E90000}"/>
    <cellStyle name="Обычный 4 3 2 4 2" xfId="59709" xr:uid="{00000000-0005-0000-0000-0000A5E90000}"/>
    <cellStyle name="Обычный 4 3 2 4 3" xfId="59710" xr:uid="{00000000-0005-0000-0000-0000A6E90000}"/>
    <cellStyle name="Обычный 4 3 2 5" xfId="59711" xr:uid="{00000000-0005-0000-0000-0000A7E90000}"/>
    <cellStyle name="Обычный 4 3 2 6" xfId="59712" xr:uid="{00000000-0005-0000-0000-0000A8E90000}"/>
    <cellStyle name="Обычный 4 3 2_объемы 2018г111" xfId="59713" xr:uid="{00000000-0005-0000-0000-0000A9E90000}"/>
    <cellStyle name="Обычный 4 3 3" xfId="59714" xr:uid="{00000000-0005-0000-0000-0000AAE90000}"/>
    <cellStyle name="Обычный 4 3 3 2" xfId="59715" xr:uid="{00000000-0005-0000-0000-0000ABE90000}"/>
    <cellStyle name="Обычный 4 3 3 2 2" xfId="59716" xr:uid="{00000000-0005-0000-0000-0000ACE90000}"/>
    <cellStyle name="Обычный 4 3 3 2 3" xfId="59717" xr:uid="{00000000-0005-0000-0000-0000ADE90000}"/>
    <cellStyle name="Обычный 4 3 3 3" xfId="59718" xr:uid="{00000000-0005-0000-0000-0000AEE90000}"/>
    <cellStyle name="Обычный 4 3 3 3 2" xfId="59719" xr:uid="{00000000-0005-0000-0000-0000AFE90000}"/>
    <cellStyle name="Обычный 4 3 3 3 3" xfId="59720" xr:uid="{00000000-0005-0000-0000-0000B0E90000}"/>
    <cellStyle name="Обычный 4 3 3 4" xfId="59721" xr:uid="{00000000-0005-0000-0000-0000B1E90000}"/>
    <cellStyle name="Обычный 4 3 3 5" xfId="59722" xr:uid="{00000000-0005-0000-0000-0000B2E90000}"/>
    <cellStyle name="Обычный 4 3 4" xfId="59723" xr:uid="{00000000-0005-0000-0000-0000B3E90000}"/>
    <cellStyle name="Обычный 4 3 4 2" xfId="59724" xr:uid="{00000000-0005-0000-0000-0000B4E90000}"/>
    <cellStyle name="Обычный 4 3 4 3" xfId="59725" xr:uid="{00000000-0005-0000-0000-0000B5E90000}"/>
    <cellStyle name="Обычный 4 3 5" xfId="59726" xr:uid="{00000000-0005-0000-0000-0000B6E90000}"/>
    <cellStyle name="Обычный 4 3 5 2" xfId="59727" xr:uid="{00000000-0005-0000-0000-0000B7E90000}"/>
    <cellStyle name="Обычный 4 3 5 3" xfId="59728" xr:uid="{00000000-0005-0000-0000-0000B8E90000}"/>
    <cellStyle name="Обычный 4 3 6" xfId="59729" xr:uid="{00000000-0005-0000-0000-0000B9E90000}"/>
    <cellStyle name="Обычный 4 3 7" xfId="59730" xr:uid="{00000000-0005-0000-0000-0000BAE90000}"/>
    <cellStyle name="Обычный 4 3_объемы 2018г111" xfId="59731" xr:uid="{00000000-0005-0000-0000-0000BBE90000}"/>
    <cellStyle name="Обычный 4 30" xfId="59732" xr:uid="{00000000-0005-0000-0000-0000BCE90000}"/>
    <cellStyle name="Обычный 4 31" xfId="59733" xr:uid="{00000000-0005-0000-0000-0000BDE90000}"/>
    <cellStyle name="Обычный 4 32" xfId="59734" xr:uid="{00000000-0005-0000-0000-0000BEE90000}"/>
    <cellStyle name="Обычный 4 33" xfId="61321" xr:uid="{00000000-0005-0000-0000-0000BFE90000}"/>
    <cellStyle name="Обычный 4 4" xfId="59735" xr:uid="{00000000-0005-0000-0000-0000C0E90000}"/>
    <cellStyle name="Обычный 4 4 2" xfId="59736" xr:uid="{00000000-0005-0000-0000-0000C1E90000}"/>
    <cellStyle name="Обычный 4 4 2 2" xfId="59737" xr:uid="{00000000-0005-0000-0000-0000C2E90000}"/>
    <cellStyle name="Обычный 4 4 2 2 2" xfId="59738" xr:uid="{00000000-0005-0000-0000-0000C3E90000}"/>
    <cellStyle name="Обычный 4 4 2 2 2 2" xfId="59739" xr:uid="{00000000-0005-0000-0000-0000C4E90000}"/>
    <cellStyle name="Обычный 4 4 2 2 2 3" xfId="59740" xr:uid="{00000000-0005-0000-0000-0000C5E90000}"/>
    <cellStyle name="Обычный 4 4 2 2 3" xfId="59741" xr:uid="{00000000-0005-0000-0000-0000C6E90000}"/>
    <cellStyle name="Обычный 4 4 2 2 3 2" xfId="59742" xr:uid="{00000000-0005-0000-0000-0000C7E90000}"/>
    <cellStyle name="Обычный 4 4 2 2 3 3" xfId="59743" xr:uid="{00000000-0005-0000-0000-0000C8E90000}"/>
    <cellStyle name="Обычный 4 4 2 2 4" xfId="59744" xr:uid="{00000000-0005-0000-0000-0000C9E90000}"/>
    <cellStyle name="Обычный 4 4 2 2 5" xfId="59745" xr:uid="{00000000-0005-0000-0000-0000CAE90000}"/>
    <cellStyle name="Обычный 4 4 2 3" xfId="59746" xr:uid="{00000000-0005-0000-0000-0000CBE90000}"/>
    <cellStyle name="Обычный 4 4 2 3 2" xfId="59747" xr:uid="{00000000-0005-0000-0000-0000CCE90000}"/>
    <cellStyle name="Обычный 4 4 2 3 3" xfId="59748" xr:uid="{00000000-0005-0000-0000-0000CDE90000}"/>
    <cellStyle name="Обычный 4 4 2 4" xfId="59749" xr:uid="{00000000-0005-0000-0000-0000CEE90000}"/>
    <cellStyle name="Обычный 4 4 2 4 2" xfId="59750" xr:uid="{00000000-0005-0000-0000-0000CFE90000}"/>
    <cellStyle name="Обычный 4 4 2 4 3" xfId="59751" xr:uid="{00000000-0005-0000-0000-0000D0E90000}"/>
    <cellStyle name="Обычный 4 4 2 5" xfId="59752" xr:uid="{00000000-0005-0000-0000-0000D1E90000}"/>
    <cellStyle name="Обычный 4 4 2 6" xfId="59753" xr:uid="{00000000-0005-0000-0000-0000D2E90000}"/>
    <cellStyle name="Обычный 4 4 2_объемы 2018г111" xfId="59754" xr:uid="{00000000-0005-0000-0000-0000D3E90000}"/>
    <cellStyle name="Обычный 4 4 3" xfId="59755" xr:uid="{00000000-0005-0000-0000-0000D4E90000}"/>
    <cellStyle name="Обычный 4 4 3 2" xfId="59756" xr:uid="{00000000-0005-0000-0000-0000D5E90000}"/>
    <cellStyle name="Обычный 4 4 3 2 2" xfId="59757" xr:uid="{00000000-0005-0000-0000-0000D6E90000}"/>
    <cellStyle name="Обычный 4 4 3 2 3" xfId="59758" xr:uid="{00000000-0005-0000-0000-0000D7E90000}"/>
    <cellStyle name="Обычный 4 4 3 3" xfId="59759" xr:uid="{00000000-0005-0000-0000-0000D8E90000}"/>
    <cellStyle name="Обычный 4 4 3 3 2" xfId="59760" xr:uid="{00000000-0005-0000-0000-0000D9E90000}"/>
    <cellStyle name="Обычный 4 4 3 3 3" xfId="59761" xr:uid="{00000000-0005-0000-0000-0000DAE90000}"/>
    <cellStyle name="Обычный 4 4 3 4" xfId="59762" xr:uid="{00000000-0005-0000-0000-0000DBE90000}"/>
    <cellStyle name="Обычный 4 4 3 5" xfId="59763" xr:uid="{00000000-0005-0000-0000-0000DCE90000}"/>
    <cellStyle name="Обычный 4 4 4" xfId="59764" xr:uid="{00000000-0005-0000-0000-0000DDE90000}"/>
    <cellStyle name="Обычный 4 4 4 2" xfId="59765" xr:uid="{00000000-0005-0000-0000-0000DEE90000}"/>
    <cellStyle name="Обычный 4 4 4 3" xfId="59766" xr:uid="{00000000-0005-0000-0000-0000DFE90000}"/>
    <cellStyle name="Обычный 4 4 5" xfId="59767" xr:uid="{00000000-0005-0000-0000-0000E0E90000}"/>
    <cellStyle name="Обычный 4 4 5 2" xfId="59768" xr:uid="{00000000-0005-0000-0000-0000E1E90000}"/>
    <cellStyle name="Обычный 4 4 5 3" xfId="59769" xr:uid="{00000000-0005-0000-0000-0000E2E90000}"/>
    <cellStyle name="Обычный 4 4 6" xfId="59770" xr:uid="{00000000-0005-0000-0000-0000E3E90000}"/>
    <cellStyle name="Обычный 4 4 7" xfId="59771" xr:uid="{00000000-0005-0000-0000-0000E4E90000}"/>
    <cellStyle name="Обычный 4 4_объемы 2018г111" xfId="59772" xr:uid="{00000000-0005-0000-0000-0000E5E90000}"/>
    <cellStyle name="Обычный 4 5" xfId="59773" xr:uid="{00000000-0005-0000-0000-0000E6E90000}"/>
    <cellStyle name="Обычный 4 5 2" xfId="59774" xr:uid="{00000000-0005-0000-0000-0000E7E90000}"/>
    <cellStyle name="Обычный 4 5 2 2" xfId="59775" xr:uid="{00000000-0005-0000-0000-0000E8E90000}"/>
    <cellStyle name="Обычный 4 5 2 2 2" xfId="59776" xr:uid="{00000000-0005-0000-0000-0000E9E90000}"/>
    <cellStyle name="Обычный 4 5 2 2 3" xfId="59777" xr:uid="{00000000-0005-0000-0000-0000EAE90000}"/>
    <cellStyle name="Обычный 4 5 2 3" xfId="59778" xr:uid="{00000000-0005-0000-0000-0000EBE90000}"/>
    <cellStyle name="Обычный 4 5 2 3 2" xfId="59779" xr:uid="{00000000-0005-0000-0000-0000ECE90000}"/>
    <cellStyle name="Обычный 4 5 2 3 3" xfId="59780" xr:uid="{00000000-0005-0000-0000-0000EDE90000}"/>
    <cellStyle name="Обычный 4 5 2 4" xfId="59781" xr:uid="{00000000-0005-0000-0000-0000EEE90000}"/>
    <cellStyle name="Обычный 4 5 2 5" xfId="59782" xr:uid="{00000000-0005-0000-0000-0000EFE90000}"/>
    <cellStyle name="Обычный 4 5 3" xfId="59783" xr:uid="{00000000-0005-0000-0000-0000F0E90000}"/>
    <cellStyle name="Обычный 4 5 3 2" xfId="59784" xr:uid="{00000000-0005-0000-0000-0000F1E90000}"/>
    <cellStyle name="Обычный 4 5 3 3" xfId="59785" xr:uid="{00000000-0005-0000-0000-0000F2E90000}"/>
    <cellStyle name="Обычный 4 5 4" xfId="59786" xr:uid="{00000000-0005-0000-0000-0000F3E90000}"/>
    <cellStyle name="Обычный 4 5 4 2" xfId="59787" xr:uid="{00000000-0005-0000-0000-0000F4E90000}"/>
    <cellStyle name="Обычный 4 5 4 3" xfId="59788" xr:uid="{00000000-0005-0000-0000-0000F5E90000}"/>
    <cellStyle name="Обычный 4 5 5" xfId="59789" xr:uid="{00000000-0005-0000-0000-0000F6E90000}"/>
    <cellStyle name="Обычный 4 5 6" xfId="59790" xr:uid="{00000000-0005-0000-0000-0000F7E90000}"/>
    <cellStyle name="Обычный 4 5_объемы 2018г111" xfId="59791" xr:uid="{00000000-0005-0000-0000-0000F8E90000}"/>
    <cellStyle name="Обычный 4 6" xfId="59792" xr:uid="{00000000-0005-0000-0000-0000F9E90000}"/>
    <cellStyle name="Обычный 4 6 2" xfId="59793" xr:uid="{00000000-0005-0000-0000-0000FAE90000}"/>
    <cellStyle name="Обычный 4 6 2 2" xfId="59794" xr:uid="{00000000-0005-0000-0000-0000FBE90000}"/>
    <cellStyle name="Обычный 4 6 2 3" xfId="59795" xr:uid="{00000000-0005-0000-0000-0000FCE90000}"/>
    <cellStyle name="Обычный 4 6 3" xfId="59796" xr:uid="{00000000-0005-0000-0000-0000FDE90000}"/>
    <cellStyle name="Обычный 4 6 3 2" xfId="59797" xr:uid="{00000000-0005-0000-0000-0000FEE90000}"/>
    <cellStyle name="Обычный 4 6 3 3" xfId="59798" xr:uid="{00000000-0005-0000-0000-0000FFE90000}"/>
    <cellStyle name="Обычный 4 6 4" xfId="59799" xr:uid="{00000000-0005-0000-0000-000000EA0000}"/>
    <cellStyle name="Обычный 4 6 5" xfId="59800" xr:uid="{00000000-0005-0000-0000-000001EA0000}"/>
    <cellStyle name="Обычный 4 7" xfId="59801" xr:uid="{00000000-0005-0000-0000-000002EA0000}"/>
    <cellStyle name="Обычный 4 7 2" xfId="59802" xr:uid="{00000000-0005-0000-0000-000003EA0000}"/>
    <cellStyle name="Обычный 4 7 2 2" xfId="59803" xr:uid="{00000000-0005-0000-0000-000004EA0000}"/>
    <cellStyle name="Обычный 4 7 2 3" xfId="59804" xr:uid="{00000000-0005-0000-0000-000005EA0000}"/>
    <cellStyle name="Обычный 4 7 3" xfId="59805" xr:uid="{00000000-0005-0000-0000-000006EA0000}"/>
    <cellStyle name="Обычный 4 7 3 2" xfId="59806" xr:uid="{00000000-0005-0000-0000-000007EA0000}"/>
    <cellStyle name="Обычный 4 7 3 3" xfId="59807" xr:uid="{00000000-0005-0000-0000-000008EA0000}"/>
    <cellStyle name="Обычный 4 7 4" xfId="59808" xr:uid="{00000000-0005-0000-0000-000009EA0000}"/>
    <cellStyle name="Обычный 4 7 5" xfId="59809" xr:uid="{00000000-0005-0000-0000-00000AEA0000}"/>
    <cellStyle name="Обычный 4 8" xfId="59810" xr:uid="{00000000-0005-0000-0000-00000BEA0000}"/>
    <cellStyle name="Обычный 4 8 2" xfId="59811" xr:uid="{00000000-0005-0000-0000-00000CEA0000}"/>
    <cellStyle name="Обычный 4 8 2 2" xfId="59812" xr:uid="{00000000-0005-0000-0000-00000DEA0000}"/>
    <cellStyle name="Обычный 4 8 2 3" xfId="59813" xr:uid="{00000000-0005-0000-0000-00000EEA0000}"/>
    <cellStyle name="Обычный 4 8 3" xfId="59814" xr:uid="{00000000-0005-0000-0000-00000FEA0000}"/>
    <cellStyle name="Обычный 4 8 3 2" xfId="59815" xr:uid="{00000000-0005-0000-0000-000010EA0000}"/>
    <cellStyle name="Обычный 4 8 3 3" xfId="59816" xr:uid="{00000000-0005-0000-0000-000011EA0000}"/>
    <cellStyle name="Обычный 4 8 4" xfId="59817" xr:uid="{00000000-0005-0000-0000-000012EA0000}"/>
    <cellStyle name="Обычный 4 8 5" xfId="59818" xr:uid="{00000000-0005-0000-0000-000013EA0000}"/>
    <cellStyle name="Обычный 4 9" xfId="59819" xr:uid="{00000000-0005-0000-0000-000014EA0000}"/>
    <cellStyle name="Обычный 4 9 2" xfId="59820" xr:uid="{00000000-0005-0000-0000-000015EA0000}"/>
    <cellStyle name="Обычный 4 9 2 2" xfId="59821" xr:uid="{00000000-0005-0000-0000-000016EA0000}"/>
    <cellStyle name="Обычный 4 9 2 3" xfId="59822" xr:uid="{00000000-0005-0000-0000-000017EA0000}"/>
    <cellStyle name="Обычный 4 9 3" xfId="59823" xr:uid="{00000000-0005-0000-0000-000018EA0000}"/>
    <cellStyle name="Обычный 4 9 3 2" xfId="59824" xr:uid="{00000000-0005-0000-0000-000019EA0000}"/>
    <cellStyle name="Обычный 4 9 3 3" xfId="59825" xr:uid="{00000000-0005-0000-0000-00001AEA0000}"/>
    <cellStyle name="Обычный 4 9 4" xfId="59826" xr:uid="{00000000-0005-0000-0000-00001BEA0000}"/>
    <cellStyle name="Обычный 4 9 5" xfId="59827" xr:uid="{00000000-0005-0000-0000-00001CEA0000}"/>
    <cellStyle name="Обычный 4_объемы 2018г111" xfId="59828" xr:uid="{00000000-0005-0000-0000-00001DEA0000}"/>
    <cellStyle name="Обычный 40" xfId="59829" xr:uid="{00000000-0005-0000-0000-00001EEA0000}"/>
    <cellStyle name="Обычный 40 2" xfId="59830" xr:uid="{00000000-0005-0000-0000-00001FEA0000}"/>
    <cellStyle name="Обычный 40 2 2" xfId="59831" xr:uid="{00000000-0005-0000-0000-000020EA0000}"/>
    <cellStyle name="Обычный 40 2 3" xfId="59832" xr:uid="{00000000-0005-0000-0000-000021EA0000}"/>
    <cellStyle name="Обычный 40 3" xfId="59833" xr:uid="{00000000-0005-0000-0000-000022EA0000}"/>
    <cellStyle name="Обычный 40 3 2" xfId="59834" xr:uid="{00000000-0005-0000-0000-000023EA0000}"/>
    <cellStyle name="Обычный 40 3 3" xfId="59835" xr:uid="{00000000-0005-0000-0000-000024EA0000}"/>
    <cellStyle name="Обычный 40 4" xfId="59836" xr:uid="{00000000-0005-0000-0000-000025EA0000}"/>
    <cellStyle name="Обычный 40 5" xfId="59837" xr:uid="{00000000-0005-0000-0000-000026EA0000}"/>
    <cellStyle name="Обычный 41" xfId="59838" xr:uid="{00000000-0005-0000-0000-000027EA0000}"/>
    <cellStyle name="Обычный 41 2" xfId="59839" xr:uid="{00000000-0005-0000-0000-000028EA0000}"/>
    <cellStyle name="Обычный 41 2 2" xfId="59840" xr:uid="{00000000-0005-0000-0000-000029EA0000}"/>
    <cellStyle name="Обычный 41 2 3" xfId="59841" xr:uid="{00000000-0005-0000-0000-00002AEA0000}"/>
    <cellStyle name="Обычный 41 3" xfId="59842" xr:uid="{00000000-0005-0000-0000-00002BEA0000}"/>
    <cellStyle name="Обычный 41 3 2" xfId="59843" xr:uid="{00000000-0005-0000-0000-00002CEA0000}"/>
    <cellStyle name="Обычный 41 3 3" xfId="59844" xr:uid="{00000000-0005-0000-0000-00002DEA0000}"/>
    <cellStyle name="Обычный 41 4" xfId="59845" xr:uid="{00000000-0005-0000-0000-00002EEA0000}"/>
    <cellStyle name="Обычный 41 5" xfId="59846" xr:uid="{00000000-0005-0000-0000-00002FEA0000}"/>
    <cellStyle name="Обычный 42" xfId="59847" xr:uid="{00000000-0005-0000-0000-000030EA0000}"/>
    <cellStyle name="Обычный 42 2" xfId="59848" xr:uid="{00000000-0005-0000-0000-000031EA0000}"/>
    <cellStyle name="Обычный 42 2 2" xfId="59849" xr:uid="{00000000-0005-0000-0000-000032EA0000}"/>
    <cellStyle name="Обычный 42 2 3" xfId="59850" xr:uid="{00000000-0005-0000-0000-000033EA0000}"/>
    <cellStyle name="Обычный 42 3" xfId="59851" xr:uid="{00000000-0005-0000-0000-000034EA0000}"/>
    <cellStyle name="Обычный 42 3 2" xfId="59852" xr:uid="{00000000-0005-0000-0000-000035EA0000}"/>
    <cellStyle name="Обычный 42 3 3" xfId="59853" xr:uid="{00000000-0005-0000-0000-000036EA0000}"/>
    <cellStyle name="Обычный 42 4" xfId="59854" xr:uid="{00000000-0005-0000-0000-000037EA0000}"/>
    <cellStyle name="Обычный 42 5" xfId="59855" xr:uid="{00000000-0005-0000-0000-000038EA0000}"/>
    <cellStyle name="Обычный 43" xfId="59856" xr:uid="{00000000-0005-0000-0000-000039EA0000}"/>
    <cellStyle name="Обычный 43 2" xfId="59857" xr:uid="{00000000-0005-0000-0000-00003AEA0000}"/>
    <cellStyle name="Обычный 43 2 2" xfId="59858" xr:uid="{00000000-0005-0000-0000-00003BEA0000}"/>
    <cellStyle name="Обычный 43 2 3" xfId="59859" xr:uid="{00000000-0005-0000-0000-00003CEA0000}"/>
    <cellStyle name="Обычный 43 3" xfId="59860" xr:uid="{00000000-0005-0000-0000-00003DEA0000}"/>
    <cellStyle name="Обычный 43 3 2" xfId="59861" xr:uid="{00000000-0005-0000-0000-00003EEA0000}"/>
    <cellStyle name="Обычный 43 3 3" xfId="59862" xr:uid="{00000000-0005-0000-0000-00003FEA0000}"/>
    <cellStyle name="Обычный 43 4" xfId="59863" xr:uid="{00000000-0005-0000-0000-000040EA0000}"/>
    <cellStyle name="Обычный 43 5" xfId="59864" xr:uid="{00000000-0005-0000-0000-000041EA0000}"/>
    <cellStyle name="Обычный 44" xfId="59865" xr:uid="{00000000-0005-0000-0000-000042EA0000}"/>
    <cellStyle name="Обычный 44 2" xfId="59866" xr:uid="{00000000-0005-0000-0000-000043EA0000}"/>
    <cellStyle name="Обычный 44 2 2" xfId="59867" xr:uid="{00000000-0005-0000-0000-000044EA0000}"/>
    <cellStyle name="Обычный 44 2 3" xfId="59868" xr:uid="{00000000-0005-0000-0000-000045EA0000}"/>
    <cellStyle name="Обычный 44 3" xfId="59869" xr:uid="{00000000-0005-0000-0000-000046EA0000}"/>
    <cellStyle name="Обычный 44 3 2" xfId="59870" xr:uid="{00000000-0005-0000-0000-000047EA0000}"/>
    <cellStyle name="Обычный 44 3 3" xfId="59871" xr:uid="{00000000-0005-0000-0000-000048EA0000}"/>
    <cellStyle name="Обычный 44 4" xfId="59872" xr:uid="{00000000-0005-0000-0000-000049EA0000}"/>
    <cellStyle name="Обычный 44 5" xfId="59873" xr:uid="{00000000-0005-0000-0000-00004AEA0000}"/>
    <cellStyle name="Обычный 45" xfId="59874" xr:uid="{00000000-0005-0000-0000-00004BEA0000}"/>
    <cellStyle name="Обычный 45 2" xfId="59875" xr:uid="{00000000-0005-0000-0000-00004CEA0000}"/>
    <cellStyle name="Обычный 45 2 2" xfId="59876" xr:uid="{00000000-0005-0000-0000-00004DEA0000}"/>
    <cellStyle name="Обычный 45 2 3" xfId="59877" xr:uid="{00000000-0005-0000-0000-00004EEA0000}"/>
    <cellStyle name="Обычный 45 3" xfId="59878" xr:uid="{00000000-0005-0000-0000-00004FEA0000}"/>
    <cellStyle name="Обычный 45 3 2" xfId="59879" xr:uid="{00000000-0005-0000-0000-000050EA0000}"/>
    <cellStyle name="Обычный 45 3 3" xfId="59880" xr:uid="{00000000-0005-0000-0000-000051EA0000}"/>
    <cellStyle name="Обычный 45 4" xfId="59881" xr:uid="{00000000-0005-0000-0000-000052EA0000}"/>
    <cellStyle name="Обычный 45 5" xfId="59882" xr:uid="{00000000-0005-0000-0000-000053EA0000}"/>
    <cellStyle name="Обычный 46" xfId="59883" xr:uid="{00000000-0005-0000-0000-000054EA0000}"/>
    <cellStyle name="Обычный 46 2" xfId="59884" xr:uid="{00000000-0005-0000-0000-000055EA0000}"/>
    <cellStyle name="Обычный 46 2 2" xfId="59885" xr:uid="{00000000-0005-0000-0000-000056EA0000}"/>
    <cellStyle name="Обычный 46 2 3" xfId="59886" xr:uid="{00000000-0005-0000-0000-000057EA0000}"/>
    <cellStyle name="Обычный 46 3" xfId="59887" xr:uid="{00000000-0005-0000-0000-000058EA0000}"/>
    <cellStyle name="Обычный 46 3 2" xfId="59888" xr:uid="{00000000-0005-0000-0000-000059EA0000}"/>
    <cellStyle name="Обычный 46 3 3" xfId="59889" xr:uid="{00000000-0005-0000-0000-00005AEA0000}"/>
    <cellStyle name="Обычный 46 4" xfId="59890" xr:uid="{00000000-0005-0000-0000-00005BEA0000}"/>
    <cellStyle name="Обычный 46 5" xfId="59891" xr:uid="{00000000-0005-0000-0000-00005CEA0000}"/>
    <cellStyle name="Обычный 47" xfId="59892" xr:uid="{00000000-0005-0000-0000-00005DEA0000}"/>
    <cellStyle name="Обычный 47 2" xfId="59893" xr:uid="{00000000-0005-0000-0000-00005EEA0000}"/>
    <cellStyle name="Обычный 47 2 2" xfId="59894" xr:uid="{00000000-0005-0000-0000-00005FEA0000}"/>
    <cellStyle name="Обычный 47 2 3" xfId="59895" xr:uid="{00000000-0005-0000-0000-000060EA0000}"/>
    <cellStyle name="Обычный 47 3" xfId="59896" xr:uid="{00000000-0005-0000-0000-000061EA0000}"/>
    <cellStyle name="Обычный 47 3 2" xfId="59897" xr:uid="{00000000-0005-0000-0000-000062EA0000}"/>
    <cellStyle name="Обычный 47 3 3" xfId="59898" xr:uid="{00000000-0005-0000-0000-000063EA0000}"/>
    <cellStyle name="Обычный 47 4" xfId="59899" xr:uid="{00000000-0005-0000-0000-000064EA0000}"/>
    <cellStyle name="Обычный 47 5" xfId="59900" xr:uid="{00000000-0005-0000-0000-000065EA0000}"/>
    <cellStyle name="Обычный 48" xfId="59901" xr:uid="{00000000-0005-0000-0000-000066EA0000}"/>
    <cellStyle name="Обычный 48 2" xfId="59902" xr:uid="{00000000-0005-0000-0000-000067EA0000}"/>
    <cellStyle name="Обычный 48 2 2" xfId="59903" xr:uid="{00000000-0005-0000-0000-000068EA0000}"/>
    <cellStyle name="Обычный 48 2 3" xfId="59904" xr:uid="{00000000-0005-0000-0000-000069EA0000}"/>
    <cellStyle name="Обычный 48 3" xfId="59905" xr:uid="{00000000-0005-0000-0000-00006AEA0000}"/>
    <cellStyle name="Обычный 48 3 2" xfId="59906" xr:uid="{00000000-0005-0000-0000-00006BEA0000}"/>
    <cellStyle name="Обычный 48 3 3" xfId="59907" xr:uid="{00000000-0005-0000-0000-00006CEA0000}"/>
    <cellStyle name="Обычный 48 4" xfId="59908" xr:uid="{00000000-0005-0000-0000-00006DEA0000}"/>
    <cellStyle name="Обычный 48 5" xfId="59909" xr:uid="{00000000-0005-0000-0000-00006EEA0000}"/>
    <cellStyle name="Обычный 49" xfId="59910" xr:uid="{00000000-0005-0000-0000-00006FEA0000}"/>
    <cellStyle name="Обычный 49 2" xfId="59911" xr:uid="{00000000-0005-0000-0000-000070EA0000}"/>
    <cellStyle name="Обычный 49 2 2" xfId="59912" xr:uid="{00000000-0005-0000-0000-000071EA0000}"/>
    <cellStyle name="Обычный 49 2 3" xfId="59913" xr:uid="{00000000-0005-0000-0000-000072EA0000}"/>
    <cellStyle name="Обычный 49 3" xfId="59914" xr:uid="{00000000-0005-0000-0000-000073EA0000}"/>
    <cellStyle name="Обычный 49 3 2" xfId="59915" xr:uid="{00000000-0005-0000-0000-000074EA0000}"/>
    <cellStyle name="Обычный 49 3 3" xfId="59916" xr:uid="{00000000-0005-0000-0000-000075EA0000}"/>
    <cellStyle name="Обычный 49 4" xfId="59917" xr:uid="{00000000-0005-0000-0000-000076EA0000}"/>
    <cellStyle name="Обычный 49 5" xfId="59918" xr:uid="{00000000-0005-0000-0000-000077EA0000}"/>
    <cellStyle name="Обычный 5" xfId="59919" xr:uid="{00000000-0005-0000-0000-000078EA0000}"/>
    <cellStyle name="Обычный 5 2" xfId="59920" xr:uid="{00000000-0005-0000-0000-000079EA0000}"/>
    <cellStyle name="Обычный 5 3" xfId="59921" xr:uid="{00000000-0005-0000-0000-00007AEA0000}"/>
    <cellStyle name="Обычный 50" xfId="59922" xr:uid="{00000000-0005-0000-0000-00007BEA0000}"/>
    <cellStyle name="Обычный 50 2" xfId="59923" xr:uid="{00000000-0005-0000-0000-00007CEA0000}"/>
    <cellStyle name="Обычный 50 2 2" xfId="59924" xr:uid="{00000000-0005-0000-0000-00007DEA0000}"/>
    <cellStyle name="Обычный 50 2 3" xfId="59925" xr:uid="{00000000-0005-0000-0000-00007EEA0000}"/>
    <cellStyle name="Обычный 50 3" xfId="59926" xr:uid="{00000000-0005-0000-0000-00007FEA0000}"/>
    <cellStyle name="Обычный 50 3 2" xfId="59927" xr:uid="{00000000-0005-0000-0000-000080EA0000}"/>
    <cellStyle name="Обычный 50 3 3" xfId="59928" xr:uid="{00000000-0005-0000-0000-000081EA0000}"/>
    <cellStyle name="Обычный 50 4" xfId="59929" xr:uid="{00000000-0005-0000-0000-000082EA0000}"/>
    <cellStyle name="Обычный 50 5" xfId="59930" xr:uid="{00000000-0005-0000-0000-000083EA0000}"/>
    <cellStyle name="Обычный 51" xfId="59931" xr:uid="{00000000-0005-0000-0000-000084EA0000}"/>
    <cellStyle name="Обычный 51 2" xfId="59932" xr:uid="{00000000-0005-0000-0000-000085EA0000}"/>
    <cellStyle name="Обычный 51 2 2" xfId="59933" xr:uid="{00000000-0005-0000-0000-000086EA0000}"/>
    <cellStyle name="Обычный 51 2 3" xfId="59934" xr:uid="{00000000-0005-0000-0000-000087EA0000}"/>
    <cellStyle name="Обычный 51 3" xfId="59935" xr:uid="{00000000-0005-0000-0000-000088EA0000}"/>
    <cellStyle name="Обычный 51 3 2" xfId="59936" xr:uid="{00000000-0005-0000-0000-000089EA0000}"/>
    <cellStyle name="Обычный 51 3 3" xfId="59937" xr:uid="{00000000-0005-0000-0000-00008AEA0000}"/>
    <cellStyle name="Обычный 51 4" xfId="59938" xr:uid="{00000000-0005-0000-0000-00008BEA0000}"/>
    <cellStyle name="Обычный 51 5" xfId="59939" xr:uid="{00000000-0005-0000-0000-00008CEA0000}"/>
    <cellStyle name="Обычный 52" xfId="59940" xr:uid="{00000000-0005-0000-0000-00008DEA0000}"/>
    <cellStyle name="Обычный 52 2" xfId="59941" xr:uid="{00000000-0005-0000-0000-00008EEA0000}"/>
    <cellStyle name="Обычный 52 2 2" xfId="59942" xr:uid="{00000000-0005-0000-0000-00008FEA0000}"/>
    <cellStyle name="Обычный 52 2 3" xfId="59943" xr:uid="{00000000-0005-0000-0000-000090EA0000}"/>
    <cellStyle name="Обычный 52 3" xfId="59944" xr:uid="{00000000-0005-0000-0000-000091EA0000}"/>
    <cellStyle name="Обычный 52 3 2" xfId="59945" xr:uid="{00000000-0005-0000-0000-000092EA0000}"/>
    <cellStyle name="Обычный 52 3 3" xfId="59946" xr:uid="{00000000-0005-0000-0000-000093EA0000}"/>
    <cellStyle name="Обычный 52 4" xfId="59947" xr:uid="{00000000-0005-0000-0000-000094EA0000}"/>
    <cellStyle name="Обычный 52 5" xfId="59948" xr:uid="{00000000-0005-0000-0000-000095EA0000}"/>
    <cellStyle name="Обычный 53" xfId="59949" xr:uid="{00000000-0005-0000-0000-000096EA0000}"/>
    <cellStyle name="Обычный 53 2" xfId="59950" xr:uid="{00000000-0005-0000-0000-000097EA0000}"/>
    <cellStyle name="Обычный 53 2 2" xfId="59951" xr:uid="{00000000-0005-0000-0000-000098EA0000}"/>
    <cellStyle name="Обычный 53 2 3" xfId="59952" xr:uid="{00000000-0005-0000-0000-000099EA0000}"/>
    <cellStyle name="Обычный 53 3" xfId="59953" xr:uid="{00000000-0005-0000-0000-00009AEA0000}"/>
    <cellStyle name="Обычный 53 3 2" xfId="59954" xr:uid="{00000000-0005-0000-0000-00009BEA0000}"/>
    <cellStyle name="Обычный 53 3 3" xfId="59955" xr:uid="{00000000-0005-0000-0000-00009CEA0000}"/>
    <cellStyle name="Обычный 53 4" xfId="59956" xr:uid="{00000000-0005-0000-0000-00009DEA0000}"/>
    <cellStyle name="Обычный 53 5" xfId="59957" xr:uid="{00000000-0005-0000-0000-00009EEA0000}"/>
    <cellStyle name="Обычный 54" xfId="59958" xr:uid="{00000000-0005-0000-0000-00009FEA0000}"/>
    <cellStyle name="Обычный 54 2" xfId="59959" xr:uid="{00000000-0005-0000-0000-0000A0EA0000}"/>
    <cellStyle name="Обычный 54 2 2" xfId="59960" xr:uid="{00000000-0005-0000-0000-0000A1EA0000}"/>
    <cellStyle name="Обычный 54 2 3" xfId="59961" xr:uid="{00000000-0005-0000-0000-0000A2EA0000}"/>
    <cellStyle name="Обычный 54 3" xfId="59962" xr:uid="{00000000-0005-0000-0000-0000A3EA0000}"/>
    <cellStyle name="Обычный 54 3 2" xfId="59963" xr:uid="{00000000-0005-0000-0000-0000A4EA0000}"/>
    <cellStyle name="Обычный 54 3 3" xfId="59964" xr:uid="{00000000-0005-0000-0000-0000A5EA0000}"/>
    <cellStyle name="Обычный 54 4" xfId="59965" xr:uid="{00000000-0005-0000-0000-0000A6EA0000}"/>
    <cellStyle name="Обычный 54 5" xfId="59966" xr:uid="{00000000-0005-0000-0000-0000A7EA0000}"/>
    <cellStyle name="Обычный 55" xfId="59967" xr:uid="{00000000-0005-0000-0000-0000A8EA0000}"/>
    <cellStyle name="Обычный 55 2" xfId="59968" xr:uid="{00000000-0005-0000-0000-0000A9EA0000}"/>
    <cellStyle name="Обычный 55 2 2" xfId="59969" xr:uid="{00000000-0005-0000-0000-0000AAEA0000}"/>
    <cellStyle name="Обычный 55 2 3" xfId="59970" xr:uid="{00000000-0005-0000-0000-0000ABEA0000}"/>
    <cellStyle name="Обычный 55 3" xfId="59971" xr:uid="{00000000-0005-0000-0000-0000ACEA0000}"/>
    <cellStyle name="Обычный 55 3 2" xfId="59972" xr:uid="{00000000-0005-0000-0000-0000ADEA0000}"/>
    <cellStyle name="Обычный 55 3 3" xfId="59973" xr:uid="{00000000-0005-0000-0000-0000AEEA0000}"/>
    <cellStyle name="Обычный 55 4" xfId="59974" xr:uid="{00000000-0005-0000-0000-0000AFEA0000}"/>
    <cellStyle name="Обычный 55 5" xfId="59975" xr:uid="{00000000-0005-0000-0000-0000B0EA0000}"/>
    <cellStyle name="Обычный 56" xfId="59976" xr:uid="{00000000-0005-0000-0000-0000B1EA0000}"/>
    <cellStyle name="Обычный 56 2" xfId="59977" xr:uid="{00000000-0005-0000-0000-0000B2EA0000}"/>
    <cellStyle name="Обычный 56 2 2" xfId="59978" xr:uid="{00000000-0005-0000-0000-0000B3EA0000}"/>
    <cellStyle name="Обычный 56 2 3" xfId="59979" xr:uid="{00000000-0005-0000-0000-0000B4EA0000}"/>
    <cellStyle name="Обычный 56 3" xfId="59980" xr:uid="{00000000-0005-0000-0000-0000B5EA0000}"/>
    <cellStyle name="Обычный 56 3 2" xfId="59981" xr:uid="{00000000-0005-0000-0000-0000B6EA0000}"/>
    <cellStyle name="Обычный 56 3 3" xfId="59982" xr:uid="{00000000-0005-0000-0000-0000B7EA0000}"/>
    <cellStyle name="Обычный 56 4" xfId="59983" xr:uid="{00000000-0005-0000-0000-0000B8EA0000}"/>
    <cellStyle name="Обычный 56 5" xfId="59984" xr:uid="{00000000-0005-0000-0000-0000B9EA0000}"/>
    <cellStyle name="Обычный 57" xfId="59985" xr:uid="{00000000-0005-0000-0000-0000BAEA0000}"/>
    <cellStyle name="Обычный 57 2" xfId="59986" xr:uid="{00000000-0005-0000-0000-0000BBEA0000}"/>
    <cellStyle name="Обычный 57 2 2" xfId="59987" xr:uid="{00000000-0005-0000-0000-0000BCEA0000}"/>
    <cellStyle name="Обычный 57 2 3" xfId="59988" xr:uid="{00000000-0005-0000-0000-0000BDEA0000}"/>
    <cellStyle name="Обычный 57 3" xfId="59989" xr:uid="{00000000-0005-0000-0000-0000BEEA0000}"/>
    <cellStyle name="Обычный 57 3 2" xfId="59990" xr:uid="{00000000-0005-0000-0000-0000BFEA0000}"/>
    <cellStyle name="Обычный 57 3 3" xfId="59991" xr:uid="{00000000-0005-0000-0000-0000C0EA0000}"/>
    <cellStyle name="Обычный 57 4" xfId="59992" xr:uid="{00000000-0005-0000-0000-0000C1EA0000}"/>
    <cellStyle name="Обычный 57 5" xfId="59993" xr:uid="{00000000-0005-0000-0000-0000C2EA0000}"/>
    <cellStyle name="Обычный 58" xfId="59994" xr:uid="{00000000-0005-0000-0000-0000C3EA0000}"/>
    <cellStyle name="Обычный 58 2" xfId="59995" xr:uid="{00000000-0005-0000-0000-0000C4EA0000}"/>
    <cellStyle name="Обычный 58 2 2" xfId="59996" xr:uid="{00000000-0005-0000-0000-0000C5EA0000}"/>
    <cellStyle name="Обычный 58 2 3" xfId="59997" xr:uid="{00000000-0005-0000-0000-0000C6EA0000}"/>
    <cellStyle name="Обычный 58 3" xfId="59998" xr:uid="{00000000-0005-0000-0000-0000C7EA0000}"/>
    <cellStyle name="Обычный 58 3 2" xfId="59999" xr:uid="{00000000-0005-0000-0000-0000C8EA0000}"/>
    <cellStyle name="Обычный 58 3 3" xfId="60000" xr:uid="{00000000-0005-0000-0000-0000C9EA0000}"/>
    <cellStyle name="Обычный 58 4" xfId="60001" xr:uid="{00000000-0005-0000-0000-0000CAEA0000}"/>
    <cellStyle name="Обычный 58 5" xfId="60002" xr:uid="{00000000-0005-0000-0000-0000CBEA0000}"/>
    <cellStyle name="Обычный 59" xfId="60003" xr:uid="{00000000-0005-0000-0000-0000CCEA0000}"/>
    <cellStyle name="Обычный 59 2" xfId="60004" xr:uid="{00000000-0005-0000-0000-0000CDEA0000}"/>
    <cellStyle name="Обычный 59 2 2" xfId="60005" xr:uid="{00000000-0005-0000-0000-0000CEEA0000}"/>
    <cellStyle name="Обычный 59 2 3" xfId="60006" xr:uid="{00000000-0005-0000-0000-0000CFEA0000}"/>
    <cellStyle name="Обычный 59 3" xfId="60007" xr:uid="{00000000-0005-0000-0000-0000D0EA0000}"/>
    <cellStyle name="Обычный 59 3 2" xfId="60008" xr:uid="{00000000-0005-0000-0000-0000D1EA0000}"/>
    <cellStyle name="Обычный 59 3 3" xfId="60009" xr:uid="{00000000-0005-0000-0000-0000D2EA0000}"/>
    <cellStyle name="Обычный 59 4" xfId="60010" xr:uid="{00000000-0005-0000-0000-0000D3EA0000}"/>
    <cellStyle name="Обычный 59 5" xfId="60011" xr:uid="{00000000-0005-0000-0000-0000D4EA0000}"/>
    <cellStyle name="Обычный 6" xfId="60012" xr:uid="{00000000-0005-0000-0000-0000D5EA0000}"/>
    <cellStyle name="Обычный 6 10" xfId="60013" xr:uid="{00000000-0005-0000-0000-0000D6EA0000}"/>
    <cellStyle name="Обычный 6 11" xfId="60014" xr:uid="{00000000-0005-0000-0000-0000D7EA0000}"/>
    <cellStyle name="Обычный 6 12" xfId="60015" xr:uid="{00000000-0005-0000-0000-0000D8EA0000}"/>
    <cellStyle name="Обычный 6 13" xfId="60016" xr:uid="{00000000-0005-0000-0000-0000D9EA0000}"/>
    <cellStyle name="Обычный 6 14" xfId="60017" xr:uid="{00000000-0005-0000-0000-0000DAEA0000}"/>
    <cellStyle name="Обычный 6 15" xfId="60018" xr:uid="{00000000-0005-0000-0000-0000DBEA0000}"/>
    <cellStyle name="Обычный 6 16" xfId="60019" xr:uid="{00000000-0005-0000-0000-0000DCEA0000}"/>
    <cellStyle name="Обычный 6 17" xfId="60020" xr:uid="{00000000-0005-0000-0000-0000DDEA0000}"/>
    <cellStyle name="Обычный 6 18" xfId="60021" xr:uid="{00000000-0005-0000-0000-0000DEEA0000}"/>
    <cellStyle name="Обычный 6 19" xfId="60022" xr:uid="{00000000-0005-0000-0000-0000DFEA0000}"/>
    <cellStyle name="Обычный 6 19 2" xfId="60023" xr:uid="{00000000-0005-0000-0000-0000E0EA0000}"/>
    <cellStyle name="Обычный 6 19 3" xfId="60024" xr:uid="{00000000-0005-0000-0000-0000E1EA0000}"/>
    <cellStyle name="Обычный 6 19 4" xfId="60025" xr:uid="{00000000-0005-0000-0000-0000E2EA0000}"/>
    <cellStyle name="Обычный 6 19 5" xfId="60026" xr:uid="{00000000-0005-0000-0000-0000E3EA0000}"/>
    <cellStyle name="Обычный 6 19 6" xfId="60027" xr:uid="{00000000-0005-0000-0000-0000E4EA0000}"/>
    <cellStyle name="Обычный 6 19 7" xfId="60028" xr:uid="{00000000-0005-0000-0000-0000E5EA0000}"/>
    <cellStyle name="Обычный 6 19 8" xfId="61318" xr:uid="{00000000-0005-0000-0000-0000E6EA0000}"/>
    <cellStyle name="Обычный 6 2" xfId="60029" xr:uid="{00000000-0005-0000-0000-0000E7EA0000}"/>
    <cellStyle name="Обычный 6 2 2" xfId="60030" xr:uid="{00000000-0005-0000-0000-0000E8EA0000}"/>
    <cellStyle name="Обычный 6 2 2 2" xfId="60031" xr:uid="{00000000-0005-0000-0000-0000E9EA0000}"/>
    <cellStyle name="Обычный 6 2 3" xfId="60032" xr:uid="{00000000-0005-0000-0000-0000EAEA0000}"/>
    <cellStyle name="Обычный 6 20" xfId="60033" xr:uid="{00000000-0005-0000-0000-0000EBEA0000}"/>
    <cellStyle name="Обычный 6 3" xfId="60034" xr:uid="{00000000-0005-0000-0000-0000ECEA0000}"/>
    <cellStyle name="Обычный 6 3 2" xfId="60035" xr:uid="{00000000-0005-0000-0000-0000EDEA0000}"/>
    <cellStyle name="Обычный 6 3 2 2" xfId="60036" xr:uid="{00000000-0005-0000-0000-0000EEEA0000}"/>
    <cellStyle name="Обычный 6 3 3" xfId="60037" xr:uid="{00000000-0005-0000-0000-0000EFEA0000}"/>
    <cellStyle name="Обычный 6 4" xfId="60038" xr:uid="{00000000-0005-0000-0000-0000F0EA0000}"/>
    <cellStyle name="Обычный 6 4 2" xfId="60039" xr:uid="{00000000-0005-0000-0000-0000F1EA0000}"/>
    <cellStyle name="Обычный 6 4 2 2" xfId="60040" xr:uid="{00000000-0005-0000-0000-0000F2EA0000}"/>
    <cellStyle name="Обычный 6 4 3" xfId="60041" xr:uid="{00000000-0005-0000-0000-0000F3EA0000}"/>
    <cellStyle name="Обычный 6 5" xfId="60042" xr:uid="{00000000-0005-0000-0000-0000F4EA0000}"/>
    <cellStyle name="Обычный 6 5 2" xfId="60043" xr:uid="{00000000-0005-0000-0000-0000F5EA0000}"/>
    <cellStyle name="Обычный 6 6" xfId="60044" xr:uid="{00000000-0005-0000-0000-0000F6EA0000}"/>
    <cellStyle name="Обычный 6 6 2" xfId="60045" xr:uid="{00000000-0005-0000-0000-0000F7EA0000}"/>
    <cellStyle name="Обычный 6 7" xfId="60046" xr:uid="{00000000-0005-0000-0000-0000F8EA0000}"/>
    <cellStyle name="Обычный 6 7 2" xfId="60047" xr:uid="{00000000-0005-0000-0000-0000F9EA0000}"/>
    <cellStyle name="Обычный 6 8" xfId="60048" xr:uid="{00000000-0005-0000-0000-0000FAEA0000}"/>
    <cellStyle name="Обычный 6 9" xfId="60049" xr:uid="{00000000-0005-0000-0000-0000FBEA0000}"/>
    <cellStyle name="Обычный 60" xfId="60050" xr:uid="{00000000-0005-0000-0000-0000FCEA0000}"/>
    <cellStyle name="Обычный 60 2" xfId="60051" xr:uid="{00000000-0005-0000-0000-0000FDEA0000}"/>
    <cellStyle name="Обычный 60 2 2" xfId="60052" xr:uid="{00000000-0005-0000-0000-0000FEEA0000}"/>
    <cellStyle name="Обычный 60 2 3" xfId="60053" xr:uid="{00000000-0005-0000-0000-0000FFEA0000}"/>
    <cellStyle name="Обычный 60 3" xfId="60054" xr:uid="{00000000-0005-0000-0000-000000EB0000}"/>
    <cellStyle name="Обычный 60 3 2" xfId="60055" xr:uid="{00000000-0005-0000-0000-000001EB0000}"/>
    <cellStyle name="Обычный 60 3 3" xfId="60056" xr:uid="{00000000-0005-0000-0000-000002EB0000}"/>
    <cellStyle name="Обычный 60 4" xfId="60057" xr:uid="{00000000-0005-0000-0000-000003EB0000}"/>
    <cellStyle name="Обычный 60 5" xfId="60058" xr:uid="{00000000-0005-0000-0000-000004EB0000}"/>
    <cellStyle name="Обычный 61" xfId="60059" xr:uid="{00000000-0005-0000-0000-000005EB0000}"/>
    <cellStyle name="Обычный 61 2" xfId="60060" xr:uid="{00000000-0005-0000-0000-000006EB0000}"/>
    <cellStyle name="Обычный 61 2 2" xfId="60061" xr:uid="{00000000-0005-0000-0000-000007EB0000}"/>
    <cellStyle name="Обычный 61 2 3" xfId="60062" xr:uid="{00000000-0005-0000-0000-000008EB0000}"/>
    <cellStyle name="Обычный 61 3" xfId="60063" xr:uid="{00000000-0005-0000-0000-000009EB0000}"/>
    <cellStyle name="Обычный 61 3 2" xfId="60064" xr:uid="{00000000-0005-0000-0000-00000AEB0000}"/>
    <cellStyle name="Обычный 61 3 3" xfId="60065" xr:uid="{00000000-0005-0000-0000-00000BEB0000}"/>
    <cellStyle name="Обычный 61 4" xfId="60066" xr:uid="{00000000-0005-0000-0000-00000CEB0000}"/>
    <cellStyle name="Обычный 61 5" xfId="60067" xr:uid="{00000000-0005-0000-0000-00000DEB0000}"/>
    <cellStyle name="Обычный 62" xfId="60068" xr:uid="{00000000-0005-0000-0000-00000EEB0000}"/>
    <cellStyle name="Обычный 62 2" xfId="60069" xr:uid="{00000000-0005-0000-0000-00000FEB0000}"/>
    <cellStyle name="Обычный 62 2 2" xfId="60070" xr:uid="{00000000-0005-0000-0000-000010EB0000}"/>
    <cellStyle name="Обычный 62 2 3" xfId="60071" xr:uid="{00000000-0005-0000-0000-000011EB0000}"/>
    <cellStyle name="Обычный 62 3" xfId="60072" xr:uid="{00000000-0005-0000-0000-000012EB0000}"/>
    <cellStyle name="Обычный 62 3 2" xfId="60073" xr:uid="{00000000-0005-0000-0000-000013EB0000}"/>
    <cellStyle name="Обычный 62 3 3" xfId="60074" xr:uid="{00000000-0005-0000-0000-000014EB0000}"/>
    <cellStyle name="Обычный 62 4" xfId="60075" xr:uid="{00000000-0005-0000-0000-000015EB0000}"/>
    <cellStyle name="Обычный 62 5" xfId="60076" xr:uid="{00000000-0005-0000-0000-000016EB0000}"/>
    <cellStyle name="Обычный 63" xfId="60077" xr:uid="{00000000-0005-0000-0000-000017EB0000}"/>
    <cellStyle name="Обычный 63 2" xfId="60078" xr:uid="{00000000-0005-0000-0000-000018EB0000}"/>
    <cellStyle name="Обычный 63 2 2" xfId="60079" xr:uid="{00000000-0005-0000-0000-000019EB0000}"/>
    <cellStyle name="Обычный 63 2 3" xfId="60080" xr:uid="{00000000-0005-0000-0000-00001AEB0000}"/>
    <cellStyle name="Обычный 63 3" xfId="60081" xr:uid="{00000000-0005-0000-0000-00001BEB0000}"/>
    <cellStyle name="Обычный 63 3 2" xfId="60082" xr:uid="{00000000-0005-0000-0000-00001CEB0000}"/>
    <cellStyle name="Обычный 63 3 3" xfId="60083" xr:uid="{00000000-0005-0000-0000-00001DEB0000}"/>
    <cellStyle name="Обычный 63 4" xfId="60084" xr:uid="{00000000-0005-0000-0000-00001EEB0000}"/>
    <cellStyle name="Обычный 63 5" xfId="60085" xr:uid="{00000000-0005-0000-0000-00001FEB0000}"/>
    <cellStyle name="Обычный 64" xfId="60086" xr:uid="{00000000-0005-0000-0000-000020EB0000}"/>
    <cellStyle name="Обычный 64 2" xfId="60087" xr:uid="{00000000-0005-0000-0000-000021EB0000}"/>
    <cellStyle name="Обычный 64 2 2" xfId="60088" xr:uid="{00000000-0005-0000-0000-000022EB0000}"/>
    <cellStyle name="Обычный 64 2 3" xfId="60089" xr:uid="{00000000-0005-0000-0000-000023EB0000}"/>
    <cellStyle name="Обычный 64 3" xfId="60090" xr:uid="{00000000-0005-0000-0000-000024EB0000}"/>
    <cellStyle name="Обычный 64 3 2" xfId="60091" xr:uid="{00000000-0005-0000-0000-000025EB0000}"/>
    <cellStyle name="Обычный 64 3 3" xfId="60092" xr:uid="{00000000-0005-0000-0000-000026EB0000}"/>
    <cellStyle name="Обычный 64 4" xfId="60093" xr:uid="{00000000-0005-0000-0000-000027EB0000}"/>
    <cellStyle name="Обычный 64 5" xfId="60094" xr:uid="{00000000-0005-0000-0000-000028EB0000}"/>
    <cellStyle name="Обычный 65" xfId="60095" xr:uid="{00000000-0005-0000-0000-000029EB0000}"/>
    <cellStyle name="Обычный 65 2" xfId="60096" xr:uid="{00000000-0005-0000-0000-00002AEB0000}"/>
    <cellStyle name="Обычный 65 2 2" xfId="60097" xr:uid="{00000000-0005-0000-0000-00002BEB0000}"/>
    <cellStyle name="Обычный 65 2 3" xfId="60098" xr:uid="{00000000-0005-0000-0000-00002CEB0000}"/>
    <cellStyle name="Обычный 65 3" xfId="60099" xr:uid="{00000000-0005-0000-0000-00002DEB0000}"/>
    <cellStyle name="Обычный 65 3 2" xfId="60100" xr:uid="{00000000-0005-0000-0000-00002EEB0000}"/>
    <cellStyle name="Обычный 65 3 3" xfId="60101" xr:uid="{00000000-0005-0000-0000-00002FEB0000}"/>
    <cellStyle name="Обычный 65 4" xfId="60102" xr:uid="{00000000-0005-0000-0000-000030EB0000}"/>
    <cellStyle name="Обычный 65 5" xfId="60103" xr:uid="{00000000-0005-0000-0000-000031EB0000}"/>
    <cellStyle name="Обычный 66" xfId="60104" xr:uid="{00000000-0005-0000-0000-000032EB0000}"/>
    <cellStyle name="Обычный 66 2" xfId="60105" xr:uid="{00000000-0005-0000-0000-000033EB0000}"/>
    <cellStyle name="Обычный 66 2 2" xfId="60106" xr:uid="{00000000-0005-0000-0000-000034EB0000}"/>
    <cellStyle name="Обычный 66 2 3" xfId="60107" xr:uid="{00000000-0005-0000-0000-000035EB0000}"/>
    <cellStyle name="Обычный 66 3" xfId="60108" xr:uid="{00000000-0005-0000-0000-000036EB0000}"/>
    <cellStyle name="Обычный 66 3 2" xfId="60109" xr:uid="{00000000-0005-0000-0000-000037EB0000}"/>
    <cellStyle name="Обычный 66 3 3" xfId="60110" xr:uid="{00000000-0005-0000-0000-000038EB0000}"/>
    <cellStyle name="Обычный 66 4" xfId="60111" xr:uid="{00000000-0005-0000-0000-000039EB0000}"/>
    <cellStyle name="Обычный 66 5" xfId="60112" xr:uid="{00000000-0005-0000-0000-00003AEB0000}"/>
    <cellStyle name="Обычный 67" xfId="60113" xr:uid="{00000000-0005-0000-0000-00003BEB0000}"/>
    <cellStyle name="Обычный 67 2" xfId="60114" xr:uid="{00000000-0005-0000-0000-00003CEB0000}"/>
    <cellStyle name="Обычный 67 3" xfId="60115" xr:uid="{00000000-0005-0000-0000-00003DEB0000}"/>
    <cellStyle name="Обычный 68" xfId="60116" xr:uid="{00000000-0005-0000-0000-00003EEB0000}"/>
    <cellStyle name="Обычный 69" xfId="60117" xr:uid="{00000000-0005-0000-0000-00003FEB0000}"/>
    <cellStyle name="Обычный 69 2" xfId="60118" xr:uid="{00000000-0005-0000-0000-000040EB0000}"/>
    <cellStyle name="Обычный 69 3" xfId="61306" xr:uid="{00000000-0005-0000-0000-000041EB0000}"/>
    <cellStyle name="Обычный 7" xfId="60119" xr:uid="{00000000-0005-0000-0000-000042EB0000}"/>
    <cellStyle name="Обычный 7 2" xfId="60120" xr:uid="{00000000-0005-0000-0000-000043EB0000}"/>
    <cellStyle name="Обычный 7 2 2" xfId="60121" xr:uid="{00000000-0005-0000-0000-000044EB0000}"/>
    <cellStyle name="Обычный 7 2 2 2" xfId="60122" xr:uid="{00000000-0005-0000-0000-000045EB0000}"/>
    <cellStyle name="Обычный 7 2 3" xfId="60123" xr:uid="{00000000-0005-0000-0000-000046EB0000}"/>
    <cellStyle name="Обычный 7 3" xfId="60124" xr:uid="{00000000-0005-0000-0000-000047EB0000}"/>
    <cellStyle name="Обычный 7 4" xfId="60125" xr:uid="{00000000-0005-0000-0000-000048EB0000}"/>
    <cellStyle name="Обычный 7 5" xfId="60126" xr:uid="{00000000-0005-0000-0000-000049EB0000}"/>
    <cellStyle name="Обычный 70" xfId="60127" xr:uid="{00000000-0005-0000-0000-00004AEB0000}"/>
    <cellStyle name="Обычный 71" xfId="60128" xr:uid="{00000000-0005-0000-0000-00004BEB0000}"/>
    <cellStyle name="Обычный 72" xfId="60129" xr:uid="{00000000-0005-0000-0000-00004CEB0000}"/>
    <cellStyle name="Обычный 73" xfId="60130" xr:uid="{00000000-0005-0000-0000-00004DEB0000}"/>
    <cellStyle name="Обычный 74" xfId="60131" xr:uid="{00000000-0005-0000-0000-00004EEB0000}"/>
    <cellStyle name="Обычный 75" xfId="60132" xr:uid="{00000000-0005-0000-0000-00004FEB0000}"/>
    <cellStyle name="Обычный 76" xfId="60133" xr:uid="{00000000-0005-0000-0000-000050EB0000}"/>
    <cellStyle name="Обычный 77" xfId="60134" xr:uid="{00000000-0005-0000-0000-000051EB0000}"/>
    <cellStyle name="Обычный 78" xfId="60135" xr:uid="{00000000-0005-0000-0000-000052EB0000}"/>
    <cellStyle name="Обычный 79" xfId="60136" xr:uid="{00000000-0005-0000-0000-000053EB0000}"/>
    <cellStyle name="Обычный 79 2" xfId="60137" xr:uid="{00000000-0005-0000-0000-000054EB0000}"/>
    <cellStyle name="Обычный 8" xfId="60138" xr:uid="{00000000-0005-0000-0000-000055EB0000}"/>
    <cellStyle name="Обычный 8 2" xfId="60139" xr:uid="{00000000-0005-0000-0000-000056EB0000}"/>
    <cellStyle name="Обычный 8 2 2" xfId="60140" xr:uid="{00000000-0005-0000-0000-000057EB0000}"/>
    <cellStyle name="Обычный 8 2 2 2" xfId="60141" xr:uid="{00000000-0005-0000-0000-000058EB0000}"/>
    <cellStyle name="Обычный 8 2 3" xfId="60142" xr:uid="{00000000-0005-0000-0000-000059EB0000}"/>
    <cellStyle name="Обычный 8 3" xfId="60143" xr:uid="{00000000-0005-0000-0000-00005AEB0000}"/>
    <cellStyle name="Обычный 8 4" xfId="60144" xr:uid="{00000000-0005-0000-0000-00005BEB0000}"/>
    <cellStyle name="Обычный 8 5" xfId="60145" xr:uid="{00000000-0005-0000-0000-00005CEB0000}"/>
    <cellStyle name="Обычный 80" xfId="60146" xr:uid="{00000000-0005-0000-0000-00005DEB0000}"/>
    <cellStyle name="Обычный 81" xfId="60147" xr:uid="{00000000-0005-0000-0000-00005EEB0000}"/>
    <cellStyle name="Обычный 82" xfId="60148" xr:uid="{00000000-0005-0000-0000-00005FEB0000}"/>
    <cellStyle name="Обычный 83" xfId="60149" xr:uid="{00000000-0005-0000-0000-000060EB0000}"/>
    <cellStyle name="Обычный 83 2" xfId="61307" xr:uid="{00000000-0005-0000-0000-000061EB0000}"/>
    <cellStyle name="Обычный 83 3" xfId="61308" xr:uid="{00000000-0005-0000-0000-000062EB0000}"/>
    <cellStyle name="Обычный 84" xfId="60150" xr:uid="{00000000-0005-0000-0000-000063EB0000}"/>
    <cellStyle name="Обычный 84 10" xfId="60151" xr:uid="{00000000-0005-0000-0000-000064EB0000}"/>
    <cellStyle name="Обычный 84 11" xfId="60152" xr:uid="{00000000-0005-0000-0000-000065EB0000}"/>
    <cellStyle name="Обычный 84 12" xfId="60153" xr:uid="{00000000-0005-0000-0000-000066EB0000}"/>
    <cellStyle name="Обычный 84 12 2" xfId="60154" xr:uid="{00000000-0005-0000-0000-000067EB0000}"/>
    <cellStyle name="Обычный 84 13" xfId="60155" xr:uid="{00000000-0005-0000-0000-000068EB0000}"/>
    <cellStyle name="Обычный 84 14" xfId="60156" xr:uid="{00000000-0005-0000-0000-000069EB0000}"/>
    <cellStyle name="Обычный 84 15" xfId="60157" xr:uid="{00000000-0005-0000-0000-00006AEB0000}"/>
    <cellStyle name="Обычный 84 16" xfId="60158" xr:uid="{00000000-0005-0000-0000-00006BEB0000}"/>
    <cellStyle name="Обычный 84 16 2" xfId="60159" xr:uid="{00000000-0005-0000-0000-00006CEB0000}"/>
    <cellStyle name="Обычный 84 17" xfId="60160" xr:uid="{00000000-0005-0000-0000-00006DEB0000}"/>
    <cellStyle name="Обычный 84 18" xfId="61315" xr:uid="{00000000-0005-0000-0000-00006EEB0000}"/>
    <cellStyle name="Обычный 84 19" xfId="61326" xr:uid="{00000000-0005-0000-0000-00006FEB0000}"/>
    <cellStyle name="Обычный 84 2" xfId="60161" xr:uid="{00000000-0005-0000-0000-000070EB0000}"/>
    <cellStyle name="Обычный 84 2 2" xfId="60162" xr:uid="{00000000-0005-0000-0000-000071EB0000}"/>
    <cellStyle name="Обычный 84 2 3" xfId="61310" xr:uid="{00000000-0005-0000-0000-000072EB0000}"/>
    <cellStyle name="Обычный 84 2 3 2" xfId="61361" xr:uid="{00000000-0005-0000-0000-000073EB0000}"/>
    <cellStyle name="Обычный 84 20" xfId="61341" xr:uid="{00000000-0005-0000-0000-000074EB0000}"/>
    <cellStyle name="Обычный 84 21" xfId="61349" xr:uid="{00000000-0005-0000-0000-000075EB0000}"/>
    <cellStyle name="Обычный 84 3" xfId="60163" xr:uid="{00000000-0005-0000-0000-000076EB0000}"/>
    <cellStyle name="Обычный 84 4" xfId="60164" xr:uid="{00000000-0005-0000-0000-000077EB0000}"/>
    <cellStyle name="Обычный 84 5" xfId="60165" xr:uid="{00000000-0005-0000-0000-000078EB0000}"/>
    <cellStyle name="Обычный 84 6" xfId="60166" xr:uid="{00000000-0005-0000-0000-000079EB0000}"/>
    <cellStyle name="Обычный 84 7" xfId="60167" xr:uid="{00000000-0005-0000-0000-00007AEB0000}"/>
    <cellStyle name="Обычный 84 8" xfId="60168" xr:uid="{00000000-0005-0000-0000-00007BEB0000}"/>
    <cellStyle name="Обычный 84 9" xfId="60169" xr:uid="{00000000-0005-0000-0000-00007CEB0000}"/>
    <cellStyle name="Обычный 85" xfId="60170" xr:uid="{00000000-0005-0000-0000-00007DEB0000}"/>
    <cellStyle name="Обычный 85 2" xfId="60171" xr:uid="{00000000-0005-0000-0000-00007EEB0000}"/>
    <cellStyle name="Обычный 85 3" xfId="60172" xr:uid="{00000000-0005-0000-0000-00007FEB0000}"/>
    <cellStyle name="Обычный 85 3 2" xfId="60173" xr:uid="{00000000-0005-0000-0000-000080EB0000}"/>
    <cellStyle name="Обычный 85 4" xfId="60174" xr:uid="{00000000-0005-0000-0000-000081EB0000}"/>
    <cellStyle name="Обычный 85 4 2" xfId="60175" xr:uid="{00000000-0005-0000-0000-000082EB0000}"/>
    <cellStyle name="Обычный 85 5" xfId="60176" xr:uid="{00000000-0005-0000-0000-000083EB0000}"/>
    <cellStyle name="Обычный 85 6" xfId="61316" xr:uid="{00000000-0005-0000-0000-000084EB0000}"/>
    <cellStyle name="Обычный 85 7" xfId="61327" xr:uid="{00000000-0005-0000-0000-000085EB0000}"/>
    <cellStyle name="Обычный 85 8" xfId="61342" xr:uid="{00000000-0005-0000-0000-000086EB0000}"/>
    <cellStyle name="Обычный 85 9" xfId="61350" xr:uid="{00000000-0005-0000-0000-000087EB0000}"/>
    <cellStyle name="Обычный 86" xfId="60177" xr:uid="{00000000-0005-0000-0000-000088EB0000}"/>
    <cellStyle name="Обычный 87" xfId="60178" xr:uid="{00000000-0005-0000-0000-000089EB0000}"/>
    <cellStyle name="Обычный 88" xfId="60179" xr:uid="{00000000-0005-0000-0000-00008AEB0000}"/>
    <cellStyle name="Обычный 89" xfId="60180" xr:uid="{00000000-0005-0000-0000-00008BEB0000}"/>
    <cellStyle name="Обычный 89 2" xfId="60181" xr:uid="{00000000-0005-0000-0000-00008CEB0000}"/>
    <cellStyle name="Обычный 9" xfId="60182" xr:uid="{00000000-0005-0000-0000-00008DEB0000}"/>
    <cellStyle name="Обычный 9 2" xfId="60183" xr:uid="{00000000-0005-0000-0000-00008EEB0000}"/>
    <cellStyle name="Обычный 9 2 2" xfId="60184" xr:uid="{00000000-0005-0000-0000-00008FEB0000}"/>
    <cellStyle name="Обычный 9 2 2 2" xfId="60185" xr:uid="{00000000-0005-0000-0000-000090EB0000}"/>
    <cellStyle name="Обычный 9 2 3" xfId="60186" xr:uid="{00000000-0005-0000-0000-000091EB0000}"/>
    <cellStyle name="Обычный 9 3" xfId="60187" xr:uid="{00000000-0005-0000-0000-000092EB0000}"/>
    <cellStyle name="Обычный 9 4" xfId="60188" xr:uid="{00000000-0005-0000-0000-000093EB0000}"/>
    <cellStyle name="Обычный 9 5" xfId="60189" xr:uid="{00000000-0005-0000-0000-000094EB0000}"/>
    <cellStyle name="Обычный 90" xfId="60190" xr:uid="{00000000-0005-0000-0000-000095EB0000}"/>
    <cellStyle name="Обычный 91" xfId="60191" xr:uid="{00000000-0005-0000-0000-000096EB0000}"/>
    <cellStyle name="Обычный 92" xfId="60192" xr:uid="{00000000-0005-0000-0000-000097EB0000}"/>
    <cellStyle name="Обычный 93" xfId="60193" xr:uid="{00000000-0005-0000-0000-000098EB0000}"/>
    <cellStyle name="Обычный 94" xfId="60194" xr:uid="{00000000-0005-0000-0000-000099EB0000}"/>
    <cellStyle name="Обычный 95" xfId="60195" xr:uid="{00000000-0005-0000-0000-00009AEB0000}"/>
    <cellStyle name="Обычный 96" xfId="60196" xr:uid="{00000000-0005-0000-0000-00009BEB0000}"/>
    <cellStyle name="Обычный 97" xfId="60197" xr:uid="{00000000-0005-0000-0000-00009CEB0000}"/>
    <cellStyle name="Обычный 98" xfId="60198" xr:uid="{00000000-0005-0000-0000-00009DEB0000}"/>
    <cellStyle name="Обычный 99" xfId="60199" xr:uid="{00000000-0005-0000-0000-00009EEB0000}"/>
    <cellStyle name="Обычный_17.04.2007 Свод(общий)" xfId="61319" xr:uid="{00000000-0005-0000-0000-00009FEB0000}"/>
    <cellStyle name="Плохой 10" xfId="60200" xr:uid="{00000000-0005-0000-0000-0000A0EB0000}"/>
    <cellStyle name="Плохой 100" xfId="60201" xr:uid="{00000000-0005-0000-0000-0000A1EB0000}"/>
    <cellStyle name="Плохой 101" xfId="60202" xr:uid="{00000000-0005-0000-0000-0000A2EB0000}"/>
    <cellStyle name="Плохой 102" xfId="60203" xr:uid="{00000000-0005-0000-0000-0000A3EB0000}"/>
    <cellStyle name="Плохой 103" xfId="60204" xr:uid="{00000000-0005-0000-0000-0000A4EB0000}"/>
    <cellStyle name="Плохой 104" xfId="60205" xr:uid="{00000000-0005-0000-0000-0000A5EB0000}"/>
    <cellStyle name="Плохой 105" xfId="60206" xr:uid="{00000000-0005-0000-0000-0000A6EB0000}"/>
    <cellStyle name="Плохой 106" xfId="60207" xr:uid="{00000000-0005-0000-0000-0000A7EB0000}"/>
    <cellStyle name="Плохой 107" xfId="60208" xr:uid="{00000000-0005-0000-0000-0000A8EB0000}"/>
    <cellStyle name="Плохой 108" xfId="60209" xr:uid="{00000000-0005-0000-0000-0000A9EB0000}"/>
    <cellStyle name="Плохой 109" xfId="60210" xr:uid="{00000000-0005-0000-0000-0000AAEB0000}"/>
    <cellStyle name="Плохой 11" xfId="60211" xr:uid="{00000000-0005-0000-0000-0000ABEB0000}"/>
    <cellStyle name="Плохой 110" xfId="60212" xr:uid="{00000000-0005-0000-0000-0000ACEB0000}"/>
    <cellStyle name="Плохой 111" xfId="60213" xr:uid="{00000000-0005-0000-0000-0000ADEB0000}"/>
    <cellStyle name="Плохой 112" xfId="60214" xr:uid="{00000000-0005-0000-0000-0000AEEB0000}"/>
    <cellStyle name="Плохой 113" xfId="60215" xr:uid="{00000000-0005-0000-0000-0000AFEB0000}"/>
    <cellStyle name="Плохой 114" xfId="60216" xr:uid="{00000000-0005-0000-0000-0000B0EB0000}"/>
    <cellStyle name="Плохой 115" xfId="60217" xr:uid="{00000000-0005-0000-0000-0000B1EB0000}"/>
    <cellStyle name="Плохой 116" xfId="60218" xr:uid="{00000000-0005-0000-0000-0000B2EB0000}"/>
    <cellStyle name="Плохой 117" xfId="60219" xr:uid="{00000000-0005-0000-0000-0000B3EB0000}"/>
    <cellStyle name="Плохой 118" xfId="60220" xr:uid="{00000000-0005-0000-0000-0000B4EB0000}"/>
    <cellStyle name="Плохой 119" xfId="60221" xr:uid="{00000000-0005-0000-0000-0000B5EB0000}"/>
    <cellStyle name="Плохой 12" xfId="60222" xr:uid="{00000000-0005-0000-0000-0000B6EB0000}"/>
    <cellStyle name="Плохой 120" xfId="60223" xr:uid="{00000000-0005-0000-0000-0000B7EB0000}"/>
    <cellStyle name="Плохой 121" xfId="60224" xr:uid="{00000000-0005-0000-0000-0000B8EB0000}"/>
    <cellStyle name="Плохой 122" xfId="60225" xr:uid="{00000000-0005-0000-0000-0000B9EB0000}"/>
    <cellStyle name="Плохой 123" xfId="60226" xr:uid="{00000000-0005-0000-0000-0000BAEB0000}"/>
    <cellStyle name="Плохой 124" xfId="60227" xr:uid="{00000000-0005-0000-0000-0000BBEB0000}"/>
    <cellStyle name="Плохой 125" xfId="60228" xr:uid="{00000000-0005-0000-0000-0000BCEB0000}"/>
    <cellStyle name="Плохой 126" xfId="60229" xr:uid="{00000000-0005-0000-0000-0000BDEB0000}"/>
    <cellStyle name="Плохой 127" xfId="60230" xr:uid="{00000000-0005-0000-0000-0000BEEB0000}"/>
    <cellStyle name="Плохой 128" xfId="60231" xr:uid="{00000000-0005-0000-0000-0000BFEB0000}"/>
    <cellStyle name="Плохой 129" xfId="60232" xr:uid="{00000000-0005-0000-0000-0000C0EB0000}"/>
    <cellStyle name="Плохой 13" xfId="60233" xr:uid="{00000000-0005-0000-0000-0000C1EB0000}"/>
    <cellStyle name="Плохой 130" xfId="60234" xr:uid="{00000000-0005-0000-0000-0000C2EB0000}"/>
    <cellStyle name="Плохой 131" xfId="60235" xr:uid="{00000000-0005-0000-0000-0000C3EB0000}"/>
    <cellStyle name="Плохой 132" xfId="60236" xr:uid="{00000000-0005-0000-0000-0000C4EB0000}"/>
    <cellStyle name="Плохой 133" xfId="60237" xr:uid="{00000000-0005-0000-0000-0000C5EB0000}"/>
    <cellStyle name="Плохой 134" xfId="60238" xr:uid="{00000000-0005-0000-0000-0000C6EB0000}"/>
    <cellStyle name="Плохой 135" xfId="60239" xr:uid="{00000000-0005-0000-0000-0000C7EB0000}"/>
    <cellStyle name="Плохой 136" xfId="60240" xr:uid="{00000000-0005-0000-0000-0000C8EB0000}"/>
    <cellStyle name="Плохой 137" xfId="60241" xr:uid="{00000000-0005-0000-0000-0000C9EB0000}"/>
    <cellStyle name="Плохой 138" xfId="60242" xr:uid="{00000000-0005-0000-0000-0000CAEB0000}"/>
    <cellStyle name="Плохой 139" xfId="60243" xr:uid="{00000000-0005-0000-0000-0000CBEB0000}"/>
    <cellStyle name="Плохой 14" xfId="60244" xr:uid="{00000000-0005-0000-0000-0000CCEB0000}"/>
    <cellStyle name="Плохой 140" xfId="60245" xr:uid="{00000000-0005-0000-0000-0000CDEB0000}"/>
    <cellStyle name="Плохой 141" xfId="60246" xr:uid="{00000000-0005-0000-0000-0000CEEB0000}"/>
    <cellStyle name="Плохой 142" xfId="60247" xr:uid="{00000000-0005-0000-0000-0000CFEB0000}"/>
    <cellStyle name="Плохой 143" xfId="60248" xr:uid="{00000000-0005-0000-0000-0000D0EB0000}"/>
    <cellStyle name="Плохой 144" xfId="60249" xr:uid="{00000000-0005-0000-0000-0000D1EB0000}"/>
    <cellStyle name="Плохой 145" xfId="60250" xr:uid="{00000000-0005-0000-0000-0000D2EB0000}"/>
    <cellStyle name="Плохой 146" xfId="60251" xr:uid="{00000000-0005-0000-0000-0000D3EB0000}"/>
    <cellStyle name="Плохой 147" xfId="60252" xr:uid="{00000000-0005-0000-0000-0000D4EB0000}"/>
    <cellStyle name="Плохой 148" xfId="60253" xr:uid="{00000000-0005-0000-0000-0000D5EB0000}"/>
    <cellStyle name="Плохой 149" xfId="60254" xr:uid="{00000000-0005-0000-0000-0000D6EB0000}"/>
    <cellStyle name="Плохой 15" xfId="60255" xr:uid="{00000000-0005-0000-0000-0000D7EB0000}"/>
    <cellStyle name="Плохой 150" xfId="60256" xr:uid="{00000000-0005-0000-0000-0000D8EB0000}"/>
    <cellStyle name="Плохой 151" xfId="60257" xr:uid="{00000000-0005-0000-0000-0000D9EB0000}"/>
    <cellStyle name="Плохой 152" xfId="60258" xr:uid="{00000000-0005-0000-0000-0000DAEB0000}"/>
    <cellStyle name="Плохой 153" xfId="60259" xr:uid="{00000000-0005-0000-0000-0000DBEB0000}"/>
    <cellStyle name="Плохой 16" xfId="60260" xr:uid="{00000000-0005-0000-0000-0000DCEB0000}"/>
    <cellStyle name="Плохой 17" xfId="60261" xr:uid="{00000000-0005-0000-0000-0000DDEB0000}"/>
    <cellStyle name="Плохой 18" xfId="60262" xr:uid="{00000000-0005-0000-0000-0000DEEB0000}"/>
    <cellStyle name="Плохой 19" xfId="60263" xr:uid="{00000000-0005-0000-0000-0000DFEB0000}"/>
    <cellStyle name="Плохой 2" xfId="60264" xr:uid="{00000000-0005-0000-0000-0000E0EB0000}"/>
    <cellStyle name="Плохой 2 2" xfId="60265" xr:uid="{00000000-0005-0000-0000-0000E1EB0000}"/>
    <cellStyle name="Плохой 2 2 10" xfId="60266" xr:uid="{00000000-0005-0000-0000-0000E2EB0000}"/>
    <cellStyle name="Плохой 2 2 11" xfId="60267" xr:uid="{00000000-0005-0000-0000-0000E3EB0000}"/>
    <cellStyle name="Плохой 2 2 12" xfId="60268" xr:uid="{00000000-0005-0000-0000-0000E4EB0000}"/>
    <cellStyle name="Плохой 2 2 13" xfId="60269" xr:uid="{00000000-0005-0000-0000-0000E5EB0000}"/>
    <cellStyle name="Плохой 2 2 2" xfId="60270" xr:uid="{00000000-0005-0000-0000-0000E6EB0000}"/>
    <cellStyle name="Плохой 2 2 3" xfId="60271" xr:uid="{00000000-0005-0000-0000-0000E7EB0000}"/>
    <cellStyle name="Плохой 2 2 4" xfId="60272" xr:uid="{00000000-0005-0000-0000-0000E8EB0000}"/>
    <cellStyle name="Плохой 2 2 5" xfId="60273" xr:uid="{00000000-0005-0000-0000-0000E9EB0000}"/>
    <cellStyle name="Плохой 2 2 6" xfId="60274" xr:uid="{00000000-0005-0000-0000-0000EAEB0000}"/>
    <cellStyle name="Плохой 2 2 7" xfId="60275" xr:uid="{00000000-0005-0000-0000-0000EBEB0000}"/>
    <cellStyle name="Плохой 2 2 8" xfId="60276" xr:uid="{00000000-0005-0000-0000-0000ECEB0000}"/>
    <cellStyle name="Плохой 2 2 9" xfId="60277" xr:uid="{00000000-0005-0000-0000-0000EDEB0000}"/>
    <cellStyle name="Плохой 2 3" xfId="60278" xr:uid="{00000000-0005-0000-0000-0000EEEB0000}"/>
    <cellStyle name="Плохой 20" xfId="60279" xr:uid="{00000000-0005-0000-0000-0000EFEB0000}"/>
    <cellStyle name="Плохой 21" xfId="60280" xr:uid="{00000000-0005-0000-0000-0000F0EB0000}"/>
    <cellStyle name="Плохой 22" xfId="60281" xr:uid="{00000000-0005-0000-0000-0000F1EB0000}"/>
    <cellStyle name="Плохой 23" xfId="60282" xr:uid="{00000000-0005-0000-0000-0000F2EB0000}"/>
    <cellStyle name="Плохой 24" xfId="60283" xr:uid="{00000000-0005-0000-0000-0000F3EB0000}"/>
    <cellStyle name="Плохой 25" xfId="60284" xr:uid="{00000000-0005-0000-0000-0000F4EB0000}"/>
    <cellStyle name="Плохой 26" xfId="60285" xr:uid="{00000000-0005-0000-0000-0000F5EB0000}"/>
    <cellStyle name="Плохой 27" xfId="60286" xr:uid="{00000000-0005-0000-0000-0000F6EB0000}"/>
    <cellStyle name="Плохой 28" xfId="60287" xr:uid="{00000000-0005-0000-0000-0000F7EB0000}"/>
    <cellStyle name="Плохой 29" xfId="60288" xr:uid="{00000000-0005-0000-0000-0000F8EB0000}"/>
    <cellStyle name="Плохой 3" xfId="60289" xr:uid="{00000000-0005-0000-0000-0000F9EB0000}"/>
    <cellStyle name="Плохой 30" xfId="60290" xr:uid="{00000000-0005-0000-0000-0000FAEB0000}"/>
    <cellStyle name="Плохой 31" xfId="60291" xr:uid="{00000000-0005-0000-0000-0000FBEB0000}"/>
    <cellStyle name="Плохой 32" xfId="60292" xr:uid="{00000000-0005-0000-0000-0000FCEB0000}"/>
    <cellStyle name="Плохой 33" xfId="60293" xr:uid="{00000000-0005-0000-0000-0000FDEB0000}"/>
    <cellStyle name="Плохой 34" xfId="60294" xr:uid="{00000000-0005-0000-0000-0000FEEB0000}"/>
    <cellStyle name="Плохой 35" xfId="60295" xr:uid="{00000000-0005-0000-0000-0000FFEB0000}"/>
    <cellStyle name="Плохой 36" xfId="60296" xr:uid="{00000000-0005-0000-0000-000000EC0000}"/>
    <cellStyle name="Плохой 37" xfId="60297" xr:uid="{00000000-0005-0000-0000-000001EC0000}"/>
    <cellStyle name="Плохой 38" xfId="60298" xr:uid="{00000000-0005-0000-0000-000002EC0000}"/>
    <cellStyle name="Плохой 39" xfId="60299" xr:uid="{00000000-0005-0000-0000-000003EC0000}"/>
    <cellStyle name="Плохой 4" xfId="60300" xr:uid="{00000000-0005-0000-0000-000004EC0000}"/>
    <cellStyle name="Плохой 40" xfId="60301" xr:uid="{00000000-0005-0000-0000-000005EC0000}"/>
    <cellStyle name="Плохой 41" xfId="60302" xr:uid="{00000000-0005-0000-0000-000006EC0000}"/>
    <cellStyle name="Плохой 42" xfId="60303" xr:uid="{00000000-0005-0000-0000-000007EC0000}"/>
    <cellStyle name="Плохой 43" xfId="60304" xr:uid="{00000000-0005-0000-0000-000008EC0000}"/>
    <cellStyle name="Плохой 44" xfId="60305" xr:uid="{00000000-0005-0000-0000-000009EC0000}"/>
    <cellStyle name="Плохой 45" xfId="60306" xr:uid="{00000000-0005-0000-0000-00000AEC0000}"/>
    <cellStyle name="Плохой 46" xfId="60307" xr:uid="{00000000-0005-0000-0000-00000BEC0000}"/>
    <cellStyle name="Плохой 47" xfId="60308" xr:uid="{00000000-0005-0000-0000-00000CEC0000}"/>
    <cellStyle name="Плохой 48" xfId="60309" xr:uid="{00000000-0005-0000-0000-00000DEC0000}"/>
    <cellStyle name="Плохой 49" xfId="60310" xr:uid="{00000000-0005-0000-0000-00000EEC0000}"/>
    <cellStyle name="Плохой 5" xfId="60311" xr:uid="{00000000-0005-0000-0000-00000FEC0000}"/>
    <cellStyle name="Плохой 50" xfId="60312" xr:uid="{00000000-0005-0000-0000-000010EC0000}"/>
    <cellStyle name="Плохой 51" xfId="60313" xr:uid="{00000000-0005-0000-0000-000011EC0000}"/>
    <cellStyle name="Плохой 52" xfId="60314" xr:uid="{00000000-0005-0000-0000-000012EC0000}"/>
    <cellStyle name="Плохой 53" xfId="60315" xr:uid="{00000000-0005-0000-0000-000013EC0000}"/>
    <cellStyle name="Плохой 54" xfId="60316" xr:uid="{00000000-0005-0000-0000-000014EC0000}"/>
    <cellStyle name="Плохой 55" xfId="60317" xr:uid="{00000000-0005-0000-0000-000015EC0000}"/>
    <cellStyle name="Плохой 56" xfId="60318" xr:uid="{00000000-0005-0000-0000-000016EC0000}"/>
    <cellStyle name="Плохой 57" xfId="60319" xr:uid="{00000000-0005-0000-0000-000017EC0000}"/>
    <cellStyle name="Плохой 58" xfId="60320" xr:uid="{00000000-0005-0000-0000-000018EC0000}"/>
    <cellStyle name="Плохой 59" xfId="60321" xr:uid="{00000000-0005-0000-0000-000019EC0000}"/>
    <cellStyle name="Плохой 6" xfId="60322" xr:uid="{00000000-0005-0000-0000-00001AEC0000}"/>
    <cellStyle name="Плохой 60" xfId="60323" xr:uid="{00000000-0005-0000-0000-00001BEC0000}"/>
    <cellStyle name="Плохой 61" xfId="60324" xr:uid="{00000000-0005-0000-0000-00001CEC0000}"/>
    <cellStyle name="Плохой 62" xfId="60325" xr:uid="{00000000-0005-0000-0000-00001DEC0000}"/>
    <cellStyle name="Плохой 63" xfId="60326" xr:uid="{00000000-0005-0000-0000-00001EEC0000}"/>
    <cellStyle name="Плохой 64" xfId="60327" xr:uid="{00000000-0005-0000-0000-00001FEC0000}"/>
    <cellStyle name="Плохой 65" xfId="60328" xr:uid="{00000000-0005-0000-0000-000020EC0000}"/>
    <cellStyle name="Плохой 66" xfId="60329" xr:uid="{00000000-0005-0000-0000-000021EC0000}"/>
    <cellStyle name="Плохой 67" xfId="60330" xr:uid="{00000000-0005-0000-0000-000022EC0000}"/>
    <cellStyle name="Плохой 68" xfId="60331" xr:uid="{00000000-0005-0000-0000-000023EC0000}"/>
    <cellStyle name="Плохой 69" xfId="60332" xr:uid="{00000000-0005-0000-0000-000024EC0000}"/>
    <cellStyle name="Плохой 7" xfId="60333" xr:uid="{00000000-0005-0000-0000-000025EC0000}"/>
    <cellStyle name="Плохой 70" xfId="60334" xr:uid="{00000000-0005-0000-0000-000026EC0000}"/>
    <cellStyle name="Плохой 71" xfId="60335" xr:uid="{00000000-0005-0000-0000-000027EC0000}"/>
    <cellStyle name="Плохой 72" xfId="60336" xr:uid="{00000000-0005-0000-0000-000028EC0000}"/>
    <cellStyle name="Плохой 73" xfId="60337" xr:uid="{00000000-0005-0000-0000-000029EC0000}"/>
    <cellStyle name="Плохой 74" xfId="60338" xr:uid="{00000000-0005-0000-0000-00002AEC0000}"/>
    <cellStyle name="Плохой 75" xfId="60339" xr:uid="{00000000-0005-0000-0000-00002BEC0000}"/>
    <cellStyle name="Плохой 76" xfId="60340" xr:uid="{00000000-0005-0000-0000-00002CEC0000}"/>
    <cellStyle name="Плохой 77" xfId="60341" xr:uid="{00000000-0005-0000-0000-00002DEC0000}"/>
    <cellStyle name="Плохой 78" xfId="60342" xr:uid="{00000000-0005-0000-0000-00002EEC0000}"/>
    <cellStyle name="Плохой 79" xfId="60343" xr:uid="{00000000-0005-0000-0000-00002FEC0000}"/>
    <cellStyle name="Плохой 8" xfId="60344" xr:uid="{00000000-0005-0000-0000-000030EC0000}"/>
    <cellStyle name="Плохой 80" xfId="60345" xr:uid="{00000000-0005-0000-0000-000031EC0000}"/>
    <cellStyle name="Плохой 81" xfId="60346" xr:uid="{00000000-0005-0000-0000-000032EC0000}"/>
    <cellStyle name="Плохой 82" xfId="60347" xr:uid="{00000000-0005-0000-0000-000033EC0000}"/>
    <cellStyle name="Плохой 83" xfId="60348" xr:uid="{00000000-0005-0000-0000-000034EC0000}"/>
    <cellStyle name="Плохой 84" xfId="60349" xr:uid="{00000000-0005-0000-0000-000035EC0000}"/>
    <cellStyle name="Плохой 85" xfId="60350" xr:uid="{00000000-0005-0000-0000-000036EC0000}"/>
    <cellStyle name="Плохой 86" xfId="60351" xr:uid="{00000000-0005-0000-0000-000037EC0000}"/>
    <cellStyle name="Плохой 87" xfId="60352" xr:uid="{00000000-0005-0000-0000-000038EC0000}"/>
    <cellStyle name="Плохой 88" xfId="60353" xr:uid="{00000000-0005-0000-0000-000039EC0000}"/>
    <cellStyle name="Плохой 89" xfId="60354" xr:uid="{00000000-0005-0000-0000-00003AEC0000}"/>
    <cellStyle name="Плохой 9" xfId="60355" xr:uid="{00000000-0005-0000-0000-00003BEC0000}"/>
    <cellStyle name="Плохой 90" xfId="60356" xr:uid="{00000000-0005-0000-0000-00003CEC0000}"/>
    <cellStyle name="Плохой 91" xfId="60357" xr:uid="{00000000-0005-0000-0000-00003DEC0000}"/>
    <cellStyle name="Плохой 92" xfId="60358" xr:uid="{00000000-0005-0000-0000-00003EEC0000}"/>
    <cellStyle name="Плохой 93" xfId="60359" xr:uid="{00000000-0005-0000-0000-00003FEC0000}"/>
    <cellStyle name="Плохой 94" xfId="60360" xr:uid="{00000000-0005-0000-0000-000040EC0000}"/>
    <cellStyle name="Плохой 95" xfId="60361" xr:uid="{00000000-0005-0000-0000-000041EC0000}"/>
    <cellStyle name="Плохой 96" xfId="60362" xr:uid="{00000000-0005-0000-0000-000042EC0000}"/>
    <cellStyle name="Плохой 97" xfId="60363" xr:uid="{00000000-0005-0000-0000-000043EC0000}"/>
    <cellStyle name="Плохой 98" xfId="60364" xr:uid="{00000000-0005-0000-0000-000044EC0000}"/>
    <cellStyle name="Плохой 99" xfId="60365" xr:uid="{00000000-0005-0000-0000-000045EC0000}"/>
    <cellStyle name="Пояснение 10" xfId="60366" xr:uid="{00000000-0005-0000-0000-000046EC0000}"/>
    <cellStyle name="Пояснение 100" xfId="60367" xr:uid="{00000000-0005-0000-0000-000047EC0000}"/>
    <cellStyle name="Пояснение 101" xfId="60368" xr:uid="{00000000-0005-0000-0000-000048EC0000}"/>
    <cellStyle name="Пояснение 102" xfId="60369" xr:uid="{00000000-0005-0000-0000-000049EC0000}"/>
    <cellStyle name="Пояснение 103" xfId="60370" xr:uid="{00000000-0005-0000-0000-00004AEC0000}"/>
    <cellStyle name="Пояснение 104" xfId="60371" xr:uid="{00000000-0005-0000-0000-00004BEC0000}"/>
    <cellStyle name="Пояснение 105" xfId="60372" xr:uid="{00000000-0005-0000-0000-00004CEC0000}"/>
    <cellStyle name="Пояснение 106" xfId="60373" xr:uid="{00000000-0005-0000-0000-00004DEC0000}"/>
    <cellStyle name="Пояснение 107" xfId="60374" xr:uid="{00000000-0005-0000-0000-00004EEC0000}"/>
    <cellStyle name="Пояснение 108" xfId="60375" xr:uid="{00000000-0005-0000-0000-00004FEC0000}"/>
    <cellStyle name="Пояснение 109" xfId="60376" xr:uid="{00000000-0005-0000-0000-000050EC0000}"/>
    <cellStyle name="Пояснение 11" xfId="60377" xr:uid="{00000000-0005-0000-0000-000051EC0000}"/>
    <cellStyle name="Пояснение 110" xfId="60378" xr:uid="{00000000-0005-0000-0000-000052EC0000}"/>
    <cellStyle name="Пояснение 111" xfId="60379" xr:uid="{00000000-0005-0000-0000-000053EC0000}"/>
    <cellStyle name="Пояснение 112" xfId="60380" xr:uid="{00000000-0005-0000-0000-000054EC0000}"/>
    <cellStyle name="Пояснение 113" xfId="60381" xr:uid="{00000000-0005-0000-0000-000055EC0000}"/>
    <cellStyle name="Пояснение 114" xfId="60382" xr:uid="{00000000-0005-0000-0000-000056EC0000}"/>
    <cellStyle name="Пояснение 115" xfId="60383" xr:uid="{00000000-0005-0000-0000-000057EC0000}"/>
    <cellStyle name="Пояснение 116" xfId="60384" xr:uid="{00000000-0005-0000-0000-000058EC0000}"/>
    <cellStyle name="Пояснение 117" xfId="60385" xr:uid="{00000000-0005-0000-0000-000059EC0000}"/>
    <cellStyle name="Пояснение 118" xfId="60386" xr:uid="{00000000-0005-0000-0000-00005AEC0000}"/>
    <cellStyle name="Пояснение 119" xfId="60387" xr:uid="{00000000-0005-0000-0000-00005BEC0000}"/>
    <cellStyle name="Пояснение 12" xfId="60388" xr:uid="{00000000-0005-0000-0000-00005CEC0000}"/>
    <cellStyle name="Пояснение 120" xfId="60389" xr:uid="{00000000-0005-0000-0000-00005DEC0000}"/>
    <cellStyle name="Пояснение 121" xfId="60390" xr:uid="{00000000-0005-0000-0000-00005EEC0000}"/>
    <cellStyle name="Пояснение 122" xfId="60391" xr:uid="{00000000-0005-0000-0000-00005FEC0000}"/>
    <cellStyle name="Пояснение 123" xfId="60392" xr:uid="{00000000-0005-0000-0000-000060EC0000}"/>
    <cellStyle name="Пояснение 124" xfId="60393" xr:uid="{00000000-0005-0000-0000-000061EC0000}"/>
    <cellStyle name="Пояснение 125" xfId="60394" xr:uid="{00000000-0005-0000-0000-000062EC0000}"/>
    <cellStyle name="Пояснение 126" xfId="60395" xr:uid="{00000000-0005-0000-0000-000063EC0000}"/>
    <cellStyle name="Пояснение 127" xfId="60396" xr:uid="{00000000-0005-0000-0000-000064EC0000}"/>
    <cellStyle name="Пояснение 128" xfId="60397" xr:uid="{00000000-0005-0000-0000-000065EC0000}"/>
    <cellStyle name="Пояснение 129" xfId="60398" xr:uid="{00000000-0005-0000-0000-000066EC0000}"/>
    <cellStyle name="Пояснение 13" xfId="60399" xr:uid="{00000000-0005-0000-0000-000067EC0000}"/>
    <cellStyle name="Пояснение 130" xfId="60400" xr:uid="{00000000-0005-0000-0000-000068EC0000}"/>
    <cellStyle name="Пояснение 131" xfId="60401" xr:uid="{00000000-0005-0000-0000-000069EC0000}"/>
    <cellStyle name="Пояснение 132" xfId="60402" xr:uid="{00000000-0005-0000-0000-00006AEC0000}"/>
    <cellStyle name="Пояснение 133" xfId="60403" xr:uid="{00000000-0005-0000-0000-00006BEC0000}"/>
    <cellStyle name="Пояснение 134" xfId="60404" xr:uid="{00000000-0005-0000-0000-00006CEC0000}"/>
    <cellStyle name="Пояснение 135" xfId="60405" xr:uid="{00000000-0005-0000-0000-00006DEC0000}"/>
    <cellStyle name="Пояснение 136" xfId="60406" xr:uid="{00000000-0005-0000-0000-00006EEC0000}"/>
    <cellStyle name="Пояснение 137" xfId="60407" xr:uid="{00000000-0005-0000-0000-00006FEC0000}"/>
    <cellStyle name="Пояснение 138" xfId="60408" xr:uid="{00000000-0005-0000-0000-000070EC0000}"/>
    <cellStyle name="Пояснение 139" xfId="60409" xr:uid="{00000000-0005-0000-0000-000071EC0000}"/>
    <cellStyle name="Пояснение 14" xfId="60410" xr:uid="{00000000-0005-0000-0000-000072EC0000}"/>
    <cellStyle name="Пояснение 140" xfId="60411" xr:uid="{00000000-0005-0000-0000-000073EC0000}"/>
    <cellStyle name="Пояснение 141" xfId="60412" xr:uid="{00000000-0005-0000-0000-000074EC0000}"/>
    <cellStyle name="Пояснение 142" xfId="60413" xr:uid="{00000000-0005-0000-0000-000075EC0000}"/>
    <cellStyle name="Пояснение 143" xfId="60414" xr:uid="{00000000-0005-0000-0000-000076EC0000}"/>
    <cellStyle name="Пояснение 144" xfId="60415" xr:uid="{00000000-0005-0000-0000-000077EC0000}"/>
    <cellStyle name="Пояснение 145" xfId="60416" xr:uid="{00000000-0005-0000-0000-000078EC0000}"/>
    <cellStyle name="Пояснение 146" xfId="60417" xr:uid="{00000000-0005-0000-0000-000079EC0000}"/>
    <cellStyle name="Пояснение 147" xfId="60418" xr:uid="{00000000-0005-0000-0000-00007AEC0000}"/>
    <cellStyle name="Пояснение 148" xfId="60419" xr:uid="{00000000-0005-0000-0000-00007BEC0000}"/>
    <cellStyle name="Пояснение 149" xfId="60420" xr:uid="{00000000-0005-0000-0000-00007CEC0000}"/>
    <cellStyle name="Пояснение 15" xfId="60421" xr:uid="{00000000-0005-0000-0000-00007DEC0000}"/>
    <cellStyle name="Пояснение 150" xfId="60422" xr:uid="{00000000-0005-0000-0000-00007EEC0000}"/>
    <cellStyle name="Пояснение 151" xfId="60423" xr:uid="{00000000-0005-0000-0000-00007FEC0000}"/>
    <cellStyle name="Пояснение 152" xfId="60424" xr:uid="{00000000-0005-0000-0000-000080EC0000}"/>
    <cellStyle name="Пояснение 153" xfId="60425" xr:uid="{00000000-0005-0000-0000-000081EC0000}"/>
    <cellStyle name="Пояснение 16" xfId="60426" xr:uid="{00000000-0005-0000-0000-000082EC0000}"/>
    <cellStyle name="Пояснение 17" xfId="60427" xr:uid="{00000000-0005-0000-0000-000083EC0000}"/>
    <cellStyle name="Пояснение 18" xfId="60428" xr:uid="{00000000-0005-0000-0000-000084EC0000}"/>
    <cellStyle name="Пояснение 19" xfId="60429" xr:uid="{00000000-0005-0000-0000-000085EC0000}"/>
    <cellStyle name="Пояснение 2" xfId="60430" xr:uid="{00000000-0005-0000-0000-000086EC0000}"/>
    <cellStyle name="Пояснение 2 2" xfId="60431" xr:uid="{00000000-0005-0000-0000-000087EC0000}"/>
    <cellStyle name="Пояснение 2 2 10" xfId="60432" xr:uid="{00000000-0005-0000-0000-000088EC0000}"/>
    <cellStyle name="Пояснение 2 2 11" xfId="60433" xr:uid="{00000000-0005-0000-0000-000089EC0000}"/>
    <cellStyle name="Пояснение 2 2 12" xfId="60434" xr:uid="{00000000-0005-0000-0000-00008AEC0000}"/>
    <cellStyle name="Пояснение 2 2 13" xfId="60435" xr:uid="{00000000-0005-0000-0000-00008BEC0000}"/>
    <cellStyle name="Пояснение 2 2 2" xfId="60436" xr:uid="{00000000-0005-0000-0000-00008CEC0000}"/>
    <cellStyle name="Пояснение 2 2 3" xfId="60437" xr:uid="{00000000-0005-0000-0000-00008DEC0000}"/>
    <cellStyle name="Пояснение 2 2 4" xfId="60438" xr:uid="{00000000-0005-0000-0000-00008EEC0000}"/>
    <cellStyle name="Пояснение 2 2 5" xfId="60439" xr:uid="{00000000-0005-0000-0000-00008FEC0000}"/>
    <cellStyle name="Пояснение 2 2 6" xfId="60440" xr:uid="{00000000-0005-0000-0000-000090EC0000}"/>
    <cellStyle name="Пояснение 2 2 7" xfId="60441" xr:uid="{00000000-0005-0000-0000-000091EC0000}"/>
    <cellStyle name="Пояснение 2 2 8" xfId="60442" xr:uid="{00000000-0005-0000-0000-000092EC0000}"/>
    <cellStyle name="Пояснение 2 2 9" xfId="60443" xr:uid="{00000000-0005-0000-0000-000093EC0000}"/>
    <cellStyle name="Пояснение 2 3" xfId="60444" xr:uid="{00000000-0005-0000-0000-000094EC0000}"/>
    <cellStyle name="Пояснение 20" xfId="60445" xr:uid="{00000000-0005-0000-0000-000095EC0000}"/>
    <cellStyle name="Пояснение 21" xfId="60446" xr:uid="{00000000-0005-0000-0000-000096EC0000}"/>
    <cellStyle name="Пояснение 22" xfId="60447" xr:uid="{00000000-0005-0000-0000-000097EC0000}"/>
    <cellStyle name="Пояснение 23" xfId="60448" xr:uid="{00000000-0005-0000-0000-000098EC0000}"/>
    <cellStyle name="Пояснение 24" xfId="60449" xr:uid="{00000000-0005-0000-0000-000099EC0000}"/>
    <cellStyle name="Пояснение 25" xfId="60450" xr:uid="{00000000-0005-0000-0000-00009AEC0000}"/>
    <cellStyle name="Пояснение 26" xfId="60451" xr:uid="{00000000-0005-0000-0000-00009BEC0000}"/>
    <cellStyle name="Пояснение 27" xfId="60452" xr:uid="{00000000-0005-0000-0000-00009CEC0000}"/>
    <cellStyle name="Пояснение 28" xfId="60453" xr:uid="{00000000-0005-0000-0000-00009DEC0000}"/>
    <cellStyle name="Пояснение 29" xfId="60454" xr:uid="{00000000-0005-0000-0000-00009EEC0000}"/>
    <cellStyle name="Пояснение 3" xfId="60455" xr:uid="{00000000-0005-0000-0000-00009FEC0000}"/>
    <cellStyle name="Пояснение 30" xfId="60456" xr:uid="{00000000-0005-0000-0000-0000A0EC0000}"/>
    <cellStyle name="Пояснение 31" xfId="60457" xr:uid="{00000000-0005-0000-0000-0000A1EC0000}"/>
    <cellStyle name="Пояснение 32" xfId="60458" xr:uid="{00000000-0005-0000-0000-0000A2EC0000}"/>
    <cellStyle name="Пояснение 33" xfId="60459" xr:uid="{00000000-0005-0000-0000-0000A3EC0000}"/>
    <cellStyle name="Пояснение 34" xfId="60460" xr:uid="{00000000-0005-0000-0000-0000A4EC0000}"/>
    <cellStyle name="Пояснение 35" xfId="60461" xr:uid="{00000000-0005-0000-0000-0000A5EC0000}"/>
    <cellStyle name="Пояснение 36" xfId="60462" xr:uid="{00000000-0005-0000-0000-0000A6EC0000}"/>
    <cellStyle name="Пояснение 37" xfId="60463" xr:uid="{00000000-0005-0000-0000-0000A7EC0000}"/>
    <cellStyle name="Пояснение 38" xfId="60464" xr:uid="{00000000-0005-0000-0000-0000A8EC0000}"/>
    <cellStyle name="Пояснение 39" xfId="60465" xr:uid="{00000000-0005-0000-0000-0000A9EC0000}"/>
    <cellStyle name="Пояснение 4" xfId="60466" xr:uid="{00000000-0005-0000-0000-0000AAEC0000}"/>
    <cellStyle name="Пояснение 40" xfId="60467" xr:uid="{00000000-0005-0000-0000-0000ABEC0000}"/>
    <cellStyle name="Пояснение 41" xfId="60468" xr:uid="{00000000-0005-0000-0000-0000ACEC0000}"/>
    <cellStyle name="Пояснение 42" xfId="60469" xr:uid="{00000000-0005-0000-0000-0000ADEC0000}"/>
    <cellStyle name="Пояснение 43" xfId="60470" xr:uid="{00000000-0005-0000-0000-0000AEEC0000}"/>
    <cellStyle name="Пояснение 44" xfId="60471" xr:uid="{00000000-0005-0000-0000-0000AFEC0000}"/>
    <cellStyle name="Пояснение 45" xfId="60472" xr:uid="{00000000-0005-0000-0000-0000B0EC0000}"/>
    <cellStyle name="Пояснение 46" xfId="60473" xr:uid="{00000000-0005-0000-0000-0000B1EC0000}"/>
    <cellStyle name="Пояснение 47" xfId="60474" xr:uid="{00000000-0005-0000-0000-0000B2EC0000}"/>
    <cellStyle name="Пояснение 48" xfId="60475" xr:uid="{00000000-0005-0000-0000-0000B3EC0000}"/>
    <cellStyle name="Пояснение 49" xfId="60476" xr:uid="{00000000-0005-0000-0000-0000B4EC0000}"/>
    <cellStyle name="Пояснение 5" xfId="60477" xr:uid="{00000000-0005-0000-0000-0000B5EC0000}"/>
    <cellStyle name="Пояснение 50" xfId="60478" xr:uid="{00000000-0005-0000-0000-0000B6EC0000}"/>
    <cellStyle name="Пояснение 51" xfId="60479" xr:uid="{00000000-0005-0000-0000-0000B7EC0000}"/>
    <cellStyle name="Пояснение 52" xfId="60480" xr:uid="{00000000-0005-0000-0000-0000B8EC0000}"/>
    <cellStyle name="Пояснение 53" xfId="60481" xr:uid="{00000000-0005-0000-0000-0000B9EC0000}"/>
    <cellStyle name="Пояснение 54" xfId="60482" xr:uid="{00000000-0005-0000-0000-0000BAEC0000}"/>
    <cellStyle name="Пояснение 55" xfId="60483" xr:uid="{00000000-0005-0000-0000-0000BBEC0000}"/>
    <cellStyle name="Пояснение 56" xfId="60484" xr:uid="{00000000-0005-0000-0000-0000BCEC0000}"/>
    <cellStyle name="Пояснение 57" xfId="60485" xr:uid="{00000000-0005-0000-0000-0000BDEC0000}"/>
    <cellStyle name="Пояснение 58" xfId="60486" xr:uid="{00000000-0005-0000-0000-0000BEEC0000}"/>
    <cellStyle name="Пояснение 59" xfId="60487" xr:uid="{00000000-0005-0000-0000-0000BFEC0000}"/>
    <cellStyle name="Пояснение 6" xfId="60488" xr:uid="{00000000-0005-0000-0000-0000C0EC0000}"/>
    <cellStyle name="Пояснение 60" xfId="60489" xr:uid="{00000000-0005-0000-0000-0000C1EC0000}"/>
    <cellStyle name="Пояснение 61" xfId="60490" xr:uid="{00000000-0005-0000-0000-0000C2EC0000}"/>
    <cellStyle name="Пояснение 62" xfId="60491" xr:uid="{00000000-0005-0000-0000-0000C3EC0000}"/>
    <cellStyle name="Пояснение 63" xfId="60492" xr:uid="{00000000-0005-0000-0000-0000C4EC0000}"/>
    <cellStyle name="Пояснение 64" xfId="60493" xr:uid="{00000000-0005-0000-0000-0000C5EC0000}"/>
    <cellStyle name="Пояснение 65" xfId="60494" xr:uid="{00000000-0005-0000-0000-0000C6EC0000}"/>
    <cellStyle name="Пояснение 66" xfId="60495" xr:uid="{00000000-0005-0000-0000-0000C7EC0000}"/>
    <cellStyle name="Пояснение 67" xfId="60496" xr:uid="{00000000-0005-0000-0000-0000C8EC0000}"/>
    <cellStyle name="Пояснение 68" xfId="60497" xr:uid="{00000000-0005-0000-0000-0000C9EC0000}"/>
    <cellStyle name="Пояснение 69" xfId="60498" xr:uid="{00000000-0005-0000-0000-0000CAEC0000}"/>
    <cellStyle name="Пояснение 7" xfId="60499" xr:uid="{00000000-0005-0000-0000-0000CBEC0000}"/>
    <cellStyle name="Пояснение 70" xfId="60500" xr:uid="{00000000-0005-0000-0000-0000CCEC0000}"/>
    <cellStyle name="Пояснение 71" xfId="60501" xr:uid="{00000000-0005-0000-0000-0000CDEC0000}"/>
    <cellStyle name="Пояснение 72" xfId="60502" xr:uid="{00000000-0005-0000-0000-0000CEEC0000}"/>
    <cellStyle name="Пояснение 73" xfId="60503" xr:uid="{00000000-0005-0000-0000-0000CFEC0000}"/>
    <cellStyle name="Пояснение 74" xfId="60504" xr:uid="{00000000-0005-0000-0000-0000D0EC0000}"/>
    <cellStyle name="Пояснение 75" xfId="60505" xr:uid="{00000000-0005-0000-0000-0000D1EC0000}"/>
    <cellStyle name="Пояснение 76" xfId="60506" xr:uid="{00000000-0005-0000-0000-0000D2EC0000}"/>
    <cellStyle name="Пояснение 77" xfId="60507" xr:uid="{00000000-0005-0000-0000-0000D3EC0000}"/>
    <cellStyle name="Пояснение 78" xfId="60508" xr:uid="{00000000-0005-0000-0000-0000D4EC0000}"/>
    <cellStyle name="Пояснение 79" xfId="60509" xr:uid="{00000000-0005-0000-0000-0000D5EC0000}"/>
    <cellStyle name="Пояснение 8" xfId="60510" xr:uid="{00000000-0005-0000-0000-0000D6EC0000}"/>
    <cellStyle name="Пояснение 80" xfId="60511" xr:uid="{00000000-0005-0000-0000-0000D7EC0000}"/>
    <cellStyle name="Пояснение 81" xfId="60512" xr:uid="{00000000-0005-0000-0000-0000D8EC0000}"/>
    <cellStyle name="Пояснение 82" xfId="60513" xr:uid="{00000000-0005-0000-0000-0000D9EC0000}"/>
    <cellStyle name="Пояснение 83" xfId="60514" xr:uid="{00000000-0005-0000-0000-0000DAEC0000}"/>
    <cellStyle name="Пояснение 84" xfId="60515" xr:uid="{00000000-0005-0000-0000-0000DBEC0000}"/>
    <cellStyle name="Пояснение 85" xfId="60516" xr:uid="{00000000-0005-0000-0000-0000DCEC0000}"/>
    <cellStyle name="Пояснение 86" xfId="60517" xr:uid="{00000000-0005-0000-0000-0000DDEC0000}"/>
    <cellStyle name="Пояснение 87" xfId="60518" xr:uid="{00000000-0005-0000-0000-0000DEEC0000}"/>
    <cellStyle name="Пояснение 88" xfId="60519" xr:uid="{00000000-0005-0000-0000-0000DFEC0000}"/>
    <cellStyle name="Пояснение 89" xfId="60520" xr:uid="{00000000-0005-0000-0000-0000E0EC0000}"/>
    <cellStyle name="Пояснение 9" xfId="60521" xr:uid="{00000000-0005-0000-0000-0000E1EC0000}"/>
    <cellStyle name="Пояснение 90" xfId="60522" xr:uid="{00000000-0005-0000-0000-0000E2EC0000}"/>
    <cellStyle name="Пояснение 91" xfId="60523" xr:uid="{00000000-0005-0000-0000-0000E3EC0000}"/>
    <cellStyle name="Пояснение 92" xfId="60524" xr:uid="{00000000-0005-0000-0000-0000E4EC0000}"/>
    <cellStyle name="Пояснение 93" xfId="60525" xr:uid="{00000000-0005-0000-0000-0000E5EC0000}"/>
    <cellStyle name="Пояснение 94" xfId="60526" xr:uid="{00000000-0005-0000-0000-0000E6EC0000}"/>
    <cellStyle name="Пояснение 95" xfId="60527" xr:uid="{00000000-0005-0000-0000-0000E7EC0000}"/>
    <cellStyle name="Пояснение 96" xfId="60528" xr:uid="{00000000-0005-0000-0000-0000E8EC0000}"/>
    <cellStyle name="Пояснение 97" xfId="60529" xr:uid="{00000000-0005-0000-0000-0000E9EC0000}"/>
    <cellStyle name="Пояснение 98" xfId="60530" xr:uid="{00000000-0005-0000-0000-0000EAEC0000}"/>
    <cellStyle name="Пояснение 99" xfId="60531" xr:uid="{00000000-0005-0000-0000-0000EBEC0000}"/>
    <cellStyle name="Примечание 10" xfId="60532" xr:uid="{00000000-0005-0000-0000-0000ECEC0000}"/>
    <cellStyle name="Примечание 10 2" xfId="60533" xr:uid="{00000000-0005-0000-0000-0000EDEC0000}"/>
    <cellStyle name="Примечание 10 3" xfId="60534" xr:uid="{00000000-0005-0000-0000-0000EEEC0000}"/>
    <cellStyle name="Примечание 100" xfId="60535" xr:uid="{00000000-0005-0000-0000-0000EFEC0000}"/>
    <cellStyle name="Примечание 101" xfId="60536" xr:uid="{00000000-0005-0000-0000-0000F0EC0000}"/>
    <cellStyle name="Примечание 102" xfId="60537" xr:uid="{00000000-0005-0000-0000-0000F1EC0000}"/>
    <cellStyle name="Примечание 103" xfId="60538" xr:uid="{00000000-0005-0000-0000-0000F2EC0000}"/>
    <cellStyle name="Примечание 104" xfId="60539" xr:uid="{00000000-0005-0000-0000-0000F3EC0000}"/>
    <cellStyle name="Примечание 105" xfId="60540" xr:uid="{00000000-0005-0000-0000-0000F4EC0000}"/>
    <cellStyle name="Примечание 106" xfId="60541" xr:uid="{00000000-0005-0000-0000-0000F5EC0000}"/>
    <cellStyle name="Примечание 107" xfId="60542" xr:uid="{00000000-0005-0000-0000-0000F6EC0000}"/>
    <cellStyle name="Примечание 108" xfId="60543" xr:uid="{00000000-0005-0000-0000-0000F7EC0000}"/>
    <cellStyle name="Примечание 109" xfId="60544" xr:uid="{00000000-0005-0000-0000-0000F8EC0000}"/>
    <cellStyle name="Примечание 11" xfId="60545" xr:uid="{00000000-0005-0000-0000-0000F9EC0000}"/>
    <cellStyle name="Примечание 11 2" xfId="60546" xr:uid="{00000000-0005-0000-0000-0000FAEC0000}"/>
    <cellStyle name="Примечание 11 3" xfId="60547" xr:uid="{00000000-0005-0000-0000-0000FBEC0000}"/>
    <cellStyle name="Примечание 110" xfId="60548" xr:uid="{00000000-0005-0000-0000-0000FCEC0000}"/>
    <cellStyle name="Примечание 111" xfId="60549" xr:uid="{00000000-0005-0000-0000-0000FDEC0000}"/>
    <cellStyle name="Примечание 112" xfId="60550" xr:uid="{00000000-0005-0000-0000-0000FEEC0000}"/>
    <cellStyle name="Примечание 113" xfId="60551" xr:uid="{00000000-0005-0000-0000-0000FFEC0000}"/>
    <cellStyle name="Примечание 114" xfId="60552" xr:uid="{00000000-0005-0000-0000-000000ED0000}"/>
    <cellStyle name="Примечание 115" xfId="60553" xr:uid="{00000000-0005-0000-0000-000001ED0000}"/>
    <cellStyle name="Примечание 116" xfId="60554" xr:uid="{00000000-0005-0000-0000-000002ED0000}"/>
    <cellStyle name="Примечание 117" xfId="60555" xr:uid="{00000000-0005-0000-0000-000003ED0000}"/>
    <cellStyle name="Примечание 118" xfId="60556" xr:uid="{00000000-0005-0000-0000-000004ED0000}"/>
    <cellStyle name="Примечание 119" xfId="60557" xr:uid="{00000000-0005-0000-0000-000005ED0000}"/>
    <cellStyle name="Примечание 12" xfId="60558" xr:uid="{00000000-0005-0000-0000-000006ED0000}"/>
    <cellStyle name="Примечание 12 2" xfId="60559" xr:uid="{00000000-0005-0000-0000-000007ED0000}"/>
    <cellStyle name="Примечание 12 3" xfId="60560" xr:uid="{00000000-0005-0000-0000-000008ED0000}"/>
    <cellStyle name="Примечание 120" xfId="60561" xr:uid="{00000000-0005-0000-0000-000009ED0000}"/>
    <cellStyle name="Примечание 121" xfId="60562" xr:uid="{00000000-0005-0000-0000-00000AED0000}"/>
    <cellStyle name="Примечание 122" xfId="60563" xr:uid="{00000000-0005-0000-0000-00000BED0000}"/>
    <cellStyle name="Примечание 123" xfId="60564" xr:uid="{00000000-0005-0000-0000-00000CED0000}"/>
    <cellStyle name="Примечание 124" xfId="60565" xr:uid="{00000000-0005-0000-0000-00000DED0000}"/>
    <cellStyle name="Примечание 125" xfId="60566" xr:uid="{00000000-0005-0000-0000-00000EED0000}"/>
    <cellStyle name="Примечание 126" xfId="60567" xr:uid="{00000000-0005-0000-0000-00000FED0000}"/>
    <cellStyle name="Примечание 127" xfId="60568" xr:uid="{00000000-0005-0000-0000-000010ED0000}"/>
    <cellStyle name="Примечание 128" xfId="60569" xr:uid="{00000000-0005-0000-0000-000011ED0000}"/>
    <cellStyle name="Примечание 129" xfId="60570" xr:uid="{00000000-0005-0000-0000-000012ED0000}"/>
    <cellStyle name="Примечание 13" xfId="60571" xr:uid="{00000000-0005-0000-0000-000013ED0000}"/>
    <cellStyle name="Примечание 13 2" xfId="60572" xr:uid="{00000000-0005-0000-0000-000014ED0000}"/>
    <cellStyle name="Примечание 13 3" xfId="60573" xr:uid="{00000000-0005-0000-0000-000015ED0000}"/>
    <cellStyle name="Примечание 130" xfId="60574" xr:uid="{00000000-0005-0000-0000-000016ED0000}"/>
    <cellStyle name="Примечание 131" xfId="60575" xr:uid="{00000000-0005-0000-0000-000017ED0000}"/>
    <cellStyle name="Примечание 132" xfId="60576" xr:uid="{00000000-0005-0000-0000-000018ED0000}"/>
    <cellStyle name="Примечание 133" xfId="60577" xr:uid="{00000000-0005-0000-0000-000019ED0000}"/>
    <cellStyle name="Примечание 134" xfId="60578" xr:uid="{00000000-0005-0000-0000-00001AED0000}"/>
    <cellStyle name="Примечание 135" xfId="60579" xr:uid="{00000000-0005-0000-0000-00001BED0000}"/>
    <cellStyle name="Примечание 136" xfId="60580" xr:uid="{00000000-0005-0000-0000-00001CED0000}"/>
    <cellStyle name="Примечание 137" xfId="60581" xr:uid="{00000000-0005-0000-0000-00001DED0000}"/>
    <cellStyle name="Примечание 138" xfId="60582" xr:uid="{00000000-0005-0000-0000-00001EED0000}"/>
    <cellStyle name="Примечание 139" xfId="60583" xr:uid="{00000000-0005-0000-0000-00001FED0000}"/>
    <cellStyle name="Примечание 14" xfId="60584" xr:uid="{00000000-0005-0000-0000-000020ED0000}"/>
    <cellStyle name="Примечание 140" xfId="60585" xr:uid="{00000000-0005-0000-0000-000021ED0000}"/>
    <cellStyle name="Примечание 141" xfId="60586" xr:uid="{00000000-0005-0000-0000-000022ED0000}"/>
    <cellStyle name="Примечание 142" xfId="60587" xr:uid="{00000000-0005-0000-0000-000023ED0000}"/>
    <cellStyle name="Примечание 143" xfId="60588" xr:uid="{00000000-0005-0000-0000-000024ED0000}"/>
    <cellStyle name="Примечание 144" xfId="60589" xr:uid="{00000000-0005-0000-0000-000025ED0000}"/>
    <cellStyle name="Примечание 145" xfId="60590" xr:uid="{00000000-0005-0000-0000-000026ED0000}"/>
    <cellStyle name="Примечание 146" xfId="60591" xr:uid="{00000000-0005-0000-0000-000027ED0000}"/>
    <cellStyle name="Примечание 147" xfId="60592" xr:uid="{00000000-0005-0000-0000-000028ED0000}"/>
    <cellStyle name="Примечание 148" xfId="60593" xr:uid="{00000000-0005-0000-0000-000029ED0000}"/>
    <cellStyle name="Примечание 149" xfId="60594" xr:uid="{00000000-0005-0000-0000-00002AED0000}"/>
    <cellStyle name="Примечание 15" xfId="60595" xr:uid="{00000000-0005-0000-0000-00002BED0000}"/>
    <cellStyle name="Примечание 150" xfId="60596" xr:uid="{00000000-0005-0000-0000-00002CED0000}"/>
    <cellStyle name="Примечание 151" xfId="60597" xr:uid="{00000000-0005-0000-0000-00002DED0000}"/>
    <cellStyle name="Примечание 152" xfId="60598" xr:uid="{00000000-0005-0000-0000-00002EED0000}"/>
    <cellStyle name="Примечание 153" xfId="60599" xr:uid="{00000000-0005-0000-0000-00002FED0000}"/>
    <cellStyle name="Примечание 154" xfId="60600" xr:uid="{00000000-0005-0000-0000-000030ED0000}"/>
    <cellStyle name="Примечание 155" xfId="60601" xr:uid="{00000000-0005-0000-0000-000031ED0000}"/>
    <cellStyle name="Примечание 156" xfId="60602" xr:uid="{00000000-0005-0000-0000-000032ED0000}"/>
    <cellStyle name="Примечание 157" xfId="60603" xr:uid="{00000000-0005-0000-0000-000033ED0000}"/>
    <cellStyle name="Примечание 158" xfId="60604" xr:uid="{00000000-0005-0000-0000-000034ED0000}"/>
    <cellStyle name="Примечание 159" xfId="60605" xr:uid="{00000000-0005-0000-0000-000035ED0000}"/>
    <cellStyle name="Примечание 16" xfId="60606" xr:uid="{00000000-0005-0000-0000-000036ED0000}"/>
    <cellStyle name="Примечание 160" xfId="60607" xr:uid="{00000000-0005-0000-0000-000037ED0000}"/>
    <cellStyle name="Примечание 161" xfId="60608" xr:uid="{00000000-0005-0000-0000-000038ED0000}"/>
    <cellStyle name="Примечание 162" xfId="60609" xr:uid="{00000000-0005-0000-0000-000039ED0000}"/>
    <cellStyle name="Примечание 163" xfId="60610" xr:uid="{00000000-0005-0000-0000-00003AED0000}"/>
    <cellStyle name="Примечание 164" xfId="60611" xr:uid="{00000000-0005-0000-0000-00003BED0000}"/>
    <cellStyle name="Примечание 17" xfId="60612" xr:uid="{00000000-0005-0000-0000-00003CED0000}"/>
    <cellStyle name="Примечание 18" xfId="60613" xr:uid="{00000000-0005-0000-0000-00003DED0000}"/>
    <cellStyle name="Примечание 19" xfId="60614" xr:uid="{00000000-0005-0000-0000-00003EED0000}"/>
    <cellStyle name="Примечание 2" xfId="60615" xr:uid="{00000000-0005-0000-0000-00003FED0000}"/>
    <cellStyle name="Примечание 2 2" xfId="60616" xr:uid="{00000000-0005-0000-0000-000040ED0000}"/>
    <cellStyle name="Примечание 2 3" xfId="60617" xr:uid="{00000000-0005-0000-0000-000041ED0000}"/>
    <cellStyle name="Примечание 2 4" xfId="60618" xr:uid="{00000000-0005-0000-0000-000042ED0000}"/>
    <cellStyle name="Примечание 20" xfId="60619" xr:uid="{00000000-0005-0000-0000-000043ED0000}"/>
    <cellStyle name="Примечание 21" xfId="60620" xr:uid="{00000000-0005-0000-0000-000044ED0000}"/>
    <cellStyle name="Примечание 22" xfId="60621" xr:uid="{00000000-0005-0000-0000-000045ED0000}"/>
    <cellStyle name="Примечание 23" xfId="60622" xr:uid="{00000000-0005-0000-0000-000046ED0000}"/>
    <cellStyle name="Примечание 24" xfId="60623" xr:uid="{00000000-0005-0000-0000-000047ED0000}"/>
    <cellStyle name="Примечание 25" xfId="60624" xr:uid="{00000000-0005-0000-0000-000048ED0000}"/>
    <cellStyle name="Примечание 26" xfId="60625" xr:uid="{00000000-0005-0000-0000-000049ED0000}"/>
    <cellStyle name="Примечание 27" xfId="60626" xr:uid="{00000000-0005-0000-0000-00004AED0000}"/>
    <cellStyle name="Примечание 28" xfId="60627" xr:uid="{00000000-0005-0000-0000-00004BED0000}"/>
    <cellStyle name="Примечание 29" xfId="60628" xr:uid="{00000000-0005-0000-0000-00004CED0000}"/>
    <cellStyle name="Примечание 3" xfId="60629" xr:uid="{00000000-0005-0000-0000-00004DED0000}"/>
    <cellStyle name="Примечание 3 2" xfId="60630" xr:uid="{00000000-0005-0000-0000-00004EED0000}"/>
    <cellStyle name="Примечание 3 3" xfId="60631" xr:uid="{00000000-0005-0000-0000-00004FED0000}"/>
    <cellStyle name="Примечание 30" xfId="60632" xr:uid="{00000000-0005-0000-0000-000050ED0000}"/>
    <cellStyle name="Примечание 31" xfId="60633" xr:uid="{00000000-0005-0000-0000-000051ED0000}"/>
    <cellStyle name="Примечание 32" xfId="60634" xr:uid="{00000000-0005-0000-0000-000052ED0000}"/>
    <cellStyle name="Примечание 33" xfId="60635" xr:uid="{00000000-0005-0000-0000-000053ED0000}"/>
    <cellStyle name="Примечание 34" xfId="60636" xr:uid="{00000000-0005-0000-0000-000054ED0000}"/>
    <cellStyle name="Примечание 35" xfId="60637" xr:uid="{00000000-0005-0000-0000-000055ED0000}"/>
    <cellStyle name="Примечание 36" xfId="60638" xr:uid="{00000000-0005-0000-0000-000056ED0000}"/>
    <cellStyle name="Примечание 37" xfId="60639" xr:uid="{00000000-0005-0000-0000-000057ED0000}"/>
    <cellStyle name="Примечание 38" xfId="60640" xr:uid="{00000000-0005-0000-0000-000058ED0000}"/>
    <cellStyle name="Примечание 39" xfId="60641" xr:uid="{00000000-0005-0000-0000-000059ED0000}"/>
    <cellStyle name="Примечание 4" xfId="60642" xr:uid="{00000000-0005-0000-0000-00005AED0000}"/>
    <cellStyle name="Примечание 4 2" xfId="60643" xr:uid="{00000000-0005-0000-0000-00005BED0000}"/>
    <cellStyle name="Примечание 4 3" xfId="60644" xr:uid="{00000000-0005-0000-0000-00005CED0000}"/>
    <cellStyle name="Примечание 40" xfId="60645" xr:uid="{00000000-0005-0000-0000-00005DED0000}"/>
    <cellStyle name="Примечание 41" xfId="60646" xr:uid="{00000000-0005-0000-0000-00005EED0000}"/>
    <cellStyle name="Примечание 42" xfId="60647" xr:uid="{00000000-0005-0000-0000-00005FED0000}"/>
    <cellStyle name="Примечание 43" xfId="60648" xr:uid="{00000000-0005-0000-0000-000060ED0000}"/>
    <cellStyle name="Примечание 44" xfId="60649" xr:uid="{00000000-0005-0000-0000-000061ED0000}"/>
    <cellStyle name="Примечание 45" xfId="60650" xr:uid="{00000000-0005-0000-0000-000062ED0000}"/>
    <cellStyle name="Примечание 46" xfId="60651" xr:uid="{00000000-0005-0000-0000-000063ED0000}"/>
    <cellStyle name="Примечание 47" xfId="60652" xr:uid="{00000000-0005-0000-0000-000064ED0000}"/>
    <cellStyle name="Примечание 48" xfId="60653" xr:uid="{00000000-0005-0000-0000-000065ED0000}"/>
    <cellStyle name="Примечание 49" xfId="60654" xr:uid="{00000000-0005-0000-0000-000066ED0000}"/>
    <cellStyle name="Примечание 5" xfId="60655" xr:uid="{00000000-0005-0000-0000-000067ED0000}"/>
    <cellStyle name="Примечание 5 2" xfId="60656" xr:uid="{00000000-0005-0000-0000-000068ED0000}"/>
    <cellStyle name="Примечание 5 3" xfId="60657" xr:uid="{00000000-0005-0000-0000-000069ED0000}"/>
    <cellStyle name="Примечание 50" xfId="60658" xr:uid="{00000000-0005-0000-0000-00006AED0000}"/>
    <cellStyle name="Примечание 51" xfId="60659" xr:uid="{00000000-0005-0000-0000-00006BED0000}"/>
    <cellStyle name="Примечание 52" xfId="60660" xr:uid="{00000000-0005-0000-0000-00006CED0000}"/>
    <cellStyle name="Примечание 53" xfId="60661" xr:uid="{00000000-0005-0000-0000-00006DED0000}"/>
    <cellStyle name="Примечание 54" xfId="60662" xr:uid="{00000000-0005-0000-0000-00006EED0000}"/>
    <cellStyle name="Примечание 55" xfId="60663" xr:uid="{00000000-0005-0000-0000-00006FED0000}"/>
    <cellStyle name="Примечание 56" xfId="60664" xr:uid="{00000000-0005-0000-0000-000070ED0000}"/>
    <cellStyle name="Примечание 57" xfId="60665" xr:uid="{00000000-0005-0000-0000-000071ED0000}"/>
    <cellStyle name="Примечание 58" xfId="60666" xr:uid="{00000000-0005-0000-0000-000072ED0000}"/>
    <cellStyle name="Примечание 59" xfId="60667" xr:uid="{00000000-0005-0000-0000-000073ED0000}"/>
    <cellStyle name="Примечание 6" xfId="60668" xr:uid="{00000000-0005-0000-0000-000074ED0000}"/>
    <cellStyle name="Примечание 6 2" xfId="60669" xr:uid="{00000000-0005-0000-0000-000075ED0000}"/>
    <cellStyle name="Примечание 6 3" xfId="60670" xr:uid="{00000000-0005-0000-0000-000076ED0000}"/>
    <cellStyle name="Примечание 60" xfId="60671" xr:uid="{00000000-0005-0000-0000-000077ED0000}"/>
    <cellStyle name="Примечание 61" xfId="60672" xr:uid="{00000000-0005-0000-0000-000078ED0000}"/>
    <cellStyle name="Примечание 62" xfId="60673" xr:uid="{00000000-0005-0000-0000-000079ED0000}"/>
    <cellStyle name="Примечание 63" xfId="60674" xr:uid="{00000000-0005-0000-0000-00007AED0000}"/>
    <cellStyle name="Примечание 64" xfId="60675" xr:uid="{00000000-0005-0000-0000-00007BED0000}"/>
    <cellStyle name="Примечание 65" xfId="60676" xr:uid="{00000000-0005-0000-0000-00007CED0000}"/>
    <cellStyle name="Примечание 66" xfId="60677" xr:uid="{00000000-0005-0000-0000-00007DED0000}"/>
    <cellStyle name="Примечание 67" xfId="60678" xr:uid="{00000000-0005-0000-0000-00007EED0000}"/>
    <cellStyle name="Примечание 68" xfId="60679" xr:uid="{00000000-0005-0000-0000-00007FED0000}"/>
    <cellStyle name="Примечание 69" xfId="60680" xr:uid="{00000000-0005-0000-0000-000080ED0000}"/>
    <cellStyle name="Примечание 7" xfId="60681" xr:uid="{00000000-0005-0000-0000-000081ED0000}"/>
    <cellStyle name="Примечание 7 2" xfId="60682" xr:uid="{00000000-0005-0000-0000-000082ED0000}"/>
    <cellStyle name="Примечание 7 3" xfId="60683" xr:uid="{00000000-0005-0000-0000-000083ED0000}"/>
    <cellStyle name="Примечание 70" xfId="60684" xr:uid="{00000000-0005-0000-0000-000084ED0000}"/>
    <cellStyle name="Примечание 71" xfId="60685" xr:uid="{00000000-0005-0000-0000-000085ED0000}"/>
    <cellStyle name="Примечание 72" xfId="60686" xr:uid="{00000000-0005-0000-0000-000086ED0000}"/>
    <cellStyle name="Примечание 73" xfId="60687" xr:uid="{00000000-0005-0000-0000-000087ED0000}"/>
    <cellStyle name="Примечание 74" xfId="60688" xr:uid="{00000000-0005-0000-0000-000088ED0000}"/>
    <cellStyle name="Примечание 75" xfId="60689" xr:uid="{00000000-0005-0000-0000-000089ED0000}"/>
    <cellStyle name="Примечание 76" xfId="60690" xr:uid="{00000000-0005-0000-0000-00008AED0000}"/>
    <cellStyle name="Примечание 77" xfId="60691" xr:uid="{00000000-0005-0000-0000-00008BED0000}"/>
    <cellStyle name="Примечание 78" xfId="60692" xr:uid="{00000000-0005-0000-0000-00008CED0000}"/>
    <cellStyle name="Примечание 79" xfId="60693" xr:uid="{00000000-0005-0000-0000-00008DED0000}"/>
    <cellStyle name="Примечание 8" xfId="60694" xr:uid="{00000000-0005-0000-0000-00008EED0000}"/>
    <cellStyle name="Примечание 8 2" xfId="60695" xr:uid="{00000000-0005-0000-0000-00008FED0000}"/>
    <cellStyle name="Примечание 8 3" xfId="60696" xr:uid="{00000000-0005-0000-0000-000090ED0000}"/>
    <cellStyle name="Примечание 80" xfId="60697" xr:uid="{00000000-0005-0000-0000-000091ED0000}"/>
    <cellStyle name="Примечание 81" xfId="60698" xr:uid="{00000000-0005-0000-0000-000092ED0000}"/>
    <cellStyle name="Примечание 82" xfId="60699" xr:uid="{00000000-0005-0000-0000-000093ED0000}"/>
    <cellStyle name="Примечание 83" xfId="60700" xr:uid="{00000000-0005-0000-0000-000094ED0000}"/>
    <cellStyle name="Примечание 84" xfId="60701" xr:uid="{00000000-0005-0000-0000-000095ED0000}"/>
    <cellStyle name="Примечание 85" xfId="60702" xr:uid="{00000000-0005-0000-0000-000096ED0000}"/>
    <cellStyle name="Примечание 86" xfId="60703" xr:uid="{00000000-0005-0000-0000-000097ED0000}"/>
    <cellStyle name="Примечание 87" xfId="60704" xr:uid="{00000000-0005-0000-0000-000098ED0000}"/>
    <cellStyle name="Примечание 88" xfId="60705" xr:uid="{00000000-0005-0000-0000-000099ED0000}"/>
    <cellStyle name="Примечание 89" xfId="60706" xr:uid="{00000000-0005-0000-0000-00009AED0000}"/>
    <cellStyle name="Примечание 9" xfId="60707" xr:uid="{00000000-0005-0000-0000-00009BED0000}"/>
    <cellStyle name="Примечание 9 2" xfId="60708" xr:uid="{00000000-0005-0000-0000-00009CED0000}"/>
    <cellStyle name="Примечание 9 3" xfId="60709" xr:uid="{00000000-0005-0000-0000-00009DED0000}"/>
    <cellStyle name="Примечание 90" xfId="60710" xr:uid="{00000000-0005-0000-0000-00009EED0000}"/>
    <cellStyle name="Примечание 91" xfId="60711" xr:uid="{00000000-0005-0000-0000-00009FED0000}"/>
    <cellStyle name="Примечание 92" xfId="60712" xr:uid="{00000000-0005-0000-0000-0000A0ED0000}"/>
    <cellStyle name="Примечание 93" xfId="60713" xr:uid="{00000000-0005-0000-0000-0000A1ED0000}"/>
    <cellStyle name="Примечание 94" xfId="60714" xr:uid="{00000000-0005-0000-0000-0000A2ED0000}"/>
    <cellStyle name="Примечание 95" xfId="60715" xr:uid="{00000000-0005-0000-0000-0000A3ED0000}"/>
    <cellStyle name="Примечание 96" xfId="60716" xr:uid="{00000000-0005-0000-0000-0000A4ED0000}"/>
    <cellStyle name="Примечание 97" xfId="60717" xr:uid="{00000000-0005-0000-0000-0000A5ED0000}"/>
    <cellStyle name="Примечание 98" xfId="60718" xr:uid="{00000000-0005-0000-0000-0000A6ED0000}"/>
    <cellStyle name="Примечание 99" xfId="60719" xr:uid="{00000000-0005-0000-0000-0000A7ED0000}"/>
    <cellStyle name="Процентный 10" xfId="60720" xr:uid="{00000000-0005-0000-0000-0000A8ED0000}"/>
    <cellStyle name="Процентный 11" xfId="60721" xr:uid="{00000000-0005-0000-0000-0000A9ED0000}"/>
    <cellStyle name="Процентный 2" xfId="60722" xr:uid="{00000000-0005-0000-0000-0000AAED0000}"/>
    <cellStyle name="Процентный 2 2" xfId="60723" xr:uid="{00000000-0005-0000-0000-0000ABED0000}"/>
    <cellStyle name="Процентный 3" xfId="60724" xr:uid="{00000000-0005-0000-0000-0000ACED0000}"/>
    <cellStyle name="Процентный 4" xfId="60725" xr:uid="{00000000-0005-0000-0000-0000ADED0000}"/>
    <cellStyle name="Процентный 4 2" xfId="60726" xr:uid="{00000000-0005-0000-0000-0000AEED0000}"/>
    <cellStyle name="Процентный 4 2 2" xfId="60727" xr:uid="{00000000-0005-0000-0000-0000AFED0000}"/>
    <cellStyle name="Процентный 4 2 3" xfId="60728" xr:uid="{00000000-0005-0000-0000-0000B0ED0000}"/>
    <cellStyle name="Процентный 4 3" xfId="60729" xr:uid="{00000000-0005-0000-0000-0000B1ED0000}"/>
    <cellStyle name="Процентный 4 3 2" xfId="60730" xr:uid="{00000000-0005-0000-0000-0000B2ED0000}"/>
    <cellStyle name="Процентный 4 4" xfId="60731" xr:uid="{00000000-0005-0000-0000-0000B3ED0000}"/>
    <cellStyle name="Процентный 4 5" xfId="60732" xr:uid="{00000000-0005-0000-0000-0000B4ED0000}"/>
    <cellStyle name="Процентный 5" xfId="60733" xr:uid="{00000000-0005-0000-0000-0000B5ED0000}"/>
    <cellStyle name="Процентный 6" xfId="60734" xr:uid="{00000000-0005-0000-0000-0000B6ED0000}"/>
    <cellStyle name="Процентный 7" xfId="60735" xr:uid="{00000000-0005-0000-0000-0000B7ED0000}"/>
    <cellStyle name="Процентный 8" xfId="60736" xr:uid="{00000000-0005-0000-0000-0000B8ED0000}"/>
    <cellStyle name="Процентный 9" xfId="60737" xr:uid="{00000000-0005-0000-0000-0000B9ED0000}"/>
    <cellStyle name="Связанная ячейка 10" xfId="60738" xr:uid="{00000000-0005-0000-0000-0000BAED0000}"/>
    <cellStyle name="Связанная ячейка 100" xfId="60739" xr:uid="{00000000-0005-0000-0000-0000BBED0000}"/>
    <cellStyle name="Связанная ячейка 101" xfId="60740" xr:uid="{00000000-0005-0000-0000-0000BCED0000}"/>
    <cellStyle name="Связанная ячейка 102" xfId="60741" xr:uid="{00000000-0005-0000-0000-0000BDED0000}"/>
    <cellStyle name="Связанная ячейка 103" xfId="60742" xr:uid="{00000000-0005-0000-0000-0000BEED0000}"/>
    <cellStyle name="Связанная ячейка 104" xfId="60743" xr:uid="{00000000-0005-0000-0000-0000BFED0000}"/>
    <cellStyle name="Связанная ячейка 105" xfId="60744" xr:uid="{00000000-0005-0000-0000-0000C0ED0000}"/>
    <cellStyle name="Связанная ячейка 106" xfId="60745" xr:uid="{00000000-0005-0000-0000-0000C1ED0000}"/>
    <cellStyle name="Связанная ячейка 107" xfId="60746" xr:uid="{00000000-0005-0000-0000-0000C2ED0000}"/>
    <cellStyle name="Связанная ячейка 108" xfId="60747" xr:uid="{00000000-0005-0000-0000-0000C3ED0000}"/>
    <cellStyle name="Связанная ячейка 109" xfId="60748" xr:uid="{00000000-0005-0000-0000-0000C4ED0000}"/>
    <cellStyle name="Связанная ячейка 11" xfId="60749" xr:uid="{00000000-0005-0000-0000-0000C5ED0000}"/>
    <cellStyle name="Связанная ячейка 110" xfId="60750" xr:uid="{00000000-0005-0000-0000-0000C6ED0000}"/>
    <cellStyle name="Связанная ячейка 111" xfId="60751" xr:uid="{00000000-0005-0000-0000-0000C7ED0000}"/>
    <cellStyle name="Связанная ячейка 112" xfId="60752" xr:uid="{00000000-0005-0000-0000-0000C8ED0000}"/>
    <cellStyle name="Связанная ячейка 113" xfId="60753" xr:uid="{00000000-0005-0000-0000-0000C9ED0000}"/>
    <cellStyle name="Связанная ячейка 114" xfId="60754" xr:uid="{00000000-0005-0000-0000-0000CAED0000}"/>
    <cellStyle name="Связанная ячейка 115" xfId="60755" xr:uid="{00000000-0005-0000-0000-0000CBED0000}"/>
    <cellStyle name="Связанная ячейка 116" xfId="60756" xr:uid="{00000000-0005-0000-0000-0000CCED0000}"/>
    <cellStyle name="Связанная ячейка 117" xfId="60757" xr:uid="{00000000-0005-0000-0000-0000CDED0000}"/>
    <cellStyle name="Связанная ячейка 118" xfId="60758" xr:uid="{00000000-0005-0000-0000-0000CEED0000}"/>
    <cellStyle name="Связанная ячейка 119" xfId="60759" xr:uid="{00000000-0005-0000-0000-0000CFED0000}"/>
    <cellStyle name="Связанная ячейка 12" xfId="60760" xr:uid="{00000000-0005-0000-0000-0000D0ED0000}"/>
    <cellStyle name="Связанная ячейка 120" xfId="60761" xr:uid="{00000000-0005-0000-0000-0000D1ED0000}"/>
    <cellStyle name="Связанная ячейка 121" xfId="60762" xr:uid="{00000000-0005-0000-0000-0000D2ED0000}"/>
    <cellStyle name="Связанная ячейка 122" xfId="60763" xr:uid="{00000000-0005-0000-0000-0000D3ED0000}"/>
    <cellStyle name="Связанная ячейка 123" xfId="60764" xr:uid="{00000000-0005-0000-0000-0000D4ED0000}"/>
    <cellStyle name="Связанная ячейка 124" xfId="60765" xr:uid="{00000000-0005-0000-0000-0000D5ED0000}"/>
    <cellStyle name="Связанная ячейка 125" xfId="60766" xr:uid="{00000000-0005-0000-0000-0000D6ED0000}"/>
    <cellStyle name="Связанная ячейка 126" xfId="60767" xr:uid="{00000000-0005-0000-0000-0000D7ED0000}"/>
    <cellStyle name="Связанная ячейка 127" xfId="60768" xr:uid="{00000000-0005-0000-0000-0000D8ED0000}"/>
    <cellStyle name="Связанная ячейка 128" xfId="60769" xr:uid="{00000000-0005-0000-0000-0000D9ED0000}"/>
    <cellStyle name="Связанная ячейка 129" xfId="60770" xr:uid="{00000000-0005-0000-0000-0000DAED0000}"/>
    <cellStyle name="Связанная ячейка 13" xfId="60771" xr:uid="{00000000-0005-0000-0000-0000DBED0000}"/>
    <cellStyle name="Связанная ячейка 130" xfId="60772" xr:uid="{00000000-0005-0000-0000-0000DCED0000}"/>
    <cellStyle name="Связанная ячейка 131" xfId="60773" xr:uid="{00000000-0005-0000-0000-0000DDED0000}"/>
    <cellStyle name="Связанная ячейка 132" xfId="60774" xr:uid="{00000000-0005-0000-0000-0000DEED0000}"/>
    <cellStyle name="Связанная ячейка 133" xfId="60775" xr:uid="{00000000-0005-0000-0000-0000DFED0000}"/>
    <cellStyle name="Связанная ячейка 134" xfId="60776" xr:uid="{00000000-0005-0000-0000-0000E0ED0000}"/>
    <cellStyle name="Связанная ячейка 135" xfId="60777" xr:uid="{00000000-0005-0000-0000-0000E1ED0000}"/>
    <cellStyle name="Связанная ячейка 136" xfId="60778" xr:uid="{00000000-0005-0000-0000-0000E2ED0000}"/>
    <cellStyle name="Связанная ячейка 137" xfId="60779" xr:uid="{00000000-0005-0000-0000-0000E3ED0000}"/>
    <cellStyle name="Связанная ячейка 138" xfId="60780" xr:uid="{00000000-0005-0000-0000-0000E4ED0000}"/>
    <cellStyle name="Связанная ячейка 139" xfId="60781" xr:uid="{00000000-0005-0000-0000-0000E5ED0000}"/>
    <cellStyle name="Связанная ячейка 14" xfId="60782" xr:uid="{00000000-0005-0000-0000-0000E6ED0000}"/>
    <cellStyle name="Связанная ячейка 140" xfId="60783" xr:uid="{00000000-0005-0000-0000-0000E7ED0000}"/>
    <cellStyle name="Связанная ячейка 141" xfId="60784" xr:uid="{00000000-0005-0000-0000-0000E8ED0000}"/>
    <cellStyle name="Связанная ячейка 142" xfId="60785" xr:uid="{00000000-0005-0000-0000-0000E9ED0000}"/>
    <cellStyle name="Связанная ячейка 143" xfId="60786" xr:uid="{00000000-0005-0000-0000-0000EAED0000}"/>
    <cellStyle name="Связанная ячейка 144" xfId="60787" xr:uid="{00000000-0005-0000-0000-0000EBED0000}"/>
    <cellStyle name="Связанная ячейка 145" xfId="60788" xr:uid="{00000000-0005-0000-0000-0000ECED0000}"/>
    <cellStyle name="Связанная ячейка 146" xfId="60789" xr:uid="{00000000-0005-0000-0000-0000EDED0000}"/>
    <cellStyle name="Связанная ячейка 147" xfId="60790" xr:uid="{00000000-0005-0000-0000-0000EEED0000}"/>
    <cellStyle name="Связанная ячейка 148" xfId="60791" xr:uid="{00000000-0005-0000-0000-0000EFED0000}"/>
    <cellStyle name="Связанная ячейка 149" xfId="60792" xr:uid="{00000000-0005-0000-0000-0000F0ED0000}"/>
    <cellStyle name="Связанная ячейка 15" xfId="60793" xr:uid="{00000000-0005-0000-0000-0000F1ED0000}"/>
    <cellStyle name="Связанная ячейка 150" xfId="60794" xr:uid="{00000000-0005-0000-0000-0000F2ED0000}"/>
    <cellStyle name="Связанная ячейка 151" xfId="60795" xr:uid="{00000000-0005-0000-0000-0000F3ED0000}"/>
    <cellStyle name="Связанная ячейка 152" xfId="60796" xr:uid="{00000000-0005-0000-0000-0000F4ED0000}"/>
    <cellStyle name="Связанная ячейка 153" xfId="60797" xr:uid="{00000000-0005-0000-0000-0000F5ED0000}"/>
    <cellStyle name="Связанная ячейка 16" xfId="60798" xr:uid="{00000000-0005-0000-0000-0000F6ED0000}"/>
    <cellStyle name="Связанная ячейка 17" xfId="60799" xr:uid="{00000000-0005-0000-0000-0000F7ED0000}"/>
    <cellStyle name="Связанная ячейка 18" xfId="60800" xr:uid="{00000000-0005-0000-0000-0000F8ED0000}"/>
    <cellStyle name="Связанная ячейка 19" xfId="60801" xr:uid="{00000000-0005-0000-0000-0000F9ED0000}"/>
    <cellStyle name="Связанная ячейка 2" xfId="60802" xr:uid="{00000000-0005-0000-0000-0000FAED0000}"/>
    <cellStyle name="Связанная ячейка 2 2" xfId="60803" xr:uid="{00000000-0005-0000-0000-0000FBED0000}"/>
    <cellStyle name="Связанная ячейка 2 2 10" xfId="60804" xr:uid="{00000000-0005-0000-0000-0000FCED0000}"/>
    <cellStyle name="Связанная ячейка 2 2 11" xfId="60805" xr:uid="{00000000-0005-0000-0000-0000FDED0000}"/>
    <cellStyle name="Связанная ячейка 2 2 12" xfId="60806" xr:uid="{00000000-0005-0000-0000-0000FEED0000}"/>
    <cellStyle name="Связанная ячейка 2 2 13" xfId="60807" xr:uid="{00000000-0005-0000-0000-0000FFED0000}"/>
    <cellStyle name="Связанная ячейка 2 2 2" xfId="60808" xr:uid="{00000000-0005-0000-0000-000000EE0000}"/>
    <cellStyle name="Связанная ячейка 2 2 3" xfId="60809" xr:uid="{00000000-0005-0000-0000-000001EE0000}"/>
    <cellStyle name="Связанная ячейка 2 2 4" xfId="60810" xr:uid="{00000000-0005-0000-0000-000002EE0000}"/>
    <cellStyle name="Связанная ячейка 2 2 5" xfId="60811" xr:uid="{00000000-0005-0000-0000-000003EE0000}"/>
    <cellStyle name="Связанная ячейка 2 2 6" xfId="60812" xr:uid="{00000000-0005-0000-0000-000004EE0000}"/>
    <cellStyle name="Связанная ячейка 2 2 7" xfId="60813" xr:uid="{00000000-0005-0000-0000-000005EE0000}"/>
    <cellStyle name="Связанная ячейка 2 2 8" xfId="60814" xr:uid="{00000000-0005-0000-0000-000006EE0000}"/>
    <cellStyle name="Связанная ячейка 2 2 9" xfId="60815" xr:uid="{00000000-0005-0000-0000-000007EE0000}"/>
    <cellStyle name="Связанная ячейка 2 3" xfId="60816" xr:uid="{00000000-0005-0000-0000-000008EE0000}"/>
    <cellStyle name="Связанная ячейка 20" xfId="60817" xr:uid="{00000000-0005-0000-0000-000009EE0000}"/>
    <cellStyle name="Связанная ячейка 21" xfId="60818" xr:uid="{00000000-0005-0000-0000-00000AEE0000}"/>
    <cellStyle name="Связанная ячейка 22" xfId="60819" xr:uid="{00000000-0005-0000-0000-00000BEE0000}"/>
    <cellStyle name="Связанная ячейка 23" xfId="60820" xr:uid="{00000000-0005-0000-0000-00000CEE0000}"/>
    <cellStyle name="Связанная ячейка 24" xfId="60821" xr:uid="{00000000-0005-0000-0000-00000DEE0000}"/>
    <cellStyle name="Связанная ячейка 25" xfId="60822" xr:uid="{00000000-0005-0000-0000-00000EEE0000}"/>
    <cellStyle name="Связанная ячейка 26" xfId="60823" xr:uid="{00000000-0005-0000-0000-00000FEE0000}"/>
    <cellStyle name="Связанная ячейка 27" xfId="60824" xr:uid="{00000000-0005-0000-0000-000010EE0000}"/>
    <cellStyle name="Связанная ячейка 28" xfId="60825" xr:uid="{00000000-0005-0000-0000-000011EE0000}"/>
    <cellStyle name="Связанная ячейка 29" xfId="60826" xr:uid="{00000000-0005-0000-0000-000012EE0000}"/>
    <cellStyle name="Связанная ячейка 3" xfId="60827" xr:uid="{00000000-0005-0000-0000-000013EE0000}"/>
    <cellStyle name="Связанная ячейка 30" xfId="60828" xr:uid="{00000000-0005-0000-0000-000014EE0000}"/>
    <cellStyle name="Связанная ячейка 31" xfId="60829" xr:uid="{00000000-0005-0000-0000-000015EE0000}"/>
    <cellStyle name="Связанная ячейка 32" xfId="60830" xr:uid="{00000000-0005-0000-0000-000016EE0000}"/>
    <cellStyle name="Связанная ячейка 33" xfId="60831" xr:uid="{00000000-0005-0000-0000-000017EE0000}"/>
    <cellStyle name="Связанная ячейка 34" xfId="60832" xr:uid="{00000000-0005-0000-0000-000018EE0000}"/>
    <cellStyle name="Связанная ячейка 35" xfId="60833" xr:uid="{00000000-0005-0000-0000-000019EE0000}"/>
    <cellStyle name="Связанная ячейка 36" xfId="60834" xr:uid="{00000000-0005-0000-0000-00001AEE0000}"/>
    <cellStyle name="Связанная ячейка 37" xfId="60835" xr:uid="{00000000-0005-0000-0000-00001BEE0000}"/>
    <cellStyle name="Связанная ячейка 38" xfId="60836" xr:uid="{00000000-0005-0000-0000-00001CEE0000}"/>
    <cellStyle name="Связанная ячейка 39" xfId="60837" xr:uid="{00000000-0005-0000-0000-00001DEE0000}"/>
    <cellStyle name="Связанная ячейка 4" xfId="60838" xr:uid="{00000000-0005-0000-0000-00001EEE0000}"/>
    <cellStyle name="Связанная ячейка 40" xfId="60839" xr:uid="{00000000-0005-0000-0000-00001FEE0000}"/>
    <cellStyle name="Связанная ячейка 41" xfId="60840" xr:uid="{00000000-0005-0000-0000-000020EE0000}"/>
    <cellStyle name="Связанная ячейка 42" xfId="60841" xr:uid="{00000000-0005-0000-0000-000021EE0000}"/>
    <cellStyle name="Связанная ячейка 43" xfId="60842" xr:uid="{00000000-0005-0000-0000-000022EE0000}"/>
    <cellStyle name="Связанная ячейка 44" xfId="60843" xr:uid="{00000000-0005-0000-0000-000023EE0000}"/>
    <cellStyle name="Связанная ячейка 45" xfId="60844" xr:uid="{00000000-0005-0000-0000-000024EE0000}"/>
    <cellStyle name="Связанная ячейка 46" xfId="60845" xr:uid="{00000000-0005-0000-0000-000025EE0000}"/>
    <cellStyle name="Связанная ячейка 47" xfId="60846" xr:uid="{00000000-0005-0000-0000-000026EE0000}"/>
    <cellStyle name="Связанная ячейка 48" xfId="60847" xr:uid="{00000000-0005-0000-0000-000027EE0000}"/>
    <cellStyle name="Связанная ячейка 49" xfId="60848" xr:uid="{00000000-0005-0000-0000-000028EE0000}"/>
    <cellStyle name="Связанная ячейка 5" xfId="60849" xr:uid="{00000000-0005-0000-0000-000029EE0000}"/>
    <cellStyle name="Связанная ячейка 50" xfId="60850" xr:uid="{00000000-0005-0000-0000-00002AEE0000}"/>
    <cellStyle name="Связанная ячейка 51" xfId="60851" xr:uid="{00000000-0005-0000-0000-00002BEE0000}"/>
    <cellStyle name="Связанная ячейка 52" xfId="60852" xr:uid="{00000000-0005-0000-0000-00002CEE0000}"/>
    <cellStyle name="Связанная ячейка 53" xfId="60853" xr:uid="{00000000-0005-0000-0000-00002DEE0000}"/>
    <cellStyle name="Связанная ячейка 54" xfId="60854" xr:uid="{00000000-0005-0000-0000-00002EEE0000}"/>
    <cellStyle name="Связанная ячейка 55" xfId="60855" xr:uid="{00000000-0005-0000-0000-00002FEE0000}"/>
    <cellStyle name="Связанная ячейка 56" xfId="60856" xr:uid="{00000000-0005-0000-0000-000030EE0000}"/>
    <cellStyle name="Связанная ячейка 57" xfId="60857" xr:uid="{00000000-0005-0000-0000-000031EE0000}"/>
    <cellStyle name="Связанная ячейка 58" xfId="60858" xr:uid="{00000000-0005-0000-0000-000032EE0000}"/>
    <cellStyle name="Связанная ячейка 59" xfId="60859" xr:uid="{00000000-0005-0000-0000-000033EE0000}"/>
    <cellStyle name="Связанная ячейка 6" xfId="60860" xr:uid="{00000000-0005-0000-0000-000034EE0000}"/>
    <cellStyle name="Связанная ячейка 60" xfId="60861" xr:uid="{00000000-0005-0000-0000-000035EE0000}"/>
    <cellStyle name="Связанная ячейка 61" xfId="60862" xr:uid="{00000000-0005-0000-0000-000036EE0000}"/>
    <cellStyle name="Связанная ячейка 62" xfId="60863" xr:uid="{00000000-0005-0000-0000-000037EE0000}"/>
    <cellStyle name="Связанная ячейка 63" xfId="60864" xr:uid="{00000000-0005-0000-0000-000038EE0000}"/>
    <cellStyle name="Связанная ячейка 64" xfId="60865" xr:uid="{00000000-0005-0000-0000-000039EE0000}"/>
    <cellStyle name="Связанная ячейка 65" xfId="60866" xr:uid="{00000000-0005-0000-0000-00003AEE0000}"/>
    <cellStyle name="Связанная ячейка 66" xfId="60867" xr:uid="{00000000-0005-0000-0000-00003BEE0000}"/>
    <cellStyle name="Связанная ячейка 67" xfId="60868" xr:uid="{00000000-0005-0000-0000-00003CEE0000}"/>
    <cellStyle name="Связанная ячейка 68" xfId="60869" xr:uid="{00000000-0005-0000-0000-00003DEE0000}"/>
    <cellStyle name="Связанная ячейка 69" xfId="60870" xr:uid="{00000000-0005-0000-0000-00003EEE0000}"/>
    <cellStyle name="Связанная ячейка 7" xfId="60871" xr:uid="{00000000-0005-0000-0000-00003FEE0000}"/>
    <cellStyle name="Связанная ячейка 70" xfId="60872" xr:uid="{00000000-0005-0000-0000-000040EE0000}"/>
    <cellStyle name="Связанная ячейка 71" xfId="60873" xr:uid="{00000000-0005-0000-0000-000041EE0000}"/>
    <cellStyle name="Связанная ячейка 72" xfId="60874" xr:uid="{00000000-0005-0000-0000-000042EE0000}"/>
    <cellStyle name="Связанная ячейка 73" xfId="60875" xr:uid="{00000000-0005-0000-0000-000043EE0000}"/>
    <cellStyle name="Связанная ячейка 74" xfId="60876" xr:uid="{00000000-0005-0000-0000-000044EE0000}"/>
    <cellStyle name="Связанная ячейка 75" xfId="60877" xr:uid="{00000000-0005-0000-0000-000045EE0000}"/>
    <cellStyle name="Связанная ячейка 76" xfId="60878" xr:uid="{00000000-0005-0000-0000-000046EE0000}"/>
    <cellStyle name="Связанная ячейка 77" xfId="60879" xr:uid="{00000000-0005-0000-0000-000047EE0000}"/>
    <cellStyle name="Связанная ячейка 78" xfId="60880" xr:uid="{00000000-0005-0000-0000-000048EE0000}"/>
    <cellStyle name="Связанная ячейка 79" xfId="60881" xr:uid="{00000000-0005-0000-0000-000049EE0000}"/>
    <cellStyle name="Связанная ячейка 8" xfId="60882" xr:uid="{00000000-0005-0000-0000-00004AEE0000}"/>
    <cellStyle name="Связанная ячейка 80" xfId="60883" xr:uid="{00000000-0005-0000-0000-00004BEE0000}"/>
    <cellStyle name="Связанная ячейка 81" xfId="60884" xr:uid="{00000000-0005-0000-0000-00004CEE0000}"/>
    <cellStyle name="Связанная ячейка 82" xfId="60885" xr:uid="{00000000-0005-0000-0000-00004DEE0000}"/>
    <cellStyle name="Связанная ячейка 83" xfId="60886" xr:uid="{00000000-0005-0000-0000-00004EEE0000}"/>
    <cellStyle name="Связанная ячейка 84" xfId="60887" xr:uid="{00000000-0005-0000-0000-00004FEE0000}"/>
    <cellStyle name="Связанная ячейка 85" xfId="60888" xr:uid="{00000000-0005-0000-0000-000050EE0000}"/>
    <cellStyle name="Связанная ячейка 86" xfId="60889" xr:uid="{00000000-0005-0000-0000-000051EE0000}"/>
    <cellStyle name="Связанная ячейка 87" xfId="60890" xr:uid="{00000000-0005-0000-0000-000052EE0000}"/>
    <cellStyle name="Связанная ячейка 88" xfId="60891" xr:uid="{00000000-0005-0000-0000-000053EE0000}"/>
    <cellStyle name="Связанная ячейка 89" xfId="60892" xr:uid="{00000000-0005-0000-0000-000054EE0000}"/>
    <cellStyle name="Связанная ячейка 9" xfId="60893" xr:uid="{00000000-0005-0000-0000-000055EE0000}"/>
    <cellStyle name="Связанная ячейка 90" xfId="60894" xr:uid="{00000000-0005-0000-0000-000056EE0000}"/>
    <cellStyle name="Связанная ячейка 91" xfId="60895" xr:uid="{00000000-0005-0000-0000-000057EE0000}"/>
    <cellStyle name="Связанная ячейка 92" xfId="60896" xr:uid="{00000000-0005-0000-0000-000058EE0000}"/>
    <cellStyle name="Связанная ячейка 93" xfId="60897" xr:uid="{00000000-0005-0000-0000-000059EE0000}"/>
    <cellStyle name="Связанная ячейка 94" xfId="60898" xr:uid="{00000000-0005-0000-0000-00005AEE0000}"/>
    <cellStyle name="Связанная ячейка 95" xfId="60899" xr:uid="{00000000-0005-0000-0000-00005BEE0000}"/>
    <cellStyle name="Связанная ячейка 96" xfId="60900" xr:uid="{00000000-0005-0000-0000-00005CEE0000}"/>
    <cellStyle name="Связанная ячейка 97" xfId="60901" xr:uid="{00000000-0005-0000-0000-00005DEE0000}"/>
    <cellStyle name="Связанная ячейка 98" xfId="60902" xr:uid="{00000000-0005-0000-0000-00005EEE0000}"/>
    <cellStyle name="Связанная ячейка 99" xfId="60903" xr:uid="{00000000-0005-0000-0000-00005FEE0000}"/>
    <cellStyle name="Стиль 1" xfId="60904" xr:uid="{00000000-0005-0000-0000-000060EE0000}"/>
    <cellStyle name="Текст предупреждения 10" xfId="60905" xr:uid="{00000000-0005-0000-0000-000061EE0000}"/>
    <cellStyle name="Текст предупреждения 100" xfId="60906" xr:uid="{00000000-0005-0000-0000-000062EE0000}"/>
    <cellStyle name="Текст предупреждения 101" xfId="60907" xr:uid="{00000000-0005-0000-0000-000063EE0000}"/>
    <cellStyle name="Текст предупреждения 102" xfId="60908" xr:uid="{00000000-0005-0000-0000-000064EE0000}"/>
    <cellStyle name="Текст предупреждения 103" xfId="60909" xr:uid="{00000000-0005-0000-0000-000065EE0000}"/>
    <cellStyle name="Текст предупреждения 104" xfId="60910" xr:uid="{00000000-0005-0000-0000-000066EE0000}"/>
    <cellStyle name="Текст предупреждения 105" xfId="60911" xr:uid="{00000000-0005-0000-0000-000067EE0000}"/>
    <cellStyle name="Текст предупреждения 106" xfId="60912" xr:uid="{00000000-0005-0000-0000-000068EE0000}"/>
    <cellStyle name="Текст предупреждения 107" xfId="60913" xr:uid="{00000000-0005-0000-0000-000069EE0000}"/>
    <cellStyle name="Текст предупреждения 108" xfId="60914" xr:uid="{00000000-0005-0000-0000-00006AEE0000}"/>
    <cellStyle name="Текст предупреждения 109" xfId="60915" xr:uid="{00000000-0005-0000-0000-00006BEE0000}"/>
    <cellStyle name="Текст предупреждения 11" xfId="60916" xr:uid="{00000000-0005-0000-0000-00006CEE0000}"/>
    <cellStyle name="Текст предупреждения 110" xfId="60917" xr:uid="{00000000-0005-0000-0000-00006DEE0000}"/>
    <cellStyle name="Текст предупреждения 111" xfId="60918" xr:uid="{00000000-0005-0000-0000-00006EEE0000}"/>
    <cellStyle name="Текст предупреждения 112" xfId="60919" xr:uid="{00000000-0005-0000-0000-00006FEE0000}"/>
    <cellStyle name="Текст предупреждения 113" xfId="60920" xr:uid="{00000000-0005-0000-0000-000070EE0000}"/>
    <cellStyle name="Текст предупреждения 114" xfId="60921" xr:uid="{00000000-0005-0000-0000-000071EE0000}"/>
    <cellStyle name="Текст предупреждения 115" xfId="60922" xr:uid="{00000000-0005-0000-0000-000072EE0000}"/>
    <cellStyle name="Текст предупреждения 116" xfId="60923" xr:uid="{00000000-0005-0000-0000-000073EE0000}"/>
    <cellStyle name="Текст предупреждения 117" xfId="60924" xr:uid="{00000000-0005-0000-0000-000074EE0000}"/>
    <cellStyle name="Текст предупреждения 118" xfId="60925" xr:uid="{00000000-0005-0000-0000-000075EE0000}"/>
    <cellStyle name="Текст предупреждения 119" xfId="60926" xr:uid="{00000000-0005-0000-0000-000076EE0000}"/>
    <cellStyle name="Текст предупреждения 12" xfId="60927" xr:uid="{00000000-0005-0000-0000-000077EE0000}"/>
    <cellStyle name="Текст предупреждения 120" xfId="60928" xr:uid="{00000000-0005-0000-0000-000078EE0000}"/>
    <cellStyle name="Текст предупреждения 121" xfId="60929" xr:uid="{00000000-0005-0000-0000-000079EE0000}"/>
    <cellStyle name="Текст предупреждения 122" xfId="60930" xr:uid="{00000000-0005-0000-0000-00007AEE0000}"/>
    <cellStyle name="Текст предупреждения 123" xfId="60931" xr:uid="{00000000-0005-0000-0000-00007BEE0000}"/>
    <cellStyle name="Текст предупреждения 124" xfId="60932" xr:uid="{00000000-0005-0000-0000-00007CEE0000}"/>
    <cellStyle name="Текст предупреждения 125" xfId="60933" xr:uid="{00000000-0005-0000-0000-00007DEE0000}"/>
    <cellStyle name="Текст предупреждения 126" xfId="60934" xr:uid="{00000000-0005-0000-0000-00007EEE0000}"/>
    <cellStyle name="Текст предупреждения 127" xfId="60935" xr:uid="{00000000-0005-0000-0000-00007FEE0000}"/>
    <cellStyle name="Текст предупреждения 128" xfId="60936" xr:uid="{00000000-0005-0000-0000-000080EE0000}"/>
    <cellStyle name="Текст предупреждения 129" xfId="60937" xr:uid="{00000000-0005-0000-0000-000081EE0000}"/>
    <cellStyle name="Текст предупреждения 13" xfId="60938" xr:uid="{00000000-0005-0000-0000-000082EE0000}"/>
    <cellStyle name="Текст предупреждения 130" xfId="60939" xr:uid="{00000000-0005-0000-0000-000083EE0000}"/>
    <cellStyle name="Текст предупреждения 131" xfId="60940" xr:uid="{00000000-0005-0000-0000-000084EE0000}"/>
    <cellStyle name="Текст предупреждения 132" xfId="60941" xr:uid="{00000000-0005-0000-0000-000085EE0000}"/>
    <cellStyle name="Текст предупреждения 133" xfId="60942" xr:uid="{00000000-0005-0000-0000-000086EE0000}"/>
    <cellStyle name="Текст предупреждения 134" xfId="60943" xr:uid="{00000000-0005-0000-0000-000087EE0000}"/>
    <cellStyle name="Текст предупреждения 135" xfId="60944" xr:uid="{00000000-0005-0000-0000-000088EE0000}"/>
    <cellStyle name="Текст предупреждения 136" xfId="60945" xr:uid="{00000000-0005-0000-0000-000089EE0000}"/>
    <cellStyle name="Текст предупреждения 137" xfId="60946" xr:uid="{00000000-0005-0000-0000-00008AEE0000}"/>
    <cellStyle name="Текст предупреждения 138" xfId="60947" xr:uid="{00000000-0005-0000-0000-00008BEE0000}"/>
    <cellStyle name="Текст предупреждения 139" xfId="60948" xr:uid="{00000000-0005-0000-0000-00008CEE0000}"/>
    <cellStyle name="Текст предупреждения 14" xfId="60949" xr:uid="{00000000-0005-0000-0000-00008DEE0000}"/>
    <cellStyle name="Текст предупреждения 140" xfId="60950" xr:uid="{00000000-0005-0000-0000-00008EEE0000}"/>
    <cellStyle name="Текст предупреждения 141" xfId="60951" xr:uid="{00000000-0005-0000-0000-00008FEE0000}"/>
    <cellStyle name="Текст предупреждения 142" xfId="60952" xr:uid="{00000000-0005-0000-0000-000090EE0000}"/>
    <cellStyle name="Текст предупреждения 143" xfId="60953" xr:uid="{00000000-0005-0000-0000-000091EE0000}"/>
    <cellStyle name="Текст предупреждения 144" xfId="60954" xr:uid="{00000000-0005-0000-0000-000092EE0000}"/>
    <cellStyle name="Текст предупреждения 145" xfId="60955" xr:uid="{00000000-0005-0000-0000-000093EE0000}"/>
    <cellStyle name="Текст предупреждения 146" xfId="60956" xr:uid="{00000000-0005-0000-0000-000094EE0000}"/>
    <cellStyle name="Текст предупреждения 147" xfId="60957" xr:uid="{00000000-0005-0000-0000-000095EE0000}"/>
    <cellStyle name="Текст предупреждения 148" xfId="60958" xr:uid="{00000000-0005-0000-0000-000096EE0000}"/>
    <cellStyle name="Текст предупреждения 149" xfId="60959" xr:uid="{00000000-0005-0000-0000-000097EE0000}"/>
    <cellStyle name="Текст предупреждения 15" xfId="60960" xr:uid="{00000000-0005-0000-0000-000098EE0000}"/>
    <cellStyle name="Текст предупреждения 150" xfId="60961" xr:uid="{00000000-0005-0000-0000-000099EE0000}"/>
    <cellStyle name="Текст предупреждения 151" xfId="60962" xr:uid="{00000000-0005-0000-0000-00009AEE0000}"/>
    <cellStyle name="Текст предупреждения 152" xfId="60963" xr:uid="{00000000-0005-0000-0000-00009BEE0000}"/>
    <cellStyle name="Текст предупреждения 153" xfId="60964" xr:uid="{00000000-0005-0000-0000-00009CEE0000}"/>
    <cellStyle name="Текст предупреждения 16" xfId="60965" xr:uid="{00000000-0005-0000-0000-00009DEE0000}"/>
    <cellStyle name="Текст предупреждения 17" xfId="60966" xr:uid="{00000000-0005-0000-0000-00009EEE0000}"/>
    <cellStyle name="Текст предупреждения 18" xfId="60967" xr:uid="{00000000-0005-0000-0000-00009FEE0000}"/>
    <cellStyle name="Текст предупреждения 19" xfId="60968" xr:uid="{00000000-0005-0000-0000-0000A0EE0000}"/>
    <cellStyle name="Текст предупреждения 2" xfId="60969" xr:uid="{00000000-0005-0000-0000-0000A1EE0000}"/>
    <cellStyle name="Текст предупреждения 2 2" xfId="60970" xr:uid="{00000000-0005-0000-0000-0000A2EE0000}"/>
    <cellStyle name="Текст предупреждения 2 2 10" xfId="60971" xr:uid="{00000000-0005-0000-0000-0000A3EE0000}"/>
    <cellStyle name="Текст предупреждения 2 2 11" xfId="60972" xr:uid="{00000000-0005-0000-0000-0000A4EE0000}"/>
    <cellStyle name="Текст предупреждения 2 2 12" xfId="60973" xr:uid="{00000000-0005-0000-0000-0000A5EE0000}"/>
    <cellStyle name="Текст предупреждения 2 2 13" xfId="60974" xr:uid="{00000000-0005-0000-0000-0000A6EE0000}"/>
    <cellStyle name="Текст предупреждения 2 2 2" xfId="60975" xr:uid="{00000000-0005-0000-0000-0000A7EE0000}"/>
    <cellStyle name="Текст предупреждения 2 2 3" xfId="60976" xr:uid="{00000000-0005-0000-0000-0000A8EE0000}"/>
    <cellStyle name="Текст предупреждения 2 2 4" xfId="60977" xr:uid="{00000000-0005-0000-0000-0000A9EE0000}"/>
    <cellStyle name="Текст предупреждения 2 2 5" xfId="60978" xr:uid="{00000000-0005-0000-0000-0000AAEE0000}"/>
    <cellStyle name="Текст предупреждения 2 2 6" xfId="60979" xr:uid="{00000000-0005-0000-0000-0000ABEE0000}"/>
    <cellStyle name="Текст предупреждения 2 2 7" xfId="60980" xr:uid="{00000000-0005-0000-0000-0000ACEE0000}"/>
    <cellStyle name="Текст предупреждения 2 2 8" xfId="60981" xr:uid="{00000000-0005-0000-0000-0000ADEE0000}"/>
    <cellStyle name="Текст предупреждения 2 2 9" xfId="60982" xr:uid="{00000000-0005-0000-0000-0000AEEE0000}"/>
    <cellStyle name="Текст предупреждения 2 3" xfId="60983" xr:uid="{00000000-0005-0000-0000-0000AFEE0000}"/>
    <cellStyle name="Текст предупреждения 20" xfId="60984" xr:uid="{00000000-0005-0000-0000-0000B0EE0000}"/>
    <cellStyle name="Текст предупреждения 21" xfId="60985" xr:uid="{00000000-0005-0000-0000-0000B1EE0000}"/>
    <cellStyle name="Текст предупреждения 22" xfId="60986" xr:uid="{00000000-0005-0000-0000-0000B2EE0000}"/>
    <cellStyle name="Текст предупреждения 23" xfId="60987" xr:uid="{00000000-0005-0000-0000-0000B3EE0000}"/>
    <cellStyle name="Текст предупреждения 24" xfId="60988" xr:uid="{00000000-0005-0000-0000-0000B4EE0000}"/>
    <cellStyle name="Текст предупреждения 25" xfId="60989" xr:uid="{00000000-0005-0000-0000-0000B5EE0000}"/>
    <cellStyle name="Текст предупреждения 26" xfId="60990" xr:uid="{00000000-0005-0000-0000-0000B6EE0000}"/>
    <cellStyle name="Текст предупреждения 27" xfId="60991" xr:uid="{00000000-0005-0000-0000-0000B7EE0000}"/>
    <cellStyle name="Текст предупреждения 28" xfId="60992" xr:uid="{00000000-0005-0000-0000-0000B8EE0000}"/>
    <cellStyle name="Текст предупреждения 29" xfId="60993" xr:uid="{00000000-0005-0000-0000-0000B9EE0000}"/>
    <cellStyle name="Текст предупреждения 3" xfId="60994" xr:uid="{00000000-0005-0000-0000-0000BAEE0000}"/>
    <cellStyle name="Текст предупреждения 30" xfId="60995" xr:uid="{00000000-0005-0000-0000-0000BBEE0000}"/>
    <cellStyle name="Текст предупреждения 31" xfId="60996" xr:uid="{00000000-0005-0000-0000-0000BCEE0000}"/>
    <cellStyle name="Текст предупреждения 32" xfId="60997" xr:uid="{00000000-0005-0000-0000-0000BDEE0000}"/>
    <cellStyle name="Текст предупреждения 33" xfId="60998" xr:uid="{00000000-0005-0000-0000-0000BEEE0000}"/>
    <cellStyle name="Текст предупреждения 34" xfId="60999" xr:uid="{00000000-0005-0000-0000-0000BFEE0000}"/>
    <cellStyle name="Текст предупреждения 35" xfId="61000" xr:uid="{00000000-0005-0000-0000-0000C0EE0000}"/>
    <cellStyle name="Текст предупреждения 36" xfId="61001" xr:uid="{00000000-0005-0000-0000-0000C1EE0000}"/>
    <cellStyle name="Текст предупреждения 37" xfId="61002" xr:uid="{00000000-0005-0000-0000-0000C2EE0000}"/>
    <cellStyle name="Текст предупреждения 38" xfId="61003" xr:uid="{00000000-0005-0000-0000-0000C3EE0000}"/>
    <cellStyle name="Текст предупреждения 39" xfId="61004" xr:uid="{00000000-0005-0000-0000-0000C4EE0000}"/>
    <cellStyle name="Текст предупреждения 4" xfId="61005" xr:uid="{00000000-0005-0000-0000-0000C5EE0000}"/>
    <cellStyle name="Текст предупреждения 40" xfId="61006" xr:uid="{00000000-0005-0000-0000-0000C6EE0000}"/>
    <cellStyle name="Текст предупреждения 41" xfId="61007" xr:uid="{00000000-0005-0000-0000-0000C7EE0000}"/>
    <cellStyle name="Текст предупреждения 42" xfId="61008" xr:uid="{00000000-0005-0000-0000-0000C8EE0000}"/>
    <cellStyle name="Текст предупреждения 43" xfId="61009" xr:uid="{00000000-0005-0000-0000-0000C9EE0000}"/>
    <cellStyle name="Текст предупреждения 44" xfId="61010" xr:uid="{00000000-0005-0000-0000-0000CAEE0000}"/>
    <cellStyle name="Текст предупреждения 45" xfId="61011" xr:uid="{00000000-0005-0000-0000-0000CBEE0000}"/>
    <cellStyle name="Текст предупреждения 46" xfId="61012" xr:uid="{00000000-0005-0000-0000-0000CCEE0000}"/>
    <cellStyle name="Текст предупреждения 47" xfId="61013" xr:uid="{00000000-0005-0000-0000-0000CDEE0000}"/>
    <cellStyle name="Текст предупреждения 48" xfId="61014" xr:uid="{00000000-0005-0000-0000-0000CEEE0000}"/>
    <cellStyle name="Текст предупреждения 49" xfId="61015" xr:uid="{00000000-0005-0000-0000-0000CFEE0000}"/>
    <cellStyle name="Текст предупреждения 5" xfId="61016" xr:uid="{00000000-0005-0000-0000-0000D0EE0000}"/>
    <cellStyle name="Текст предупреждения 50" xfId="61017" xr:uid="{00000000-0005-0000-0000-0000D1EE0000}"/>
    <cellStyle name="Текст предупреждения 51" xfId="61018" xr:uid="{00000000-0005-0000-0000-0000D2EE0000}"/>
    <cellStyle name="Текст предупреждения 52" xfId="61019" xr:uid="{00000000-0005-0000-0000-0000D3EE0000}"/>
    <cellStyle name="Текст предупреждения 53" xfId="61020" xr:uid="{00000000-0005-0000-0000-0000D4EE0000}"/>
    <cellStyle name="Текст предупреждения 54" xfId="61021" xr:uid="{00000000-0005-0000-0000-0000D5EE0000}"/>
    <cellStyle name="Текст предупреждения 55" xfId="61022" xr:uid="{00000000-0005-0000-0000-0000D6EE0000}"/>
    <cellStyle name="Текст предупреждения 56" xfId="61023" xr:uid="{00000000-0005-0000-0000-0000D7EE0000}"/>
    <cellStyle name="Текст предупреждения 57" xfId="61024" xr:uid="{00000000-0005-0000-0000-0000D8EE0000}"/>
    <cellStyle name="Текст предупреждения 58" xfId="61025" xr:uid="{00000000-0005-0000-0000-0000D9EE0000}"/>
    <cellStyle name="Текст предупреждения 59" xfId="61026" xr:uid="{00000000-0005-0000-0000-0000DAEE0000}"/>
    <cellStyle name="Текст предупреждения 6" xfId="61027" xr:uid="{00000000-0005-0000-0000-0000DBEE0000}"/>
    <cellStyle name="Текст предупреждения 60" xfId="61028" xr:uid="{00000000-0005-0000-0000-0000DCEE0000}"/>
    <cellStyle name="Текст предупреждения 61" xfId="61029" xr:uid="{00000000-0005-0000-0000-0000DDEE0000}"/>
    <cellStyle name="Текст предупреждения 62" xfId="61030" xr:uid="{00000000-0005-0000-0000-0000DEEE0000}"/>
    <cellStyle name="Текст предупреждения 63" xfId="61031" xr:uid="{00000000-0005-0000-0000-0000DFEE0000}"/>
    <cellStyle name="Текст предупреждения 64" xfId="61032" xr:uid="{00000000-0005-0000-0000-0000E0EE0000}"/>
    <cellStyle name="Текст предупреждения 65" xfId="61033" xr:uid="{00000000-0005-0000-0000-0000E1EE0000}"/>
    <cellStyle name="Текст предупреждения 66" xfId="61034" xr:uid="{00000000-0005-0000-0000-0000E2EE0000}"/>
    <cellStyle name="Текст предупреждения 67" xfId="61035" xr:uid="{00000000-0005-0000-0000-0000E3EE0000}"/>
    <cellStyle name="Текст предупреждения 68" xfId="61036" xr:uid="{00000000-0005-0000-0000-0000E4EE0000}"/>
    <cellStyle name="Текст предупреждения 69" xfId="61037" xr:uid="{00000000-0005-0000-0000-0000E5EE0000}"/>
    <cellStyle name="Текст предупреждения 7" xfId="61038" xr:uid="{00000000-0005-0000-0000-0000E6EE0000}"/>
    <cellStyle name="Текст предупреждения 70" xfId="61039" xr:uid="{00000000-0005-0000-0000-0000E7EE0000}"/>
    <cellStyle name="Текст предупреждения 71" xfId="61040" xr:uid="{00000000-0005-0000-0000-0000E8EE0000}"/>
    <cellStyle name="Текст предупреждения 72" xfId="61041" xr:uid="{00000000-0005-0000-0000-0000E9EE0000}"/>
    <cellStyle name="Текст предупреждения 73" xfId="61042" xr:uid="{00000000-0005-0000-0000-0000EAEE0000}"/>
    <cellStyle name="Текст предупреждения 74" xfId="61043" xr:uid="{00000000-0005-0000-0000-0000EBEE0000}"/>
    <cellStyle name="Текст предупреждения 75" xfId="61044" xr:uid="{00000000-0005-0000-0000-0000ECEE0000}"/>
    <cellStyle name="Текст предупреждения 76" xfId="61045" xr:uid="{00000000-0005-0000-0000-0000EDEE0000}"/>
    <cellStyle name="Текст предупреждения 77" xfId="61046" xr:uid="{00000000-0005-0000-0000-0000EEEE0000}"/>
    <cellStyle name="Текст предупреждения 78" xfId="61047" xr:uid="{00000000-0005-0000-0000-0000EFEE0000}"/>
    <cellStyle name="Текст предупреждения 79" xfId="61048" xr:uid="{00000000-0005-0000-0000-0000F0EE0000}"/>
    <cellStyle name="Текст предупреждения 8" xfId="61049" xr:uid="{00000000-0005-0000-0000-0000F1EE0000}"/>
    <cellStyle name="Текст предупреждения 80" xfId="61050" xr:uid="{00000000-0005-0000-0000-0000F2EE0000}"/>
    <cellStyle name="Текст предупреждения 81" xfId="61051" xr:uid="{00000000-0005-0000-0000-0000F3EE0000}"/>
    <cellStyle name="Текст предупреждения 82" xfId="61052" xr:uid="{00000000-0005-0000-0000-0000F4EE0000}"/>
    <cellStyle name="Текст предупреждения 83" xfId="61053" xr:uid="{00000000-0005-0000-0000-0000F5EE0000}"/>
    <cellStyle name="Текст предупреждения 84" xfId="61054" xr:uid="{00000000-0005-0000-0000-0000F6EE0000}"/>
    <cellStyle name="Текст предупреждения 85" xfId="61055" xr:uid="{00000000-0005-0000-0000-0000F7EE0000}"/>
    <cellStyle name="Текст предупреждения 86" xfId="61056" xr:uid="{00000000-0005-0000-0000-0000F8EE0000}"/>
    <cellStyle name="Текст предупреждения 87" xfId="61057" xr:uid="{00000000-0005-0000-0000-0000F9EE0000}"/>
    <cellStyle name="Текст предупреждения 88" xfId="61058" xr:uid="{00000000-0005-0000-0000-0000FAEE0000}"/>
    <cellStyle name="Текст предупреждения 89" xfId="61059" xr:uid="{00000000-0005-0000-0000-0000FBEE0000}"/>
    <cellStyle name="Текст предупреждения 9" xfId="61060" xr:uid="{00000000-0005-0000-0000-0000FCEE0000}"/>
    <cellStyle name="Текст предупреждения 90" xfId="61061" xr:uid="{00000000-0005-0000-0000-0000FDEE0000}"/>
    <cellStyle name="Текст предупреждения 91" xfId="61062" xr:uid="{00000000-0005-0000-0000-0000FEEE0000}"/>
    <cellStyle name="Текст предупреждения 92" xfId="61063" xr:uid="{00000000-0005-0000-0000-0000FFEE0000}"/>
    <cellStyle name="Текст предупреждения 93" xfId="61064" xr:uid="{00000000-0005-0000-0000-000000EF0000}"/>
    <cellStyle name="Текст предупреждения 94" xfId="61065" xr:uid="{00000000-0005-0000-0000-000001EF0000}"/>
    <cellStyle name="Текст предупреждения 95" xfId="61066" xr:uid="{00000000-0005-0000-0000-000002EF0000}"/>
    <cellStyle name="Текст предупреждения 96" xfId="61067" xr:uid="{00000000-0005-0000-0000-000003EF0000}"/>
    <cellStyle name="Текст предупреждения 97" xfId="61068" xr:uid="{00000000-0005-0000-0000-000004EF0000}"/>
    <cellStyle name="Текст предупреждения 98" xfId="61069" xr:uid="{00000000-0005-0000-0000-000005EF0000}"/>
    <cellStyle name="Текст предупреждения 99" xfId="61070" xr:uid="{00000000-0005-0000-0000-000006EF0000}"/>
    <cellStyle name="Финансовый 10" xfId="61071" xr:uid="{00000000-0005-0000-0000-000007EF0000}"/>
    <cellStyle name="Финансовый 11" xfId="61072" xr:uid="{00000000-0005-0000-0000-000008EF0000}"/>
    <cellStyle name="Финансовый 11 2" xfId="61073" xr:uid="{00000000-0005-0000-0000-000009EF0000}"/>
    <cellStyle name="Финансовый 12" xfId="61074" xr:uid="{00000000-0005-0000-0000-00000AEF0000}"/>
    <cellStyle name="Финансовый 13" xfId="61075" xr:uid="{00000000-0005-0000-0000-00000BEF0000}"/>
    <cellStyle name="Финансовый 14" xfId="61309" xr:uid="{00000000-0005-0000-0000-00000CEF0000}"/>
    <cellStyle name="Финансовый 2" xfId="61076" xr:uid="{00000000-0005-0000-0000-00000DEF0000}"/>
    <cellStyle name="Финансовый 2 10" xfId="61077" xr:uid="{00000000-0005-0000-0000-00000EEF0000}"/>
    <cellStyle name="Финансовый 2 11" xfId="61078" xr:uid="{00000000-0005-0000-0000-00000FEF0000}"/>
    <cellStyle name="Финансовый 2 12" xfId="61079" xr:uid="{00000000-0005-0000-0000-000010EF0000}"/>
    <cellStyle name="Финансовый 2 13" xfId="61080" xr:uid="{00000000-0005-0000-0000-000011EF0000}"/>
    <cellStyle name="Финансовый 2 14" xfId="61081" xr:uid="{00000000-0005-0000-0000-000012EF0000}"/>
    <cellStyle name="Финансовый 2 15" xfId="61082" xr:uid="{00000000-0005-0000-0000-000013EF0000}"/>
    <cellStyle name="Финансовый 2 16" xfId="61083" xr:uid="{00000000-0005-0000-0000-000014EF0000}"/>
    <cellStyle name="Финансовый 2 17" xfId="61084" xr:uid="{00000000-0005-0000-0000-000015EF0000}"/>
    <cellStyle name="Финансовый 2 18" xfId="61085" xr:uid="{00000000-0005-0000-0000-000016EF0000}"/>
    <cellStyle name="Финансовый 2 2" xfId="61086" xr:uid="{00000000-0005-0000-0000-000017EF0000}"/>
    <cellStyle name="Финансовый 2 2 2" xfId="61087" xr:uid="{00000000-0005-0000-0000-000018EF0000}"/>
    <cellStyle name="Финансовый 2 2 2 2" xfId="61088" xr:uid="{00000000-0005-0000-0000-000019EF0000}"/>
    <cellStyle name="Финансовый 2 2 3" xfId="61089" xr:uid="{00000000-0005-0000-0000-00001AEF0000}"/>
    <cellStyle name="Финансовый 2 3" xfId="61090" xr:uid="{00000000-0005-0000-0000-00001BEF0000}"/>
    <cellStyle name="Финансовый 2 3 2" xfId="61091" xr:uid="{00000000-0005-0000-0000-00001CEF0000}"/>
    <cellStyle name="Финансовый 2 3 2 2" xfId="61092" xr:uid="{00000000-0005-0000-0000-00001DEF0000}"/>
    <cellStyle name="Финансовый 2 3 3" xfId="61093" xr:uid="{00000000-0005-0000-0000-00001EEF0000}"/>
    <cellStyle name="Финансовый 2 4" xfId="61094" xr:uid="{00000000-0005-0000-0000-00001FEF0000}"/>
    <cellStyle name="Финансовый 2 4 2" xfId="61095" xr:uid="{00000000-0005-0000-0000-000020EF0000}"/>
    <cellStyle name="Финансовый 2 4 2 2" xfId="61096" xr:uid="{00000000-0005-0000-0000-000021EF0000}"/>
    <cellStyle name="Финансовый 2 4 3" xfId="61097" xr:uid="{00000000-0005-0000-0000-000022EF0000}"/>
    <cellStyle name="Финансовый 2 5" xfId="61098" xr:uid="{00000000-0005-0000-0000-000023EF0000}"/>
    <cellStyle name="Финансовый 2 5 2" xfId="61099" xr:uid="{00000000-0005-0000-0000-000024EF0000}"/>
    <cellStyle name="Финансовый 2 6" xfId="61100" xr:uid="{00000000-0005-0000-0000-000025EF0000}"/>
    <cellStyle name="Финансовый 2 6 2" xfId="61101" xr:uid="{00000000-0005-0000-0000-000026EF0000}"/>
    <cellStyle name="Финансовый 2 7" xfId="61102" xr:uid="{00000000-0005-0000-0000-000027EF0000}"/>
    <cellStyle name="Финансовый 2 7 2" xfId="61103" xr:uid="{00000000-0005-0000-0000-000028EF0000}"/>
    <cellStyle name="Финансовый 2 8" xfId="61104" xr:uid="{00000000-0005-0000-0000-000029EF0000}"/>
    <cellStyle name="Финансовый 2 9" xfId="61105" xr:uid="{00000000-0005-0000-0000-00002AEF0000}"/>
    <cellStyle name="Финансовый 3" xfId="61106" xr:uid="{00000000-0005-0000-0000-00002BEF0000}"/>
    <cellStyle name="Финансовый 3 2" xfId="61107" xr:uid="{00000000-0005-0000-0000-00002CEF0000}"/>
    <cellStyle name="Финансовый 3 2 2" xfId="61108" xr:uid="{00000000-0005-0000-0000-00002DEF0000}"/>
    <cellStyle name="Финансовый 3 3" xfId="61109" xr:uid="{00000000-0005-0000-0000-00002EEF0000}"/>
    <cellStyle name="Финансовый 3 4" xfId="61110" xr:uid="{00000000-0005-0000-0000-00002FEF0000}"/>
    <cellStyle name="Финансовый 3 5" xfId="61111" xr:uid="{00000000-0005-0000-0000-000030EF0000}"/>
    <cellStyle name="Финансовый 3 6" xfId="61112" xr:uid="{00000000-0005-0000-0000-000031EF0000}"/>
    <cellStyle name="Финансовый 3 7" xfId="61113" xr:uid="{00000000-0005-0000-0000-000032EF0000}"/>
    <cellStyle name="Финансовый 3 8" xfId="61114" xr:uid="{00000000-0005-0000-0000-000033EF0000}"/>
    <cellStyle name="Финансовый 3 9" xfId="61115" xr:uid="{00000000-0005-0000-0000-000034EF0000}"/>
    <cellStyle name="Финансовый 4" xfId="61116" xr:uid="{00000000-0005-0000-0000-000035EF0000}"/>
    <cellStyle name="Финансовый 4 2" xfId="61117" xr:uid="{00000000-0005-0000-0000-000036EF0000}"/>
    <cellStyle name="Финансовый 4 3" xfId="61118" xr:uid="{00000000-0005-0000-0000-000037EF0000}"/>
    <cellStyle name="Финансовый 5" xfId="61119" xr:uid="{00000000-0005-0000-0000-000038EF0000}"/>
    <cellStyle name="Финансовый 5 2" xfId="61120" xr:uid="{00000000-0005-0000-0000-000039EF0000}"/>
    <cellStyle name="Финансовый 5 3" xfId="61121" xr:uid="{00000000-0005-0000-0000-00003AEF0000}"/>
    <cellStyle name="Финансовый 6" xfId="61122" xr:uid="{00000000-0005-0000-0000-00003BEF0000}"/>
    <cellStyle name="Финансовый 6 2" xfId="61123" xr:uid="{00000000-0005-0000-0000-00003CEF0000}"/>
    <cellStyle name="Финансовый 7" xfId="61124" xr:uid="{00000000-0005-0000-0000-00003DEF0000}"/>
    <cellStyle name="Финансовый 8" xfId="61125" xr:uid="{00000000-0005-0000-0000-00003EEF0000}"/>
    <cellStyle name="Финансовый 9" xfId="61126" xr:uid="{00000000-0005-0000-0000-00003FEF0000}"/>
    <cellStyle name="Хороший 10" xfId="61127" xr:uid="{00000000-0005-0000-0000-000040EF0000}"/>
    <cellStyle name="Хороший 100" xfId="61128" xr:uid="{00000000-0005-0000-0000-000041EF0000}"/>
    <cellStyle name="Хороший 101" xfId="61129" xr:uid="{00000000-0005-0000-0000-000042EF0000}"/>
    <cellStyle name="Хороший 102" xfId="61130" xr:uid="{00000000-0005-0000-0000-000043EF0000}"/>
    <cellStyle name="Хороший 103" xfId="61131" xr:uid="{00000000-0005-0000-0000-000044EF0000}"/>
    <cellStyle name="Хороший 104" xfId="61132" xr:uid="{00000000-0005-0000-0000-000045EF0000}"/>
    <cellStyle name="Хороший 105" xfId="61133" xr:uid="{00000000-0005-0000-0000-000046EF0000}"/>
    <cellStyle name="Хороший 106" xfId="61134" xr:uid="{00000000-0005-0000-0000-000047EF0000}"/>
    <cellStyle name="Хороший 107" xfId="61135" xr:uid="{00000000-0005-0000-0000-000048EF0000}"/>
    <cellStyle name="Хороший 108" xfId="61136" xr:uid="{00000000-0005-0000-0000-000049EF0000}"/>
    <cellStyle name="Хороший 109" xfId="61137" xr:uid="{00000000-0005-0000-0000-00004AEF0000}"/>
    <cellStyle name="Хороший 11" xfId="61138" xr:uid="{00000000-0005-0000-0000-00004BEF0000}"/>
    <cellStyle name="Хороший 110" xfId="61139" xr:uid="{00000000-0005-0000-0000-00004CEF0000}"/>
    <cellStyle name="Хороший 111" xfId="61140" xr:uid="{00000000-0005-0000-0000-00004DEF0000}"/>
    <cellStyle name="Хороший 112" xfId="61141" xr:uid="{00000000-0005-0000-0000-00004EEF0000}"/>
    <cellStyle name="Хороший 113" xfId="61142" xr:uid="{00000000-0005-0000-0000-00004FEF0000}"/>
    <cellStyle name="Хороший 114" xfId="61143" xr:uid="{00000000-0005-0000-0000-000050EF0000}"/>
    <cellStyle name="Хороший 115" xfId="61144" xr:uid="{00000000-0005-0000-0000-000051EF0000}"/>
    <cellStyle name="Хороший 116" xfId="61145" xr:uid="{00000000-0005-0000-0000-000052EF0000}"/>
    <cellStyle name="Хороший 117" xfId="61146" xr:uid="{00000000-0005-0000-0000-000053EF0000}"/>
    <cellStyle name="Хороший 118" xfId="61147" xr:uid="{00000000-0005-0000-0000-000054EF0000}"/>
    <cellStyle name="Хороший 119" xfId="61148" xr:uid="{00000000-0005-0000-0000-000055EF0000}"/>
    <cellStyle name="Хороший 12" xfId="61149" xr:uid="{00000000-0005-0000-0000-000056EF0000}"/>
    <cellStyle name="Хороший 120" xfId="61150" xr:uid="{00000000-0005-0000-0000-000057EF0000}"/>
    <cellStyle name="Хороший 121" xfId="61151" xr:uid="{00000000-0005-0000-0000-000058EF0000}"/>
    <cellStyle name="Хороший 122" xfId="61152" xr:uid="{00000000-0005-0000-0000-000059EF0000}"/>
    <cellStyle name="Хороший 123" xfId="61153" xr:uid="{00000000-0005-0000-0000-00005AEF0000}"/>
    <cellStyle name="Хороший 124" xfId="61154" xr:uid="{00000000-0005-0000-0000-00005BEF0000}"/>
    <cellStyle name="Хороший 125" xfId="61155" xr:uid="{00000000-0005-0000-0000-00005CEF0000}"/>
    <cellStyle name="Хороший 126" xfId="61156" xr:uid="{00000000-0005-0000-0000-00005DEF0000}"/>
    <cellStyle name="Хороший 127" xfId="61157" xr:uid="{00000000-0005-0000-0000-00005EEF0000}"/>
    <cellStyle name="Хороший 128" xfId="61158" xr:uid="{00000000-0005-0000-0000-00005FEF0000}"/>
    <cellStyle name="Хороший 129" xfId="61159" xr:uid="{00000000-0005-0000-0000-000060EF0000}"/>
    <cellStyle name="Хороший 13" xfId="61160" xr:uid="{00000000-0005-0000-0000-000061EF0000}"/>
    <cellStyle name="Хороший 130" xfId="61161" xr:uid="{00000000-0005-0000-0000-000062EF0000}"/>
    <cellStyle name="Хороший 131" xfId="61162" xr:uid="{00000000-0005-0000-0000-000063EF0000}"/>
    <cellStyle name="Хороший 132" xfId="61163" xr:uid="{00000000-0005-0000-0000-000064EF0000}"/>
    <cellStyle name="Хороший 133" xfId="61164" xr:uid="{00000000-0005-0000-0000-000065EF0000}"/>
    <cellStyle name="Хороший 134" xfId="61165" xr:uid="{00000000-0005-0000-0000-000066EF0000}"/>
    <cellStyle name="Хороший 135" xfId="61166" xr:uid="{00000000-0005-0000-0000-000067EF0000}"/>
    <cellStyle name="Хороший 136" xfId="61167" xr:uid="{00000000-0005-0000-0000-000068EF0000}"/>
    <cellStyle name="Хороший 137" xfId="61168" xr:uid="{00000000-0005-0000-0000-000069EF0000}"/>
    <cellStyle name="Хороший 138" xfId="61169" xr:uid="{00000000-0005-0000-0000-00006AEF0000}"/>
    <cellStyle name="Хороший 139" xfId="61170" xr:uid="{00000000-0005-0000-0000-00006BEF0000}"/>
    <cellStyle name="Хороший 14" xfId="61171" xr:uid="{00000000-0005-0000-0000-00006CEF0000}"/>
    <cellStyle name="Хороший 140" xfId="61172" xr:uid="{00000000-0005-0000-0000-00006DEF0000}"/>
    <cellStyle name="Хороший 141" xfId="61173" xr:uid="{00000000-0005-0000-0000-00006EEF0000}"/>
    <cellStyle name="Хороший 142" xfId="61174" xr:uid="{00000000-0005-0000-0000-00006FEF0000}"/>
    <cellStyle name="Хороший 143" xfId="61175" xr:uid="{00000000-0005-0000-0000-000070EF0000}"/>
    <cellStyle name="Хороший 144" xfId="61176" xr:uid="{00000000-0005-0000-0000-000071EF0000}"/>
    <cellStyle name="Хороший 145" xfId="61177" xr:uid="{00000000-0005-0000-0000-000072EF0000}"/>
    <cellStyle name="Хороший 146" xfId="61178" xr:uid="{00000000-0005-0000-0000-000073EF0000}"/>
    <cellStyle name="Хороший 147" xfId="61179" xr:uid="{00000000-0005-0000-0000-000074EF0000}"/>
    <cellStyle name="Хороший 148" xfId="61180" xr:uid="{00000000-0005-0000-0000-000075EF0000}"/>
    <cellStyle name="Хороший 149" xfId="61181" xr:uid="{00000000-0005-0000-0000-000076EF0000}"/>
    <cellStyle name="Хороший 15" xfId="61182" xr:uid="{00000000-0005-0000-0000-000077EF0000}"/>
    <cellStyle name="Хороший 150" xfId="61183" xr:uid="{00000000-0005-0000-0000-000078EF0000}"/>
    <cellStyle name="Хороший 151" xfId="61184" xr:uid="{00000000-0005-0000-0000-000079EF0000}"/>
    <cellStyle name="Хороший 152" xfId="61185" xr:uid="{00000000-0005-0000-0000-00007AEF0000}"/>
    <cellStyle name="Хороший 153" xfId="61186" xr:uid="{00000000-0005-0000-0000-00007BEF0000}"/>
    <cellStyle name="Хороший 16" xfId="61187" xr:uid="{00000000-0005-0000-0000-00007CEF0000}"/>
    <cellStyle name="Хороший 17" xfId="61188" xr:uid="{00000000-0005-0000-0000-00007DEF0000}"/>
    <cellStyle name="Хороший 18" xfId="61189" xr:uid="{00000000-0005-0000-0000-00007EEF0000}"/>
    <cellStyle name="Хороший 19" xfId="61190" xr:uid="{00000000-0005-0000-0000-00007FEF0000}"/>
    <cellStyle name="Хороший 2" xfId="61191" xr:uid="{00000000-0005-0000-0000-000080EF0000}"/>
    <cellStyle name="Хороший 2 2" xfId="61192" xr:uid="{00000000-0005-0000-0000-000081EF0000}"/>
    <cellStyle name="Хороший 2 2 10" xfId="61193" xr:uid="{00000000-0005-0000-0000-000082EF0000}"/>
    <cellStyle name="Хороший 2 2 11" xfId="61194" xr:uid="{00000000-0005-0000-0000-000083EF0000}"/>
    <cellStyle name="Хороший 2 2 12" xfId="61195" xr:uid="{00000000-0005-0000-0000-000084EF0000}"/>
    <cellStyle name="Хороший 2 2 13" xfId="61196" xr:uid="{00000000-0005-0000-0000-000085EF0000}"/>
    <cellStyle name="Хороший 2 2 2" xfId="61197" xr:uid="{00000000-0005-0000-0000-000086EF0000}"/>
    <cellStyle name="Хороший 2 2 3" xfId="61198" xr:uid="{00000000-0005-0000-0000-000087EF0000}"/>
    <cellStyle name="Хороший 2 2 4" xfId="61199" xr:uid="{00000000-0005-0000-0000-000088EF0000}"/>
    <cellStyle name="Хороший 2 2 5" xfId="61200" xr:uid="{00000000-0005-0000-0000-000089EF0000}"/>
    <cellStyle name="Хороший 2 2 6" xfId="61201" xr:uid="{00000000-0005-0000-0000-00008AEF0000}"/>
    <cellStyle name="Хороший 2 2 7" xfId="61202" xr:uid="{00000000-0005-0000-0000-00008BEF0000}"/>
    <cellStyle name="Хороший 2 2 8" xfId="61203" xr:uid="{00000000-0005-0000-0000-00008CEF0000}"/>
    <cellStyle name="Хороший 2 2 9" xfId="61204" xr:uid="{00000000-0005-0000-0000-00008DEF0000}"/>
    <cellStyle name="Хороший 2 3" xfId="61205" xr:uid="{00000000-0005-0000-0000-00008EEF0000}"/>
    <cellStyle name="Хороший 20" xfId="61206" xr:uid="{00000000-0005-0000-0000-00008FEF0000}"/>
    <cellStyle name="Хороший 21" xfId="61207" xr:uid="{00000000-0005-0000-0000-000090EF0000}"/>
    <cellStyle name="Хороший 22" xfId="61208" xr:uid="{00000000-0005-0000-0000-000091EF0000}"/>
    <cellStyle name="Хороший 23" xfId="61209" xr:uid="{00000000-0005-0000-0000-000092EF0000}"/>
    <cellStyle name="Хороший 24" xfId="61210" xr:uid="{00000000-0005-0000-0000-000093EF0000}"/>
    <cellStyle name="Хороший 25" xfId="61211" xr:uid="{00000000-0005-0000-0000-000094EF0000}"/>
    <cellStyle name="Хороший 26" xfId="61212" xr:uid="{00000000-0005-0000-0000-000095EF0000}"/>
    <cellStyle name="Хороший 27" xfId="61213" xr:uid="{00000000-0005-0000-0000-000096EF0000}"/>
    <cellStyle name="Хороший 28" xfId="61214" xr:uid="{00000000-0005-0000-0000-000097EF0000}"/>
    <cellStyle name="Хороший 29" xfId="61215" xr:uid="{00000000-0005-0000-0000-000098EF0000}"/>
    <cellStyle name="Хороший 3" xfId="61216" xr:uid="{00000000-0005-0000-0000-000099EF0000}"/>
    <cellStyle name="Хороший 30" xfId="61217" xr:uid="{00000000-0005-0000-0000-00009AEF0000}"/>
    <cellStyle name="Хороший 31" xfId="61218" xr:uid="{00000000-0005-0000-0000-00009BEF0000}"/>
    <cellStyle name="Хороший 32" xfId="61219" xr:uid="{00000000-0005-0000-0000-00009CEF0000}"/>
    <cellStyle name="Хороший 33" xfId="61220" xr:uid="{00000000-0005-0000-0000-00009DEF0000}"/>
    <cellStyle name="Хороший 34" xfId="61221" xr:uid="{00000000-0005-0000-0000-00009EEF0000}"/>
    <cellStyle name="Хороший 35" xfId="61222" xr:uid="{00000000-0005-0000-0000-00009FEF0000}"/>
    <cellStyle name="Хороший 36" xfId="61223" xr:uid="{00000000-0005-0000-0000-0000A0EF0000}"/>
    <cellStyle name="Хороший 37" xfId="61224" xr:uid="{00000000-0005-0000-0000-0000A1EF0000}"/>
    <cellStyle name="Хороший 38" xfId="61225" xr:uid="{00000000-0005-0000-0000-0000A2EF0000}"/>
    <cellStyle name="Хороший 39" xfId="61226" xr:uid="{00000000-0005-0000-0000-0000A3EF0000}"/>
    <cellStyle name="Хороший 4" xfId="61227" xr:uid="{00000000-0005-0000-0000-0000A4EF0000}"/>
    <cellStyle name="Хороший 40" xfId="61228" xr:uid="{00000000-0005-0000-0000-0000A5EF0000}"/>
    <cellStyle name="Хороший 41" xfId="61229" xr:uid="{00000000-0005-0000-0000-0000A6EF0000}"/>
    <cellStyle name="Хороший 42" xfId="61230" xr:uid="{00000000-0005-0000-0000-0000A7EF0000}"/>
    <cellStyle name="Хороший 43" xfId="61231" xr:uid="{00000000-0005-0000-0000-0000A8EF0000}"/>
    <cellStyle name="Хороший 44" xfId="61232" xr:uid="{00000000-0005-0000-0000-0000A9EF0000}"/>
    <cellStyle name="Хороший 45" xfId="61233" xr:uid="{00000000-0005-0000-0000-0000AAEF0000}"/>
    <cellStyle name="Хороший 46" xfId="61234" xr:uid="{00000000-0005-0000-0000-0000ABEF0000}"/>
    <cellStyle name="Хороший 47" xfId="61235" xr:uid="{00000000-0005-0000-0000-0000ACEF0000}"/>
    <cellStyle name="Хороший 48" xfId="61236" xr:uid="{00000000-0005-0000-0000-0000ADEF0000}"/>
    <cellStyle name="Хороший 49" xfId="61237" xr:uid="{00000000-0005-0000-0000-0000AEEF0000}"/>
    <cellStyle name="Хороший 5" xfId="61238" xr:uid="{00000000-0005-0000-0000-0000AFEF0000}"/>
    <cellStyle name="Хороший 50" xfId="61239" xr:uid="{00000000-0005-0000-0000-0000B0EF0000}"/>
    <cellStyle name="Хороший 51" xfId="61240" xr:uid="{00000000-0005-0000-0000-0000B1EF0000}"/>
    <cellStyle name="Хороший 52" xfId="61241" xr:uid="{00000000-0005-0000-0000-0000B2EF0000}"/>
    <cellStyle name="Хороший 53" xfId="61242" xr:uid="{00000000-0005-0000-0000-0000B3EF0000}"/>
    <cellStyle name="Хороший 54" xfId="61243" xr:uid="{00000000-0005-0000-0000-0000B4EF0000}"/>
    <cellStyle name="Хороший 55" xfId="61244" xr:uid="{00000000-0005-0000-0000-0000B5EF0000}"/>
    <cellStyle name="Хороший 56" xfId="61245" xr:uid="{00000000-0005-0000-0000-0000B6EF0000}"/>
    <cellStyle name="Хороший 57" xfId="61246" xr:uid="{00000000-0005-0000-0000-0000B7EF0000}"/>
    <cellStyle name="Хороший 58" xfId="61247" xr:uid="{00000000-0005-0000-0000-0000B8EF0000}"/>
    <cellStyle name="Хороший 59" xfId="61248" xr:uid="{00000000-0005-0000-0000-0000B9EF0000}"/>
    <cellStyle name="Хороший 6" xfId="61249" xr:uid="{00000000-0005-0000-0000-0000BAEF0000}"/>
    <cellStyle name="Хороший 60" xfId="61250" xr:uid="{00000000-0005-0000-0000-0000BBEF0000}"/>
    <cellStyle name="Хороший 61" xfId="61251" xr:uid="{00000000-0005-0000-0000-0000BCEF0000}"/>
    <cellStyle name="Хороший 62" xfId="61252" xr:uid="{00000000-0005-0000-0000-0000BDEF0000}"/>
    <cellStyle name="Хороший 63" xfId="61253" xr:uid="{00000000-0005-0000-0000-0000BEEF0000}"/>
    <cellStyle name="Хороший 64" xfId="61254" xr:uid="{00000000-0005-0000-0000-0000BFEF0000}"/>
    <cellStyle name="Хороший 65" xfId="61255" xr:uid="{00000000-0005-0000-0000-0000C0EF0000}"/>
    <cellStyle name="Хороший 66" xfId="61256" xr:uid="{00000000-0005-0000-0000-0000C1EF0000}"/>
    <cellStyle name="Хороший 67" xfId="61257" xr:uid="{00000000-0005-0000-0000-0000C2EF0000}"/>
    <cellStyle name="Хороший 68" xfId="61258" xr:uid="{00000000-0005-0000-0000-0000C3EF0000}"/>
    <cellStyle name="Хороший 69" xfId="61259" xr:uid="{00000000-0005-0000-0000-0000C4EF0000}"/>
    <cellStyle name="Хороший 7" xfId="61260" xr:uid="{00000000-0005-0000-0000-0000C5EF0000}"/>
    <cellStyle name="Хороший 70" xfId="61261" xr:uid="{00000000-0005-0000-0000-0000C6EF0000}"/>
    <cellStyle name="Хороший 71" xfId="61262" xr:uid="{00000000-0005-0000-0000-0000C7EF0000}"/>
    <cellStyle name="Хороший 72" xfId="61263" xr:uid="{00000000-0005-0000-0000-0000C8EF0000}"/>
    <cellStyle name="Хороший 73" xfId="61264" xr:uid="{00000000-0005-0000-0000-0000C9EF0000}"/>
    <cellStyle name="Хороший 74" xfId="61265" xr:uid="{00000000-0005-0000-0000-0000CAEF0000}"/>
    <cellStyle name="Хороший 75" xfId="61266" xr:uid="{00000000-0005-0000-0000-0000CBEF0000}"/>
    <cellStyle name="Хороший 76" xfId="61267" xr:uid="{00000000-0005-0000-0000-0000CCEF0000}"/>
    <cellStyle name="Хороший 77" xfId="61268" xr:uid="{00000000-0005-0000-0000-0000CDEF0000}"/>
    <cellStyle name="Хороший 78" xfId="61269" xr:uid="{00000000-0005-0000-0000-0000CEEF0000}"/>
    <cellStyle name="Хороший 79" xfId="61270" xr:uid="{00000000-0005-0000-0000-0000CFEF0000}"/>
    <cellStyle name="Хороший 8" xfId="61271" xr:uid="{00000000-0005-0000-0000-0000D0EF0000}"/>
    <cellStyle name="Хороший 80" xfId="61272" xr:uid="{00000000-0005-0000-0000-0000D1EF0000}"/>
    <cellStyle name="Хороший 81" xfId="61273" xr:uid="{00000000-0005-0000-0000-0000D2EF0000}"/>
    <cellStyle name="Хороший 82" xfId="61274" xr:uid="{00000000-0005-0000-0000-0000D3EF0000}"/>
    <cellStyle name="Хороший 83" xfId="61275" xr:uid="{00000000-0005-0000-0000-0000D4EF0000}"/>
    <cellStyle name="Хороший 84" xfId="61276" xr:uid="{00000000-0005-0000-0000-0000D5EF0000}"/>
    <cellStyle name="Хороший 85" xfId="61277" xr:uid="{00000000-0005-0000-0000-0000D6EF0000}"/>
    <cellStyle name="Хороший 86" xfId="61278" xr:uid="{00000000-0005-0000-0000-0000D7EF0000}"/>
    <cellStyle name="Хороший 87" xfId="61279" xr:uid="{00000000-0005-0000-0000-0000D8EF0000}"/>
    <cellStyle name="Хороший 88" xfId="61280" xr:uid="{00000000-0005-0000-0000-0000D9EF0000}"/>
    <cellStyle name="Хороший 89" xfId="61281" xr:uid="{00000000-0005-0000-0000-0000DAEF0000}"/>
    <cellStyle name="Хороший 9" xfId="61282" xr:uid="{00000000-0005-0000-0000-0000DBEF0000}"/>
    <cellStyle name="Хороший 90" xfId="61283" xr:uid="{00000000-0005-0000-0000-0000DCEF0000}"/>
    <cellStyle name="Хороший 91" xfId="61284" xr:uid="{00000000-0005-0000-0000-0000DDEF0000}"/>
    <cellStyle name="Хороший 92" xfId="61285" xr:uid="{00000000-0005-0000-0000-0000DEEF0000}"/>
    <cellStyle name="Хороший 93" xfId="61286" xr:uid="{00000000-0005-0000-0000-0000DFEF0000}"/>
    <cellStyle name="Хороший 94" xfId="61287" xr:uid="{00000000-0005-0000-0000-0000E0EF0000}"/>
    <cellStyle name="Хороший 95" xfId="61288" xr:uid="{00000000-0005-0000-0000-0000E1EF0000}"/>
    <cellStyle name="Хороший 96" xfId="61289" xr:uid="{00000000-0005-0000-0000-0000E2EF0000}"/>
    <cellStyle name="Хороший 97" xfId="61290" xr:uid="{00000000-0005-0000-0000-0000E3EF0000}"/>
    <cellStyle name="Хороший 98" xfId="61291" xr:uid="{00000000-0005-0000-0000-0000E4EF0000}"/>
    <cellStyle name="Хороший 99" xfId="61292" xr:uid="{00000000-0005-0000-0000-0000E5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7;&#1090;&#1072;&#1094;&#1080;&#1086;&#1085;&#1072;&#1088;\&#1042;&#1052;&#1055;%202023&#107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64;&#1082;&#1086;&#1083;&#1072;%20&#1089;&#1072;&#1093;&#1072;&#1088;&#1085;&#1086;&#1075;&#1086;%20&#1076;&#1080;&#1072;&#1073;&#1077;&#1090;&#1072;%202023%20&#1086;&#1073;&#1098;&#1077;&#1084;&#109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44;&#1053;%20&#1074;&#1079;&#1088;&#1086;&#1089;&#1083;&#1099;&#1093;%20&#1087;&#1086;%20&#1089;&#1087;&#1077;&#1094;&#1080;&#1072;&#1083;&#1080;&#1089;&#1090;&#1072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  <sheetName val="Уточнение Пр.16-23"/>
      <sheetName val="Углуб.дисп.Пр. 16-23"/>
      <sheetName val="Уточнение Пр.17-23 "/>
      <sheetName val="Углуб.дисп.Пр. 17-23"/>
    </sheetNames>
    <sheetDataSet>
      <sheetData sheetId="0"/>
      <sheetData sheetId="1">
        <row r="34">
          <cell r="E34">
            <v>8182</v>
          </cell>
          <cell r="F34">
            <v>8182</v>
          </cell>
          <cell r="H34">
            <v>818</v>
          </cell>
          <cell r="I34">
            <v>818</v>
          </cell>
          <cell r="J34">
            <v>818</v>
          </cell>
        </row>
        <row r="35">
          <cell r="E35">
            <v>970</v>
          </cell>
          <cell r="F35">
            <v>970</v>
          </cell>
          <cell r="H35">
            <v>97</v>
          </cell>
          <cell r="I35">
            <v>97</v>
          </cell>
          <cell r="J35">
            <v>97</v>
          </cell>
        </row>
      </sheetData>
      <sheetData sheetId="2"/>
      <sheetData sheetId="3">
        <row r="34">
          <cell r="E34">
            <v>-867</v>
          </cell>
          <cell r="F34">
            <v>261</v>
          </cell>
          <cell r="H34">
            <v>4</v>
          </cell>
          <cell r="I34">
            <v>47</v>
          </cell>
          <cell r="J34">
            <v>59</v>
          </cell>
        </row>
        <row r="35">
          <cell r="E35">
            <v>867</v>
          </cell>
          <cell r="F35">
            <v>-261</v>
          </cell>
          <cell r="H35">
            <v>-4</v>
          </cell>
          <cell r="I35">
            <v>-47</v>
          </cell>
          <cell r="J35">
            <v>-59</v>
          </cell>
        </row>
      </sheetData>
      <sheetData sheetId="4">
        <row r="9">
          <cell r="D9">
            <v>1855</v>
          </cell>
          <cell r="G9">
            <v>519</v>
          </cell>
        </row>
        <row r="10">
          <cell r="D10">
            <v>1867</v>
          </cell>
          <cell r="G10">
            <v>153</v>
          </cell>
        </row>
        <row r="11">
          <cell r="D11">
            <v>5561</v>
          </cell>
          <cell r="G11">
            <v>366</v>
          </cell>
        </row>
        <row r="12">
          <cell r="D12">
            <v>1724</v>
          </cell>
          <cell r="G12">
            <v>231</v>
          </cell>
        </row>
        <row r="13">
          <cell r="D13">
            <v>1481</v>
          </cell>
          <cell r="G13">
            <v>99</v>
          </cell>
        </row>
        <row r="14">
          <cell r="D14">
            <v>10094</v>
          </cell>
          <cell r="G14">
            <v>696</v>
          </cell>
        </row>
        <row r="15">
          <cell r="D15">
            <v>7459</v>
          </cell>
          <cell r="G15">
            <v>333</v>
          </cell>
        </row>
        <row r="16">
          <cell r="D16">
            <v>1855</v>
          </cell>
          <cell r="G16">
            <v>90</v>
          </cell>
        </row>
        <row r="17">
          <cell r="D17">
            <v>2065</v>
          </cell>
          <cell r="G17">
            <v>417</v>
          </cell>
        </row>
        <row r="18">
          <cell r="D18">
            <v>2290</v>
          </cell>
          <cell r="G18">
            <v>75</v>
          </cell>
        </row>
        <row r="19">
          <cell r="D19">
            <v>1619</v>
          </cell>
          <cell r="G19">
            <v>111</v>
          </cell>
        </row>
        <row r="20">
          <cell r="D20">
            <v>4547</v>
          </cell>
          <cell r="G20">
            <v>240</v>
          </cell>
        </row>
        <row r="21">
          <cell r="D21">
            <v>0</v>
          </cell>
          <cell r="G21">
            <v>0</v>
          </cell>
        </row>
        <row r="22">
          <cell r="D22">
            <v>0</v>
          </cell>
          <cell r="G22">
            <v>0</v>
          </cell>
        </row>
        <row r="23">
          <cell r="D23">
            <v>1120</v>
          </cell>
          <cell r="G23">
            <v>261</v>
          </cell>
        </row>
        <row r="24">
          <cell r="D24">
            <v>2446</v>
          </cell>
          <cell r="G24">
            <v>198</v>
          </cell>
        </row>
        <row r="25">
          <cell r="D25">
            <v>3695</v>
          </cell>
          <cell r="G25">
            <v>456</v>
          </cell>
        </row>
        <row r="26">
          <cell r="D26">
            <v>9303</v>
          </cell>
          <cell r="G26">
            <v>888</v>
          </cell>
        </row>
        <row r="27">
          <cell r="D27">
            <v>1308</v>
          </cell>
          <cell r="G27">
            <v>255</v>
          </cell>
        </row>
        <row r="28">
          <cell r="D28">
            <v>894</v>
          </cell>
          <cell r="G28">
            <v>120</v>
          </cell>
        </row>
        <row r="29">
          <cell r="D29">
            <v>5295</v>
          </cell>
          <cell r="G29">
            <v>429</v>
          </cell>
        </row>
        <row r="30">
          <cell r="D30">
            <v>6679</v>
          </cell>
          <cell r="G30">
            <v>354</v>
          </cell>
        </row>
        <row r="31">
          <cell r="D31">
            <v>1177</v>
          </cell>
          <cell r="G31">
            <v>48</v>
          </cell>
        </row>
        <row r="32">
          <cell r="D32">
            <v>0</v>
          </cell>
          <cell r="G32">
            <v>0</v>
          </cell>
        </row>
        <row r="33">
          <cell r="D33">
            <v>0</v>
          </cell>
          <cell r="G33">
            <v>0</v>
          </cell>
        </row>
        <row r="34">
          <cell r="D34">
            <v>15380</v>
          </cell>
          <cell r="G34">
            <v>2602</v>
          </cell>
        </row>
        <row r="35">
          <cell r="D35">
            <v>3580</v>
          </cell>
          <cell r="G35">
            <v>143</v>
          </cell>
        </row>
        <row r="36">
          <cell r="D36">
            <v>0</v>
          </cell>
          <cell r="G36">
            <v>0</v>
          </cell>
        </row>
        <row r="37">
          <cell r="D37">
            <v>0</v>
          </cell>
          <cell r="G37">
            <v>0</v>
          </cell>
        </row>
        <row r="38">
          <cell r="D38">
            <v>0</v>
          </cell>
          <cell r="G38">
            <v>0</v>
          </cell>
        </row>
        <row r="39">
          <cell r="D39">
            <v>1141</v>
          </cell>
          <cell r="G39">
            <v>81</v>
          </cell>
        </row>
        <row r="40">
          <cell r="D40">
            <v>6434</v>
          </cell>
          <cell r="G40">
            <v>336</v>
          </cell>
        </row>
        <row r="41">
          <cell r="D41">
            <v>13810</v>
          </cell>
          <cell r="G41">
            <v>297</v>
          </cell>
        </row>
        <row r="42">
          <cell r="D42">
            <v>2397</v>
          </cell>
          <cell r="G42">
            <v>183</v>
          </cell>
        </row>
        <row r="43">
          <cell r="D43">
            <v>5724</v>
          </cell>
          <cell r="G43">
            <v>318</v>
          </cell>
        </row>
        <row r="44">
          <cell r="D44">
            <v>2206</v>
          </cell>
          <cell r="G44">
            <v>480</v>
          </cell>
        </row>
        <row r="45">
          <cell r="D45">
            <v>6475</v>
          </cell>
          <cell r="G45">
            <v>321</v>
          </cell>
        </row>
        <row r="46">
          <cell r="D46">
            <v>1898</v>
          </cell>
          <cell r="G46">
            <v>93</v>
          </cell>
        </row>
        <row r="47">
          <cell r="D47">
            <v>1102</v>
          </cell>
          <cell r="G47">
            <v>141</v>
          </cell>
        </row>
        <row r="48">
          <cell r="D48">
            <v>1954</v>
          </cell>
          <cell r="G48">
            <v>204</v>
          </cell>
        </row>
        <row r="49">
          <cell r="D49">
            <v>1237</v>
          </cell>
          <cell r="G49">
            <v>81</v>
          </cell>
        </row>
        <row r="50">
          <cell r="D50">
            <v>3959</v>
          </cell>
          <cell r="G50">
            <v>618</v>
          </cell>
        </row>
        <row r="51">
          <cell r="D51">
            <v>9280</v>
          </cell>
          <cell r="G51">
            <v>750</v>
          </cell>
        </row>
        <row r="52">
          <cell r="D52">
            <v>2035</v>
          </cell>
          <cell r="G52">
            <v>162</v>
          </cell>
        </row>
        <row r="53">
          <cell r="D53">
            <v>10946</v>
          </cell>
          <cell r="G53">
            <v>822</v>
          </cell>
        </row>
        <row r="54">
          <cell r="D54">
            <v>1573</v>
          </cell>
          <cell r="G54">
            <v>216</v>
          </cell>
        </row>
        <row r="55">
          <cell r="D55">
            <v>2447</v>
          </cell>
          <cell r="G55">
            <v>474</v>
          </cell>
        </row>
        <row r="56">
          <cell r="D56">
            <v>2756</v>
          </cell>
          <cell r="G56">
            <v>339</v>
          </cell>
        </row>
        <row r="57">
          <cell r="D57">
            <v>1170</v>
          </cell>
          <cell r="G57">
            <v>162</v>
          </cell>
        </row>
        <row r="58">
          <cell r="D58">
            <v>1388</v>
          </cell>
          <cell r="G58">
            <v>306</v>
          </cell>
        </row>
        <row r="59">
          <cell r="D59">
            <v>2426</v>
          </cell>
          <cell r="G59">
            <v>579</v>
          </cell>
        </row>
        <row r="60">
          <cell r="D60">
            <v>12247</v>
          </cell>
          <cell r="G60">
            <v>429</v>
          </cell>
        </row>
        <row r="61">
          <cell r="D61">
            <v>1810</v>
          </cell>
          <cell r="G61">
            <v>117</v>
          </cell>
        </row>
        <row r="62">
          <cell r="D62">
            <v>0</v>
          </cell>
          <cell r="G62">
            <v>0</v>
          </cell>
        </row>
        <row r="63">
          <cell r="D63">
            <v>0</v>
          </cell>
          <cell r="G63">
            <v>0</v>
          </cell>
        </row>
        <row r="64">
          <cell r="D64">
            <v>0</v>
          </cell>
          <cell r="G64">
            <v>0</v>
          </cell>
        </row>
        <row r="65">
          <cell r="D65">
            <v>0</v>
          </cell>
          <cell r="G65">
            <v>0</v>
          </cell>
        </row>
        <row r="66">
          <cell r="D66">
            <v>0</v>
          </cell>
          <cell r="G66">
            <v>0</v>
          </cell>
        </row>
        <row r="67">
          <cell r="D67">
            <v>0</v>
          </cell>
          <cell r="G67">
            <v>0</v>
          </cell>
        </row>
        <row r="68">
          <cell r="D68">
            <v>0</v>
          </cell>
          <cell r="G68">
            <v>0</v>
          </cell>
        </row>
        <row r="69">
          <cell r="D69">
            <v>0</v>
          </cell>
          <cell r="G69">
            <v>0</v>
          </cell>
        </row>
        <row r="70">
          <cell r="D70">
            <v>0</v>
          </cell>
          <cell r="G70">
            <v>0</v>
          </cell>
        </row>
        <row r="71">
          <cell r="D71">
            <v>0</v>
          </cell>
          <cell r="G71">
            <v>0</v>
          </cell>
        </row>
        <row r="72">
          <cell r="D72">
            <v>11273</v>
          </cell>
          <cell r="G72">
            <v>999</v>
          </cell>
        </row>
        <row r="73">
          <cell r="D73">
            <v>10686</v>
          </cell>
          <cell r="G73">
            <v>888</v>
          </cell>
        </row>
        <row r="74">
          <cell r="D74">
            <v>12002</v>
          </cell>
          <cell r="G74">
            <v>1353</v>
          </cell>
        </row>
        <row r="75">
          <cell r="D75">
            <v>0</v>
          </cell>
          <cell r="G75">
            <v>0</v>
          </cell>
        </row>
        <row r="76">
          <cell r="D76">
            <v>0</v>
          </cell>
          <cell r="G76">
            <v>0</v>
          </cell>
        </row>
        <row r="77">
          <cell r="D77">
            <v>0</v>
          </cell>
          <cell r="G77">
            <v>0</v>
          </cell>
        </row>
        <row r="78">
          <cell r="D78">
            <v>0</v>
          </cell>
          <cell r="G78">
            <v>0</v>
          </cell>
        </row>
        <row r="79">
          <cell r="D79">
            <v>0</v>
          </cell>
          <cell r="G79">
            <v>0</v>
          </cell>
        </row>
        <row r="80">
          <cell r="D80">
            <v>0</v>
          </cell>
          <cell r="G80">
            <v>0</v>
          </cell>
        </row>
        <row r="81">
          <cell r="D81">
            <v>0</v>
          </cell>
          <cell r="G81">
            <v>0</v>
          </cell>
        </row>
        <row r="82">
          <cell r="D82">
            <v>7739</v>
          </cell>
          <cell r="G82">
            <v>822</v>
          </cell>
        </row>
        <row r="83">
          <cell r="D83">
            <v>21642</v>
          </cell>
          <cell r="G83">
            <v>1812</v>
          </cell>
        </row>
        <row r="84">
          <cell r="D84">
            <v>9741</v>
          </cell>
          <cell r="G84">
            <v>1164</v>
          </cell>
        </row>
        <row r="85">
          <cell r="D85">
            <v>3372</v>
          </cell>
          <cell r="G85">
            <v>231</v>
          </cell>
        </row>
        <row r="86">
          <cell r="D86">
            <v>20949</v>
          </cell>
          <cell r="G86">
            <v>5268</v>
          </cell>
        </row>
        <row r="87">
          <cell r="D87">
            <v>0</v>
          </cell>
          <cell r="G87">
            <v>0</v>
          </cell>
        </row>
        <row r="88">
          <cell r="D88">
            <v>18769</v>
          </cell>
          <cell r="G88">
            <v>2679</v>
          </cell>
        </row>
        <row r="89">
          <cell r="D89">
            <v>0</v>
          </cell>
          <cell r="G89">
            <v>0</v>
          </cell>
        </row>
        <row r="90">
          <cell r="D90">
            <v>0</v>
          </cell>
          <cell r="G90">
            <v>0</v>
          </cell>
        </row>
        <row r="91">
          <cell r="D91">
            <v>859</v>
          </cell>
          <cell r="G91">
            <v>45</v>
          </cell>
        </row>
        <row r="92">
          <cell r="D92">
            <v>0</v>
          </cell>
          <cell r="G92">
            <v>0</v>
          </cell>
        </row>
        <row r="93">
          <cell r="D93">
            <v>0</v>
          </cell>
          <cell r="G93">
            <v>0</v>
          </cell>
        </row>
        <row r="94">
          <cell r="D94">
            <v>0</v>
          </cell>
          <cell r="G94">
            <v>0</v>
          </cell>
        </row>
        <row r="95">
          <cell r="D95">
            <v>788</v>
          </cell>
          <cell r="G95">
            <v>75</v>
          </cell>
        </row>
        <row r="96">
          <cell r="D96">
            <v>4399</v>
          </cell>
          <cell r="G96">
            <v>276</v>
          </cell>
        </row>
        <row r="97">
          <cell r="D97">
            <v>1400</v>
          </cell>
          <cell r="G97">
            <v>132</v>
          </cell>
        </row>
        <row r="98">
          <cell r="D98">
            <v>890</v>
          </cell>
          <cell r="G98">
            <v>30</v>
          </cell>
        </row>
        <row r="99">
          <cell r="D99">
            <v>4177</v>
          </cell>
          <cell r="G99">
            <v>510</v>
          </cell>
        </row>
        <row r="100">
          <cell r="D100">
            <v>1493</v>
          </cell>
          <cell r="G100">
            <v>348</v>
          </cell>
        </row>
        <row r="101">
          <cell r="D101">
            <v>3288</v>
          </cell>
          <cell r="G101">
            <v>93</v>
          </cell>
        </row>
        <row r="102">
          <cell r="D102">
            <v>2948</v>
          </cell>
          <cell r="G102">
            <v>414</v>
          </cell>
        </row>
        <row r="103">
          <cell r="D103">
            <v>3992</v>
          </cell>
          <cell r="G103">
            <v>591</v>
          </cell>
        </row>
        <row r="104">
          <cell r="D104">
            <v>770</v>
          </cell>
          <cell r="G104">
            <v>36</v>
          </cell>
        </row>
        <row r="105">
          <cell r="D105">
            <v>2356</v>
          </cell>
          <cell r="G105">
            <v>222</v>
          </cell>
        </row>
        <row r="106">
          <cell r="D106">
            <v>1013</v>
          </cell>
          <cell r="G106">
            <v>42</v>
          </cell>
        </row>
        <row r="107">
          <cell r="D107">
            <v>2072</v>
          </cell>
          <cell r="G107">
            <v>27</v>
          </cell>
        </row>
        <row r="108">
          <cell r="D108">
            <v>1593</v>
          </cell>
          <cell r="G108">
            <v>186</v>
          </cell>
        </row>
        <row r="109">
          <cell r="D109">
            <v>2049</v>
          </cell>
          <cell r="G109">
            <v>69</v>
          </cell>
        </row>
        <row r="110">
          <cell r="D110">
            <v>3063</v>
          </cell>
          <cell r="G110">
            <v>276</v>
          </cell>
        </row>
        <row r="111">
          <cell r="D111">
            <v>1846</v>
          </cell>
          <cell r="G111">
            <v>336</v>
          </cell>
        </row>
        <row r="112">
          <cell r="D112">
            <v>0</v>
          </cell>
          <cell r="G112">
            <v>0</v>
          </cell>
        </row>
        <row r="113">
          <cell r="D113">
            <v>0</v>
          </cell>
          <cell r="G113">
            <v>0</v>
          </cell>
        </row>
        <row r="114">
          <cell r="D114">
            <v>0</v>
          </cell>
          <cell r="G114">
            <v>0</v>
          </cell>
        </row>
        <row r="115">
          <cell r="D115">
            <v>0</v>
          </cell>
          <cell r="G115">
            <v>0</v>
          </cell>
        </row>
        <row r="116">
          <cell r="D116">
            <v>0</v>
          </cell>
          <cell r="G116">
            <v>0</v>
          </cell>
        </row>
        <row r="117">
          <cell r="D117">
            <v>0</v>
          </cell>
          <cell r="G117">
            <v>0</v>
          </cell>
        </row>
        <row r="118">
          <cell r="D118">
            <v>0</v>
          </cell>
          <cell r="G118">
            <v>0</v>
          </cell>
        </row>
        <row r="119">
          <cell r="D119">
            <v>0</v>
          </cell>
          <cell r="G119">
            <v>0</v>
          </cell>
        </row>
        <row r="120">
          <cell r="D120">
            <v>0</v>
          </cell>
          <cell r="G120">
            <v>0</v>
          </cell>
        </row>
        <row r="121">
          <cell r="D121">
            <v>0</v>
          </cell>
          <cell r="G121">
            <v>0</v>
          </cell>
        </row>
        <row r="122">
          <cell r="D122">
            <v>0</v>
          </cell>
          <cell r="G122">
            <v>0</v>
          </cell>
        </row>
        <row r="123">
          <cell r="D123">
            <v>0</v>
          </cell>
          <cell r="G123">
            <v>0</v>
          </cell>
        </row>
        <row r="124">
          <cell r="D124">
            <v>0</v>
          </cell>
          <cell r="G124">
            <v>0</v>
          </cell>
        </row>
        <row r="125">
          <cell r="D125">
            <v>0</v>
          </cell>
          <cell r="G125">
            <v>0</v>
          </cell>
        </row>
        <row r="126">
          <cell r="D126">
            <v>0</v>
          </cell>
          <cell r="G126">
            <v>0</v>
          </cell>
        </row>
        <row r="127">
          <cell r="D127">
            <v>0</v>
          </cell>
          <cell r="G127">
            <v>0</v>
          </cell>
        </row>
        <row r="128">
          <cell r="D128">
            <v>0</v>
          </cell>
          <cell r="G128">
            <v>0</v>
          </cell>
        </row>
        <row r="129">
          <cell r="D129">
            <v>0</v>
          </cell>
          <cell r="G129">
            <v>0</v>
          </cell>
        </row>
        <row r="130">
          <cell r="D130">
            <v>0</v>
          </cell>
          <cell r="G130">
            <v>0</v>
          </cell>
        </row>
        <row r="131">
          <cell r="D131">
            <v>0</v>
          </cell>
          <cell r="G131">
            <v>0</v>
          </cell>
        </row>
        <row r="132">
          <cell r="D132">
            <v>0</v>
          </cell>
          <cell r="G132">
            <v>0</v>
          </cell>
        </row>
        <row r="133">
          <cell r="D133">
            <v>0</v>
          </cell>
          <cell r="G133">
            <v>0</v>
          </cell>
        </row>
        <row r="134">
          <cell r="D134">
            <v>0</v>
          </cell>
          <cell r="G134">
            <v>0</v>
          </cell>
        </row>
        <row r="135">
          <cell r="D135">
            <v>0</v>
          </cell>
          <cell r="G135">
            <v>0</v>
          </cell>
        </row>
        <row r="136">
          <cell r="D136">
            <v>0</v>
          </cell>
          <cell r="G136">
            <v>0</v>
          </cell>
        </row>
        <row r="137">
          <cell r="D137">
            <v>0</v>
          </cell>
          <cell r="G137">
            <v>0</v>
          </cell>
        </row>
        <row r="138">
          <cell r="D138">
            <v>0</v>
          </cell>
          <cell r="G138">
            <v>0</v>
          </cell>
        </row>
        <row r="139">
          <cell r="D139">
            <v>0</v>
          </cell>
          <cell r="G139">
            <v>0</v>
          </cell>
        </row>
        <row r="140">
          <cell r="D140">
            <v>0</v>
          </cell>
          <cell r="G140">
            <v>0</v>
          </cell>
        </row>
        <row r="141">
          <cell r="D141">
            <v>0</v>
          </cell>
          <cell r="G141">
            <v>0</v>
          </cell>
        </row>
        <row r="142">
          <cell r="D142">
            <v>11210</v>
          </cell>
          <cell r="G142">
            <v>906</v>
          </cell>
        </row>
        <row r="143">
          <cell r="D143">
            <v>14154</v>
          </cell>
          <cell r="G143">
            <v>1287</v>
          </cell>
        </row>
        <row r="144">
          <cell r="D144">
            <v>0</v>
          </cell>
          <cell r="G144">
            <v>0</v>
          </cell>
        </row>
        <row r="145">
          <cell r="D145">
            <v>0</v>
          </cell>
          <cell r="G145">
            <v>0</v>
          </cell>
        </row>
        <row r="146">
          <cell r="D146">
            <v>0</v>
          </cell>
          <cell r="G146">
            <v>0</v>
          </cell>
        </row>
        <row r="147">
          <cell r="D147">
            <v>0</v>
          </cell>
          <cell r="G147">
            <v>0</v>
          </cell>
        </row>
        <row r="148">
          <cell r="D148">
            <v>0</v>
          </cell>
          <cell r="G148">
            <v>0</v>
          </cell>
        </row>
        <row r="149">
          <cell r="D149">
            <v>0</v>
          </cell>
          <cell r="G149">
            <v>0</v>
          </cell>
        </row>
        <row r="150">
          <cell r="D150">
            <v>0</v>
          </cell>
          <cell r="G150">
            <v>0</v>
          </cell>
        </row>
      </sheetData>
      <sheetData sheetId="5">
        <row r="9">
          <cell r="D9">
            <v>0</v>
          </cell>
          <cell r="G9">
            <v>0</v>
          </cell>
        </row>
        <row r="10">
          <cell r="D10">
            <v>0</v>
          </cell>
          <cell r="G10">
            <v>0</v>
          </cell>
        </row>
        <row r="11">
          <cell r="D11">
            <v>0</v>
          </cell>
          <cell r="G11">
            <v>0</v>
          </cell>
        </row>
        <row r="12">
          <cell r="D12">
            <v>0</v>
          </cell>
          <cell r="G12">
            <v>0</v>
          </cell>
        </row>
        <row r="13">
          <cell r="D13">
            <v>0</v>
          </cell>
          <cell r="G13">
            <v>0</v>
          </cell>
        </row>
        <row r="14">
          <cell r="D14">
            <v>0</v>
          </cell>
          <cell r="G14">
            <v>0</v>
          </cell>
        </row>
        <row r="15">
          <cell r="D15">
            <v>0</v>
          </cell>
          <cell r="G15">
            <v>0</v>
          </cell>
        </row>
        <row r="16">
          <cell r="D16">
            <v>0</v>
          </cell>
          <cell r="G16">
            <v>0</v>
          </cell>
        </row>
        <row r="17">
          <cell r="D17">
            <v>0</v>
          </cell>
          <cell r="G17">
            <v>0</v>
          </cell>
        </row>
        <row r="18">
          <cell r="D18">
            <v>0</v>
          </cell>
          <cell r="G18">
            <v>0</v>
          </cell>
        </row>
        <row r="19">
          <cell r="D19">
            <v>0</v>
          </cell>
          <cell r="G19">
            <v>0</v>
          </cell>
        </row>
        <row r="20">
          <cell r="D20">
            <v>0</v>
          </cell>
          <cell r="G20">
            <v>0</v>
          </cell>
        </row>
        <row r="21">
          <cell r="D21">
            <v>0</v>
          </cell>
          <cell r="G21">
            <v>0</v>
          </cell>
        </row>
        <row r="22">
          <cell r="D22">
            <v>0</v>
          </cell>
          <cell r="G22">
            <v>0</v>
          </cell>
        </row>
        <row r="23">
          <cell r="D23">
            <v>0</v>
          </cell>
          <cell r="G23">
            <v>0</v>
          </cell>
        </row>
        <row r="24">
          <cell r="D24">
            <v>0</v>
          </cell>
          <cell r="G24">
            <v>0</v>
          </cell>
        </row>
        <row r="25">
          <cell r="D25">
            <v>0</v>
          </cell>
          <cell r="G25">
            <v>0</v>
          </cell>
        </row>
        <row r="26">
          <cell r="D26">
            <v>0</v>
          </cell>
          <cell r="G26">
            <v>0</v>
          </cell>
        </row>
        <row r="27">
          <cell r="D27">
            <v>0</v>
          </cell>
          <cell r="G27">
            <v>0</v>
          </cell>
        </row>
        <row r="28">
          <cell r="D28">
            <v>0</v>
          </cell>
          <cell r="G28">
            <v>0</v>
          </cell>
        </row>
        <row r="29">
          <cell r="D29">
            <v>0</v>
          </cell>
          <cell r="G29">
            <v>0</v>
          </cell>
        </row>
        <row r="30">
          <cell r="D30">
            <v>0</v>
          </cell>
          <cell r="G30">
            <v>0</v>
          </cell>
        </row>
        <row r="31">
          <cell r="D31">
            <v>0</v>
          </cell>
          <cell r="G31">
            <v>0</v>
          </cell>
        </row>
        <row r="32">
          <cell r="D32">
            <v>0</v>
          </cell>
          <cell r="G32">
            <v>0</v>
          </cell>
        </row>
        <row r="33">
          <cell r="D33">
            <v>0</v>
          </cell>
          <cell r="G33">
            <v>0</v>
          </cell>
        </row>
        <row r="34">
          <cell r="D34">
            <v>0</v>
          </cell>
          <cell r="G34">
            <v>0</v>
          </cell>
        </row>
        <row r="35">
          <cell r="D35">
            <v>0</v>
          </cell>
          <cell r="G35">
            <v>0</v>
          </cell>
        </row>
        <row r="36">
          <cell r="D36">
            <v>0</v>
          </cell>
          <cell r="G36">
            <v>0</v>
          </cell>
        </row>
        <row r="37">
          <cell r="D37">
            <v>0</v>
          </cell>
          <cell r="G37">
            <v>0</v>
          </cell>
        </row>
        <row r="38">
          <cell r="D38">
            <v>0</v>
          </cell>
          <cell r="G38">
            <v>0</v>
          </cell>
        </row>
        <row r="39">
          <cell r="D39">
            <v>0</v>
          </cell>
          <cell r="G39">
            <v>0</v>
          </cell>
        </row>
        <row r="40">
          <cell r="D40">
            <v>0</v>
          </cell>
          <cell r="G40">
            <v>0</v>
          </cell>
        </row>
        <row r="41">
          <cell r="D41">
            <v>0</v>
          </cell>
          <cell r="G41">
            <v>0</v>
          </cell>
        </row>
        <row r="42">
          <cell r="D42">
            <v>0</v>
          </cell>
          <cell r="G42">
            <v>0</v>
          </cell>
        </row>
        <row r="43">
          <cell r="D43">
            <v>0</v>
          </cell>
          <cell r="G43">
            <v>0</v>
          </cell>
        </row>
        <row r="44">
          <cell r="D44">
            <v>0</v>
          </cell>
          <cell r="G44">
            <v>0</v>
          </cell>
        </row>
        <row r="45">
          <cell r="D45">
            <v>0</v>
          </cell>
          <cell r="G45">
            <v>0</v>
          </cell>
        </row>
        <row r="46">
          <cell r="D46">
            <v>0</v>
          </cell>
          <cell r="G46">
            <v>0</v>
          </cell>
        </row>
        <row r="47">
          <cell r="D47">
            <v>0</v>
          </cell>
          <cell r="G47">
            <v>0</v>
          </cell>
        </row>
        <row r="48">
          <cell r="D48">
            <v>0</v>
          </cell>
          <cell r="G48">
            <v>0</v>
          </cell>
        </row>
        <row r="49">
          <cell r="D49">
            <v>0</v>
          </cell>
          <cell r="G49">
            <v>0</v>
          </cell>
        </row>
        <row r="50">
          <cell r="D50">
            <v>0</v>
          </cell>
          <cell r="G50">
            <v>0</v>
          </cell>
        </row>
        <row r="51">
          <cell r="D51">
            <v>0</v>
          </cell>
          <cell r="G51">
            <v>0</v>
          </cell>
        </row>
        <row r="52">
          <cell r="D52">
            <v>0</v>
          </cell>
          <cell r="G52">
            <v>0</v>
          </cell>
        </row>
        <row r="53">
          <cell r="D53">
            <v>0</v>
          </cell>
          <cell r="G53">
            <v>0</v>
          </cell>
        </row>
        <row r="54">
          <cell r="D54">
            <v>0</v>
          </cell>
          <cell r="G54">
            <v>0</v>
          </cell>
        </row>
        <row r="55">
          <cell r="D55">
            <v>0</v>
          </cell>
          <cell r="G55">
            <v>0</v>
          </cell>
        </row>
        <row r="56">
          <cell r="D56">
            <v>0</v>
          </cell>
          <cell r="G56">
            <v>0</v>
          </cell>
        </row>
        <row r="57">
          <cell r="D57">
            <v>0</v>
          </cell>
          <cell r="G57">
            <v>0</v>
          </cell>
        </row>
        <row r="58">
          <cell r="D58">
            <v>0</v>
          </cell>
          <cell r="G58">
            <v>0</v>
          </cell>
        </row>
        <row r="59">
          <cell r="D59">
            <v>0</v>
          </cell>
          <cell r="G59">
            <v>0</v>
          </cell>
        </row>
        <row r="60">
          <cell r="D60">
            <v>0</v>
          </cell>
          <cell r="G60">
            <v>0</v>
          </cell>
        </row>
        <row r="61">
          <cell r="D61">
            <v>0</v>
          </cell>
          <cell r="G61">
            <v>0</v>
          </cell>
        </row>
        <row r="62">
          <cell r="D62">
            <v>0</v>
          </cell>
          <cell r="G62">
            <v>0</v>
          </cell>
        </row>
        <row r="63">
          <cell r="D63">
            <v>0</v>
          </cell>
          <cell r="G63">
            <v>0</v>
          </cell>
        </row>
        <row r="64">
          <cell r="D64">
            <v>0</v>
          </cell>
          <cell r="G64">
            <v>0</v>
          </cell>
        </row>
        <row r="65">
          <cell r="D65">
            <v>0</v>
          </cell>
          <cell r="G65">
            <v>0</v>
          </cell>
        </row>
        <row r="66">
          <cell r="D66">
            <v>0</v>
          </cell>
          <cell r="G66">
            <v>0</v>
          </cell>
        </row>
        <row r="67">
          <cell r="D67">
            <v>0</v>
          </cell>
          <cell r="G67">
            <v>0</v>
          </cell>
        </row>
        <row r="68">
          <cell r="D68">
            <v>0</v>
          </cell>
          <cell r="G68">
            <v>0</v>
          </cell>
        </row>
        <row r="69">
          <cell r="D69">
            <v>0</v>
          </cell>
          <cell r="G69">
            <v>0</v>
          </cell>
        </row>
        <row r="70">
          <cell r="D70">
            <v>0</v>
          </cell>
          <cell r="G70">
            <v>0</v>
          </cell>
        </row>
        <row r="71">
          <cell r="D71">
            <v>0</v>
          </cell>
          <cell r="G71">
            <v>0</v>
          </cell>
        </row>
        <row r="72">
          <cell r="D72">
            <v>0</v>
          </cell>
          <cell r="G72">
            <v>0</v>
          </cell>
        </row>
        <row r="73">
          <cell r="D73">
            <v>0</v>
          </cell>
          <cell r="G73">
            <v>0</v>
          </cell>
        </row>
        <row r="74">
          <cell r="D74">
            <v>0</v>
          </cell>
          <cell r="G74">
            <v>0</v>
          </cell>
        </row>
        <row r="75">
          <cell r="D75">
            <v>0</v>
          </cell>
          <cell r="G75">
            <v>0</v>
          </cell>
        </row>
        <row r="76">
          <cell r="D76">
            <v>0</v>
          </cell>
          <cell r="G76">
            <v>0</v>
          </cell>
        </row>
        <row r="77">
          <cell r="D77">
            <v>0</v>
          </cell>
          <cell r="G77">
            <v>0</v>
          </cell>
        </row>
        <row r="78">
          <cell r="D78">
            <v>0</v>
          </cell>
          <cell r="G78">
            <v>0</v>
          </cell>
        </row>
        <row r="79">
          <cell r="D79">
            <v>0</v>
          </cell>
          <cell r="G79">
            <v>0</v>
          </cell>
        </row>
        <row r="80">
          <cell r="D80">
            <v>0</v>
          </cell>
          <cell r="G80">
            <v>0</v>
          </cell>
        </row>
        <row r="81">
          <cell r="D81">
            <v>0</v>
          </cell>
          <cell r="G81">
            <v>0</v>
          </cell>
        </row>
        <row r="82">
          <cell r="D82">
            <v>0</v>
          </cell>
          <cell r="G82">
            <v>0</v>
          </cell>
        </row>
        <row r="83">
          <cell r="D83">
            <v>0</v>
          </cell>
          <cell r="G83">
            <v>0</v>
          </cell>
        </row>
        <row r="84">
          <cell r="D84">
            <v>0</v>
          </cell>
          <cell r="G84">
            <v>0</v>
          </cell>
        </row>
        <row r="85">
          <cell r="D85">
            <v>1693</v>
          </cell>
          <cell r="G85">
            <v>192</v>
          </cell>
        </row>
        <row r="86">
          <cell r="D86">
            <v>0</v>
          </cell>
          <cell r="G86">
            <v>0</v>
          </cell>
        </row>
        <row r="87">
          <cell r="D87">
            <v>0</v>
          </cell>
          <cell r="G87">
            <v>0</v>
          </cell>
        </row>
        <row r="88">
          <cell r="D88">
            <v>0</v>
          </cell>
          <cell r="G88">
            <v>0</v>
          </cell>
        </row>
        <row r="89">
          <cell r="D89">
            <v>0</v>
          </cell>
          <cell r="G89">
            <v>0</v>
          </cell>
        </row>
        <row r="90">
          <cell r="D90">
            <v>0</v>
          </cell>
          <cell r="G90">
            <v>0</v>
          </cell>
        </row>
        <row r="91">
          <cell r="D91">
            <v>0</v>
          </cell>
          <cell r="G91">
            <v>0</v>
          </cell>
        </row>
        <row r="92">
          <cell r="D92">
            <v>0</v>
          </cell>
          <cell r="G92">
            <v>0</v>
          </cell>
        </row>
        <row r="93">
          <cell r="D93">
            <v>0</v>
          </cell>
          <cell r="G93">
            <v>0</v>
          </cell>
        </row>
        <row r="94">
          <cell r="D94">
            <v>0</v>
          </cell>
          <cell r="G94">
            <v>0</v>
          </cell>
        </row>
        <row r="95">
          <cell r="D95">
            <v>0</v>
          </cell>
          <cell r="G95">
            <v>0</v>
          </cell>
        </row>
        <row r="96">
          <cell r="D96">
            <v>0</v>
          </cell>
          <cell r="G96">
            <v>0</v>
          </cell>
        </row>
        <row r="97">
          <cell r="D97">
            <v>0</v>
          </cell>
          <cell r="G97">
            <v>0</v>
          </cell>
        </row>
        <row r="98">
          <cell r="D98">
            <v>0</v>
          </cell>
          <cell r="G98">
            <v>0</v>
          </cell>
        </row>
        <row r="99">
          <cell r="D99">
            <v>0</v>
          </cell>
          <cell r="G99">
            <v>0</v>
          </cell>
        </row>
        <row r="100">
          <cell r="D100">
            <v>0</v>
          </cell>
          <cell r="G100">
            <v>0</v>
          </cell>
        </row>
        <row r="101">
          <cell r="D101">
            <v>0</v>
          </cell>
          <cell r="G101">
            <v>0</v>
          </cell>
        </row>
        <row r="102">
          <cell r="D102">
            <v>0</v>
          </cell>
          <cell r="G102">
            <v>0</v>
          </cell>
        </row>
        <row r="103">
          <cell r="D103">
            <v>0</v>
          </cell>
          <cell r="G103">
            <v>0</v>
          </cell>
        </row>
        <row r="104">
          <cell r="D104">
            <v>0</v>
          </cell>
          <cell r="G104">
            <v>0</v>
          </cell>
        </row>
        <row r="105">
          <cell r="D105">
            <v>0</v>
          </cell>
          <cell r="G105">
            <v>0</v>
          </cell>
        </row>
        <row r="106">
          <cell r="D106">
            <v>0</v>
          </cell>
          <cell r="G106">
            <v>0</v>
          </cell>
        </row>
        <row r="107">
          <cell r="D107">
            <v>0</v>
          </cell>
          <cell r="G107">
            <v>0</v>
          </cell>
        </row>
        <row r="108">
          <cell r="D108">
            <v>0</v>
          </cell>
          <cell r="G108">
            <v>0</v>
          </cell>
        </row>
        <row r="109">
          <cell r="D109">
            <v>0</v>
          </cell>
          <cell r="G109">
            <v>0</v>
          </cell>
        </row>
        <row r="110">
          <cell r="D110">
            <v>0</v>
          </cell>
          <cell r="G110">
            <v>0</v>
          </cell>
        </row>
        <row r="111">
          <cell r="D111">
            <v>0</v>
          </cell>
          <cell r="G111">
            <v>0</v>
          </cell>
        </row>
        <row r="112">
          <cell r="D112">
            <v>0</v>
          </cell>
          <cell r="G112">
            <v>0</v>
          </cell>
        </row>
        <row r="113">
          <cell r="D113">
            <v>0</v>
          </cell>
          <cell r="G113">
            <v>0</v>
          </cell>
        </row>
        <row r="114">
          <cell r="D114">
            <v>0</v>
          </cell>
          <cell r="G114">
            <v>0</v>
          </cell>
        </row>
        <row r="115">
          <cell r="D115">
            <v>0</v>
          </cell>
          <cell r="G115">
            <v>0</v>
          </cell>
        </row>
        <row r="116">
          <cell r="D116">
            <v>0</v>
          </cell>
          <cell r="G116">
            <v>0</v>
          </cell>
        </row>
        <row r="117">
          <cell r="D117">
            <v>0</v>
          </cell>
          <cell r="G117">
            <v>0</v>
          </cell>
        </row>
        <row r="118">
          <cell r="D118">
            <v>0</v>
          </cell>
          <cell r="G118">
            <v>0</v>
          </cell>
        </row>
        <row r="119">
          <cell r="D119">
            <v>0</v>
          </cell>
          <cell r="G119">
            <v>0</v>
          </cell>
        </row>
        <row r="120">
          <cell r="D120">
            <v>0</v>
          </cell>
          <cell r="G120">
            <v>0</v>
          </cell>
        </row>
        <row r="121">
          <cell r="D121">
            <v>0</v>
          </cell>
          <cell r="G121">
            <v>0</v>
          </cell>
        </row>
        <row r="122">
          <cell r="D122">
            <v>0</v>
          </cell>
          <cell r="G122">
            <v>0</v>
          </cell>
        </row>
        <row r="123">
          <cell r="D123">
            <v>0</v>
          </cell>
          <cell r="G123">
            <v>0</v>
          </cell>
        </row>
        <row r="124">
          <cell r="D124">
            <v>0</v>
          </cell>
          <cell r="G124">
            <v>0</v>
          </cell>
        </row>
        <row r="125">
          <cell r="D125">
            <v>0</v>
          </cell>
          <cell r="G125">
            <v>0</v>
          </cell>
        </row>
        <row r="126">
          <cell r="D126">
            <v>0</v>
          </cell>
          <cell r="G126">
            <v>0</v>
          </cell>
        </row>
        <row r="127">
          <cell r="D127">
            <v>0</v>
          </cell>
          <cell r="G127">
            <v>0</v>
          </cell>
        </row>
        <row r="128">
          <cell r="D128">
            <v>0</v>
          </cell>
          <cell r="G128">
            <v>0</v>
          </cell>
        </row>
        <row r="129">
          <cell r="D129">
            <v>0</v>
          </cell>
          <cell r="G129">
            <v>0</v>
          </cell>
        </row>
        <row r="130">
          <cell r="D130">
            <v>0</v>
          </cell>
          <cell r="G130">
            <v>0</v>
          </cell>
        </row>
        <row r="131">
          <cell r="D131">
            <v>0</v>
          </cell>
          <cell r="G131">
            <v>0</v>
          </cell>
        </row>
        <row r="132">
          <cell r="D132">
            <v>0</v>
          </cell>
          <cell r="G132">
            <v>0</v>
          </cell>
        </row>
        <row r="133">
          <cell r="D133">
            <v>0</v>
          </cell>
          <cell r="G133">
            <v>0</v>
          </cell>
        </row>
        <row r="134">
          <cell r="D134">
            <v>0</v>
          </cell>
          <cell r="G134">
            <v>0</v>
          </cell>
        </row>
        <row r="135">
          <cell r="D135">
            <v>0</v>
          </cell>
          <cell r="G135">
            <v>0</v>
          </cell>
        </row>
        <row r="136">
          <cell r="D136">
            <v>0</v>
          </cell>
          <cell r="G136">
            <v>0</v>
          </cell>
        </row>
        <row r="137">
          <cell r="D137">
            <v>0</v>
          </cell>
          <cell r="G137">
            <v>0</v>
          </cell>
        </row>
        <row r="138">
          <cell r="D138">
            <v>0</v>
          </cell>
          <cell r="G138">
            <v>0</v>
          </cell>
        </row>
        <row r="139">
          <cell r="D139">
            <v>0</v>
          </cell>
          <cell r="G139">
            <v>0</v>
          </cell>
        </row>
        <row r="140">
          <cell r="D140">
            <v>0</v>
          </cell>
          <cell r="G140">
            <v>0</v>
          </cell>
        </row>
        <row r="141">
          <cell r="D141">
            <v>0</v>
          </cell>
          <cell r="G141">
            <v>0</v>
          </cell>
        </row>
        <row r="142">
          <cell r="D142">
            <v>0</v>
          </cell>
          <cell r="G142">
            <v>0</v>
          </cell>
        </row>
        <row r="143">
          <cell r="D143">
            <v>-1693</v>
          </cell>
          <cell r="G143">
            <v>-192</v>
          </cell>
        </row>
        <row r="144">
          <cell r="D144">
            <v>0</v>
          </cell>
          <cell r="G144">
            <v>0</v>
          </cell>
        </row>
        <row r="145">
          <cell r="D145">
            <v>0</v>
          </cell>
          <cell r="G145">
            <v>0</v>
          </cell>
        </row>
        <row r="146">
          <cell r="D146">
            <v>0</v>
          </cell>
          <cell r="G146">
            <v>0</v>
          </cell>
        </row>
        <row r="147">
          <cell r="D147">
            <v>0</v>
          </cell>
          <cell r="G147">
            <v>0</v>
          </cell>
        </row>
        <row r="148">
          <cell r="D148">
            <v>0</v>
          </cell>
          <cell r="G148">
            <v>0</v>
          </cell>
        </row>
        <row r="149">
          <cell r="D149">
            <v>0</v>
          </cell>
          <cell r="G149">
            <v>0</v>
          </cell>
        </row>
        <row r="150">
          <cell r="D150">
            <v>0</v>
          </cell>
          <cell r="G150">
            <v>0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13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D31">
            <v>250</v>
          </cell>
        </row>
      </sheetData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ного диабета Пр.5-23"/>
      <sheetName val="Школа сахарного диабета Пр.9-23"/>
      <sheetName val="откл.Пр.9-23- Пр.5-23"/>
      <sheetName val="Откл.Пр.11-23-Пр.9-23"/>
      <sheetName val="ШСД Пр. 11-23"/>
      <sheetName val="ШСД Пр. 17-23 "/>
      <sheetName val="Откл.17-23-11-23"/>
    </sheetNames>
    <sheetDataSet>
      <sheetData sheetId="0"/>
      <sheetData sheetId="1">
        <row r="33">
          <cell r="E33">
            <v>360</v>
          </cell>
          <cell r="F33">
            <v>2783</v>
          </cell>
          <cell r="G33">
            <v>10</v>
          </cell>
        </row>
        <row r="34">
          <cell r="E34">
            <v>100</v>
          </cell>
          <cell r="F34">
            <v>712</v>
          </cell>
          <cell r="G34">
            <v>7</v>
          </cell>
        </row>
      </sheetData>
      <sheetData sheetId="2"/>
      <sheetData sheetId="3">
        <row r="33">
          <cell r="E33">
            <v>100</v>
          </cell>
          <cell r="F33">
            <v>712</v>
          </cell>
          <cell r="G33">
            <v>7</v>
          </cell>
        </row>
        <row r="34">
          <cell r="E34">
            <v>-100</v>
          </cell>
          <cell r="F34">
            <v>-712</v>
          </cell>
          <cell r="G34">
            <v>-7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  <sheetName val="Диспан.набл.взрослых Пр.15-23"/>
      <sheetName val="Уточнение Пр.15-23"/>
      <sheetName val="Уточнение Пр.16-23 "/>
      <sheetName val="Диспан.набл.взрослых Пр.16- 23"/>
      <sheetName val="Уточнение Пр.17-23  "/>
      <sheetName val="Диспан.набл.взрослых Пр.17-23"/>
    </sheetNames>
    <sheetDataSet>
      <sheetData sheetId="0"/>
      <sheetData sheetId="1"/>
      <sheetData sheetId="2"/>
      <sheetData sheetId="3"/>
      <sheetData sheetId="4"/>
      <sheetData sheetId="5">
        <row r="12">
          <cell r="D12">
            <v>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7</v>
          </cell>
          <cell r="P12">
            <v>0</v>
          </cell>
          <cell r="Q12">
            <v>0</v>
          </cell>
          <cell r="R12">
            <v>0</v>
          </cell>
        </row>
      </sheetData>
      <sheetData sheetId="6"/>
      <sheetData sheetId="7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</sheetData>
      <sheetData sheetId="8">
        <row r="14">
          <cell r="D14">
            <v>8935</v>
          </cell>
          <cell r="E14">
            <v>7589</v>
          </cell>
          <cell r="F14">
            <v>1136</v>
          </cell>
          <cell r="G14">
            <v>76</v>
          </cell>
          <cell r="H14">
            <v>60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8</v>
          </cell>
          <cell r="O14">
            <v>1</v>
          </cell>
          <cell r="P14">
            <v>0</v>
          </cell>
          <cell r="Q14">
            <v>60</v>
          </cell>
          <cell r="R14">
            <v>4</v>
          </cell>
        </row>
        <row r="15">
          <cell r="D15">
            <v>5618</v>
          </cell>
          <cell r="E15">
            <v>5362</v>
          </cell>
          <cell r="F15">
            <v>155</v>
          </cell>
          <cell r="G15">
            <v>53</v>
          </cell>
          <cell r="H15">
            <v>23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4</v>
          </cell>
          <cell r="O15">
            <v>0</v>
          </cell>
          <cell r="P15">
            <v>0</v>
          </cell>
          <cell r="Q15">
            <v>18</v>
          </cell>
          <cell r="R15">
            <v>2</v>
          </cell>
        </row>
        <row r="16">
          <cell r="D16">
            <v>14933</v>
          </cell>
          <cell r="E16">
            <v>13193</v>
          </cell>
          <cell r="F16">
            <v>1387</v>
          </cell>
          <cell r="G16">
            <v>145</v>
          </cell>
          <cell r="H16">
            <v>81</v>
          </cell>
          <cell r="I16">
            <v>0</v>
          </cell>
          <cell r="J16">
            <v>0</v>
          </cell>
          <cell r="K16">
            <v>10</v>
          </cell>
          <cell r="L16">
            <v>1</v>
          </cell>
          <cell r="M16">
            <v>0</v>
          </cell>
          <cell r="N16">
            <v>60</v>
          </cell>
          <cell r="O16">
            <v>4</v>
          </cell>
          <cell r="P16">
            <v>0</v>
          </cell>
          <cell r="Q16">
            <v>48</v>
          </cell>
          <cell r="R16">
            <v>4</v>
          </cell>
        </row>
        <row r="17">
          <cell r="D17">
            <v>5064</v>
          </cell>
          <cell r="E17">
            <v>4641</v>
          </cell>
          <cell r="F17">
            <v>321</v>
          </cell>
          <cell r="G17">
            <v>74</v>
          </cell>
          <cell r="H17">
            <v>10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</v>
          </cell>
          <cell r="O17">
            <v>0</v>
          </cell>
          <cell r="P17">
            <v>1</v>
          </cell>
          <cell r="Q17">
            <v>15</v>
          </cell>
          <cell r="R17">
            <v>0</v>
          </cell>
        </row>
        <row r="18">
          <cell r="D18">
            <v>5698</v>
          </cell>
          <cell r="E18">
            <v>4693</v>
          </cell>
          <cell r="F18">
            <v>916</v>
          </cell>
          <cell r="G18">
            <v>52</v>
          </cell>
          <cell r="H18">
            <v>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7</v>
          </cell>
          <cell r="O18">
            <v>5</v>
          </cell>
          <cell r="P18">
            <v>3</v>
          </cell>
          <cell r="Q18">
            <v>13</v>
          </cell>
          <cell r="R18">
            <v>0</v>
          </cell>
        </row>
        <row r="19">
          <cell r="D19">
            <v>46860</v>
          </cell>
          <cell r="E19">
            <v>45681</v>
          </cell>
          <cell r="F19">
            <v>699</v>
          </cell>
          <cell r="G19">
            <v>13</v>
          </cell>
          <cell r="H19">
            <v>38</v>
          </cell>
          <cell r="I19">
            <v>0</v>
          </cell>
          <cell r="J19">
            <v>0</v>
          </cell>
          <cell r="K19">
            <v>1</v>
          </cell>
          <cell r="L19">
            <v>1</v>
          </cell>
          <cell r="M19">
            <v>4</v>
          </cell>
          <cell r="N19">
            <v>66</v>
          </cell>
          <cell r="O19">
            <v>1</v>
          </cell>
          <cell r="P19">
            <v>0</v>
          </cell>
          <cell r="Q19">
            <v>347</v>
          </cell>
          <cell r="R19">
            <v>9</v>
          </cell>
        </row>
        <row r="20">
          <cell r="D20">
            <v>15539</v>
          </cell>
          <cell r="E20">
            <v>13840</v>
          </cell>
          <cell r="F20">
            <v>1253</v>
          </cell>
          <cell r="G20">
            <v>338</v>
          </cell>
          <cell r="H20">
            <v>21</v>
          </cell>
          <cell r="I20">
            <v>0</v>
          </cell>
          <cell r="J20">
            <v>0</v>
          </cell>
          <cell r="K20">
            <v>12</v>
          </cell>
          <cell r="L20">
            <v>3</v>
          </cell>
          <cell r="M20">
            <v>1</v>
          </cell>
          <cell r="N20">
            <v>1</v>
          </cell>
          <cell r="O20">
            <v>15</v>
          </cell>
          <cell r="P20">
            <v>9</v>
          </cell>
          <cell r="Q20">
            <v>46</v>
          </cell>
          <cell r="R20">
            <v>0</v>
          </cell>
        </row>
        <row r="21">
          <cell r="D21">
            <v>6227</v>
          </cell>
          <cell r="E21">
            <v>6100</v>
          </cell>
          <cell r="F21">
            <v>3</v>
          </cell>
          <cell r="G21">
            <v>15</v>
          </cell>
          <cell r="H21">
            <v>12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1</v>
          </cell>
          <cell r="N21">
            <v>5</v>
          </cell>
          <cell r="O21">
            <v>9</v>
          </cell>
          <cell r="P21">
            <v>0</v>
          </cell>
          <cell r="Q21">
            <v>49</v>
          </cell>
          <cell r="R21">
            <v>32</v>
          </cell>
        </row>
        <row r="22">
          <cell r="D22">
            <v>7377</v>
          </cell>
          <cell r="E22">
            <v>7131</v>
          </cell>
          <cell r="F22">
            <v>48</v>
          </cell>
          <cell r="G22">
            <v>1</v>
          </cell>
          <cell r="H22">
            <v>180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3</v>
          </cell>
          <cell r="P22">
            <v>0</v>
          </cell>
          <cell r="Q22">
            <v>12</v>
          </cell>
          <cell r="R22">
            <v>0</v>
          </cell>
        </row>
        <row r="23">
          <cell r="D23">
            <v>9011</v>
          </cell>
          <cell r="E23">
            <v>8808</v>
          </cell>
          <cell r="F23">
            <v>56</v>
          </cell>
          <cell r="G23">
            <v>0</v>
          </cell>
          <cell r="H23">
            <v>76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0</v>
          </cell>
          <cell r="Q23">
            <v>41</v>
          </cell>
          <cell r="R23">
            <v>25</v>
          </cell>
        </row>
        <row r="24">
          <cell r="D24">
            <v>8641</v>
          </cell>
          <cell r="E24">
            <v>8436</v>
          </cell>
          <cell r="F24">
            <v>168</v>
          </cell>
          <cell r="G24">
            <v>0</v>
          </cell>
          <cell r="H24">
            <v>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16</v>
          </cell>
          <cell r="O24">
            <v>0</v>
          </cell>
          <cell r="P24">
            <v>0</v>
          </cell>
          <cell r="Q24">
            <v>8</v>
          </cell>
          <cell r="R24">
            <v>1</v>
          </cell>
        </row>
        <row r="25">
          <cell r="D25">
            <v>14669</v>
          </cell>
          <cell r="E25">
            <v>12692</v>
          </cell>
          <cell r="F25">
            <v>1574</v>
          </cell>
          <cell r="G25">
            <v>316</v>
          </cell>
          <cell r="H25">
            <v>82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</v>
          </cell>
          <cell r="R25">
            <v>2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D28">
            <v>6357</v>
          </cell>
          <cell r="E28">
            <v>5931</v>
          </cell>
          <cell r="F28">
            <v>294</v>
          </cell>
          <cell r="G28">
            <v>74</v>
          </cell>
          <cell r="H28">
            <v>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18</v>
          </cell>
          <cell r="O28">
            <v>1</v>
          </cell>
          <cell r="P28">
            <v>0</v>
          </cell>
          <cell r="Q28">
            <v>20</v>
          </cell>
          <cell r="R28">
            <v>14</v>
          </cell>
        </row>
        <row r="29">
          <cell r="D29">
            <v>6446</v>
          </cell>
          <cell r="E29">
            <v>5331</v>
          </cell>
          <cell r="F29">
            <v>757</v>
          </cell>
          <cell r="G29">
            <v>167</v>
          </cell>
          <cell r="H29">
            <v>94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83</v>
          </cell>
          <cell r="O29">
            <v>0</v>
          </cell>
          <cell r="P29">
            <v>1</v>
          </cell>
          <cell r="Q29">
            <v>9</v>
          </cell>
          <cell r="R29">
            <v>2</v>
          </cell>
        </row>
        <row r="30">
          <cell r="D30">
            <v>7622</v>
          </cell>
          <cell r="E30">
            <v>6903</v>
          </cell>
          <cell r="F30">
            <v>380</v>
          </cell>
          <cell r="G30">
            <v>179</v>
          </cell>
          <cell r="H30">
            <v>22</v>
          </cell>
          <cell r="I30">
            <v>0</v>
          </cell>
          <cell r="J30">
            <v>0</v>
          </cell>
          <cell r="K30">
            <v>0</v>
          </cell>
          <cell r="L30">
            <v>1</v>
          </cell>
          <cell r="M30">
            <v>1</v>
          </cell>
          <cell r="N30">
            <v>4</v>
          </cell>
          <cell r="O30">
            <v>0</v>
          </cell>
          <cell r="P30">
            <v>0</v>
          </cell>
          <cell r="Q30">
            <v>129</v>
          </cell>
          <cell r="R30">
            <v>3</v>
          </cell>
        </row>
        <row r="31">
          <cell r="D31">
            <v>13025</v>
          </cell>
          <cell r="E31">
            <v>12799</v>
          </cell>
          <cell r="F31">
            <v>41</v>
          </cell>
          <cell r="G31">
            <v>50</v>
          </cell>
          <cell r="H31">
            <v>62</v>
          </cell>
          <cell r="I31">
            <v>0</v>
          </cell>
          <cell r="J31">
            <v>0</v>
          </cell>
          <cell r="K31">
            <v>1</v>
          </cell>
          <cell r="L31">
            <v>2</v>
          </cell>
          <cell r="M31">
            <v>0</v>
          </cell>
          <cell r="N31">
            <v>3</v>
          </cell>
          <cell r="O31">
            <v>3</v>
          </cell>
          <cell r="P31">
            <v>6</v>
          </cell>
          <cell r="Q31">
            <v>40</v>
          </cell>
          <cell r="R31">
            <v>18</v>
          </cell>
        </row>
        <row r="32">
          <cell r="D32">
            <v>3339</v>
          </cell>
          <cell r="E32">
            <v>3220</v>
          </cell>
          <cell r="F32">
            <v>0</v>
          </cell>
          <cell r="G32">
            <v>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</v>
          </cell>
          <cell r="M32">
            <v>0</v>
          </cell>
          <cell r="N32">
            <v>14</v>
          </cell>
          <cell r="O32">
            <v>0</v>
          </cell>
          <cell r="P32">
            <v>0</v>
          </cell>
          <cell r="Q32">
            <v>91</v>
          </cell>
          <cell r="R32">
            <v>0</v>
          </cell>
        </row>
        <row r="33">
          <cell r="D33">
            <v>4550</v>
          </cell>
          <cell r="E33">
            <v>4406</v>
          </cell>
          <cell r="F33">
            <v>0</v>
          </cell>
          <cell r="G33">
            <v>93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</v>
          </cell>
          <cell r="O33">
            <v>0</v>
          </cell>
          <cell r="P33">
            <v>4</v>
          </cell>
          <cell r="Q33">
            <v>41</v>
          </cell>
          <cell r="R33">
            <v>0</v>
          </cell>
        </row>
        <row r="34">
          <cell r="D34">
            <v>17600</v>
          </cell>
          <cell r="E34">
            <v>16901</v>
          </cell>
          <cell r="F34">
            <v>525</v>
          </cell>
          <cell r="G34">
            <v>0</v>
          </cell>
          <cell r="H34">
            <v>40</v>
          </cell>
          <cell r="I34">
            <v>0</v>
          </cell>
          <cell r="J34">
            <v>0</v>
          </cell>
          <cell r="K34">
            <v>2</v>
          </cell>
          <cell r="L34">
            <v>0</v>
          </cell>
          <cell r="M34">
            <v>0</v>
          </cell>
          <cell r="N34">
            <v>35</v>
          </cell>
          <cell r="O34">
            <v>1</v>
          </cell>
          <cell r="P34">
            <v>1</v>
          </cell>
          <cell r="Q34">
            <v>86</v>
          </cell>
          <cell r="R34">
            <v>9</v>
          </cell>
        </row>
        <row r="35">
          <cell r="D35">
            <v>17702</v>
          </cell>
          <cell r="E35">
            <v>16049</v>
          </cell>
          <cell r="F35">
            <v>1481</v>
          </cell>
          <cell r="G35">
            <v>117</v>
          </cell>
          <cell r="H35">
            <v>24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</v>
          </cell>
          <cell r="N35">
            <v>1</v>
          </cell>
          <cell r="O35">
            <v>0</v>
          </cell>
          <cell r="P35">
            <v>5</v>
          </cell>
          <cell r="Q35">
            <v>22</v>
          </cell>
          <cell r="R35">
            <v>1</v>
          </cell>
        </row>
        <row r="36">
          <cell r="D36">
            <v>2092</v>
          </cell>
          <cell r="E36">
            <v>1984</v>
          </cell>
          <cell r="F36">
            <v>0</v>
          </cell>
          <cell r="G36">
            <v>45</v>
          </cell>
          <cell r="H36">
            <v>32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4</v>
          </cell>
          <cell r="N36">
            <v>13</v>
          </cell>
          <cell r="O36">
            <v>4</v>
          </cell>
          <cell r="P36">
            <v>0</v>
          </cell>
          <cell r="Q36">
            <v>9</v>
          </cell>
          <cell r="R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D39">
            <v>43837</v>
          </cell>
          <cell r="E39">
            <v>39091</v>
          </cell>
          <cell r="F39">
            <v>2465</v>
          </cell>
          <cell r="G39">
            <v>975</v>
          </cell>
          <cell r="H39">
            <v>1145</v>
          </cell>
          <cell r="I39">
            <v>0</v>
          </cell>
          <cell r="J39">
            <v>1</v>
          </cell>
          <cell r="K39">
            <v>4</v>
          </cell>
          <cell r="L39">
            <v>17</v>
          </cell>
          <cell r="M39">
            <v>4</v>
          </cell>
          <cell r="N39">
            <v>36</v>
          </cell>
          <cell r="O39">
            <v>6</v>
          </cell>
          <cell r="P39">
            <v>5</v>
          </cell>
          <cell r="Q39">
            <v>8</v>
          </cell>
          <cell r="R39">
            <v>80</v>
          </cell>
        </row>
        <row r="40">
          <cell r="D40">
            <v>11602</v>
          </cell>
          <cell r="E40">
            <v>10821</v>
          </cell>
          <cell r="F40">
            <v>458</v>
          </cell>
          <cell r="G40">
            <v>0</v>
          </cell>
          <cell r="H40">
            <v>185</v>
          </cell>
          <cell r="I40">
            <v>0</v>
          </cell>
          <cell r="J40">
            <v>0</v>
          </cell>
          <cell r="K40">
            <v>13</v>
          </cell>
          <cell r="L40">
            <v>0</v>
          </cell>
          <cell r="M40">
            <v>3</v>
          </cell>
          <cell r="N40">
            <v>63</v>
          </cell>
          <cell r="O40">
            <v>0</v>
          </cell>
          <cell r="P40">
            <v>1</v>
          </cell>
          <cell r="Q40">
            <v>13</v>
          </cell>
          <cell r="R40">
            <v>45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D44">
            <v>156</v>
          </cell>
          <cell r="E44">
            <v>2</v>
          </cell>
          <cell r="F44">
            <v>85</v>
          </cell>
          <cell r="G44">
            <v>3</v>
          </cell>
          <cell r="H44">
            <v>11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4</v>
          </cell>
          <cell r="O44">
            <v>0</v>
          </cell>
          <cell r="P44">
            <v>0</v>
          </cell>
          <cell r="Q44">
            <v>50</v>
          </cell>
          <cell r="R44">
            <v>0</v>
          </cell>
        </row>
        <row r="45">
          <cell r="D45">
            <v>18204</v>
          </cell>
          <cell r="E45">
            <v>16961</v>
          </cell>
          <cell r="F45">
            <v>556</v>
          </cell>
          <cell r="G45">
            <v>418</v>
          </cell>
          <cell r="H45">
            <v>254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</v>
          </cell>
          <cell r="O45">
            <v>6</v>
          </cell>
          <cell r="P45">
            <v>2</v>
          </cell>
          <cell r="Q45">
            <v>3</v>
          </cell>
          <cell r="R45">
            <v>0</v>
          </cell>
        </row>
        <row r="46">
          <cell r="D46">
            <v>26101</v>
          </cell>
          <cell r="E46">
            <v>24034</v>
          </cell>
          <cell r="F46">
            <v>920</v>
          </cell>
          <cell r="G46">
            <v>625</v>
          </cell>
          <cell r="H46">
            <v>41</v>
          </cell>
          <cell r="I46">
            <v>1</v>
          </cell>
          <cell r="J46">
            <v>0</v>
          </cell>
          <cell r="K46">
            <v>1</v>
          </cell>
          <cell r="L46">
            <v>5</v>
          </cell>
          <cell r="M46">
            <v>0</v>
          </cell>
          <cell r="N46">
            <v>30</v>
          </cell>
          <cell r="O46">
            <v>0</v>
          </cell>
          <cell r="P46">
            <v>0</v>
          </cell>
          <cell r="Q46">
            <v>426</v>
          </cell>
          <cell r="R46">
            <v>18</v>
          </cell>
        </row>
        <row r="47">
          <cell r="D47">
            <v>4276</v>
          </cell>
          <cell r="E47">
            <v>3024</v>
          </cell>
          <cell r="F47">
            <v>1186</v>
          </cell>
          <cell r="G47">
            <v>8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21</v>
          </cell>
          <cell r="R47">
            <v>0</v>
          </cell>
        </row>
        <row r="48">
          <cell r="D48">
            <v>16198</v>
          </cell>
          <cell r="E48">
            <v>15130</v>
          </cell>
          <cell r="F48">
            <v>253</v>
          </cell>
          <cell r="G48">
            <v>443</v>
          </cell>
          <cell r="H48">
            <v>51</v>
          </cell>
          <cell r="I48">
            <v>0</v>
          </cell>
          <cell r="J48">
            <v>1</v>
          </cell>
          <cell r="K48">
            <v>20</v>
          </cell>
          <cell r="L48">
            <v>8</v>
          </cell>
          <cell r="M48">
            <v>1</v>
          </cell>
          <cell r="N48">
            <v>13</v>
          </cell>
          <cell r="O48">
            <v>3</v>
          </cell>
          <cell r="P48">
            <v>0</v>
          </cell>
          <cell r="Q48">
            <v>217</v>
          </cell>
          <cell r="R48">
            <v>58</v>
          </cell>
        </row>
        <row r="49">
          <cell r="D49">
            <v>6751</v>
          </cell>
          <cell r="E49">
            <v>6259</v>
          </cell>
          <cell r="F49">
            <v>242</v>
          </cell>
          <cell r="G49">
            <v>130</v>
          </cell>
          <cell r="H49">
            <v>78</v>
          </cell>
          <cell r="I49">
            <v>0</v>
          </cell>
          <cell r="J49">
            <v>0</v>
          </cell>
          <cell r="K49">
            <v>3</v>
          </cell>
          <cell r="L49">
            <v>2</v>
          </cell>
          <cell r="M49">
            <v>2</v>
          </cell>
          <cell r="N49">
            <v>27</v>
          </cell>
          <cell r="O49">
            <v>1</v>
          </cell>
          <cell r="P49">
            <v>0</v>
          </cell>
          <cell r="Q49">
            <v>7</v>
          </cell>
          <cell r="R49">
            <v>0</v>
          </cell>
        </row>
        <row r="50">
          <cell r="D50">
            <v>30682</v>
          </cell>
          <cell r="E50">
            <v>26192</v>
          </cell>
          <cell r="F50">
            <v>3487</v>
          </cell>
          <cell r="G50">
            <v>594</v>
          </cell>
          <cell r="H50">
            <v>336</v>
          </cell>
          <cell r="I50">
            <v>0</v>
          </cell>
          <cell r="J50">
            <v>2</v>
          </cell>
          <cell r="K50">
            <v>21</v>
          </cell>
          <cell r="L50">
            <v>5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31</v>
          </cell>
          <cell r="R50">
            <v>8</v>
          </cell>
        </row>
        <row r="51">
          <cell r="D51">
            <v>6892</v>
          </cell>
          <cell r="E51">
            <v>6400</v>
          </cell>
          <cell r="F51">
            <v>433</v>
          </cell>
          <cell r="G51">
            <v>0</v>
          </cell>
          <cell r="H51">
            <v>39</v>
          </cell>
          <cell r="I51">
            <v>0</v>
          </cell>
          <cell r="J51">
            <v>0</v>
          </cell>
          <cell r="K51">
            <v>13</v>
          </cell>
          <cell r="L51">
            <v>2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</row>
        <row r="52">
          <cell r="D52">
            <v>7075</v>
          </cell>
          <cell r="E52">
            <v>6886</v>
          </cell>
          <cell r="F52">
            <v>133</v>
          </cell>
          <cell r="G52">
            <v>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</v>
          </cell>
          <cell r="O52">
            <v>0</v>
          </cell>
          <cell r="P52">
            <v>0</v>
          </cell>
          <cell r="Q52">
            <v>42</v>
          </cell>
          <cell r="R52">
            <v>0</v>
          </cell>
        </row>
        <row r="53">
          <cell r="D53">
            <v>11151</v>
          </cell>
          <cell r="E53">
            <v>9771</v>
          </cell>
          <cell r="F53">
            <v>736</v>
          </cell>
          <cell r="G53">
            <v>141</v>
          </cell>
          <cell r="H53">
            <v>384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</v>
          </cell>
          <cell r="N53">
            <v>77</v>
          </cell>
          <cell r="O53">
            <v>7</v>
          </cell>
          <cell r="P53">
            <v>0</v>
          </cell>
          <cell r="Q53">
            <v>33</v>
          </cell>
          <cell r="R53">
            <v>0</v>
          </cell>
        </row>
        <row r="54">
          <cell r="D54">
            <v>4778</v>
          </cell>
          <cell r="E54">
            <v>4575</v>
          </cell>
          <cell r="F54">
            <v>135</v>
          </cell>
          <cell r="G54">
            <v>0</v>
          </cell>
          <cell r="H54">
            <v>8</v>
          </cell>
          <cell r="I54">
            <v>0</v>
          </cell>
          <cell r="J54">
            <v>2</v>
          </cell>
          <cell r="K54">
            <v>0</v>
          </cell>
          <cell r="L54">
            <v>0</v>
          </cell>
          <cell r="M54">
            <v>1</v>
          </cell>
          <cell r="N54">
            <v>35</v>
          </cell>
          <cell r="O54">
            <v>3</v>
          </cell>
          <cell r="P54">
            <v>0</v>
          </cell>
          <cell r="Q54">
            <v>19</v>
          </cell>
          <cell r="R54">
            <v>0</v>
          </cell>
        </row>
        <row r="55">
          <cell r="D55">
            <v>1380</v>
          </cell>
          <cell r="E55">
            <v>1015</v>
          </cell>
          <cell r="F55">
            <v>318</v>
          </cell>
          <cell r="G55">
            <v>38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</v>
          </cell>
          <cell r="O55">
            <v>0</v>
          </cell>
          <cell r="P55">
            <v>0</v>
          </cell>
          <cell r="Q55">
            <v>1</v>
          </cell>
          <cell r="R55">
            <v>1</v>
          </cell>
        </row>
        <row r="56">
          <cell r="D56">
            <v>30550</v>
          </cell>
          <cell r="E56">
            <v>28024</v>
          </cell>
          <cell r="F56">
            <v>995</v>
          </cell>
          <cell r="G56">
            <v>1158</v>
          </cell>
          <cell r="H56">
            <v>126</v>
          </cell>
          <cell r="I56">
            <v>0</v>
          </cell>
          <cell r="J56">
            <v>5</v>
          </cell>
          <cell r="K56">
            <v>13</v>
          </cell>
          <cell r="L56">
            <v>1</v>
          </cell>
          <cell r="M56">
            <v>6</v>
          </cell>
          <cell r="N56">
            <v>142</v>
          </cell>
          <cell r="O56">
            <v>6</v>
          </cell>
          <cell r="P56">
            <v>0</v>
          </cell>
          <cell r="Q56">
            <v>72</v>
          </cell>
          <cell r="R56">
            <v>2</v>
          </cell>
        </row>
        <row r="57">
          <cell r="D57">
            <v>7669</v>
          </cell>
          <cell r="E57">
            <v>6154</v>
          </cell>
          <cell r="F57">
            <v>1220</v>
          </cell>
          <cell r="G57">
            <v>92</v>
          </cell>
          <cell r="H57">
            <v>173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14</v>
          </cell>
          <cell r="O57">
            <v>1</v>
          </cell>
          <cell r="P57">
            <v>0</v>
          </cell>
          <cell r="Q57">
            <v>15</v>
          </cell>
          <cell r="R57">
            <v>0</v>
          </cell>
        </row>
        <row r="58">
          <cell r="D58">
            <v>11826</v>
          </cell>
          <cell r="E58">
            <v>11538</v>
          </cell>
          <cell r="F58">
            <v>94</v>
          </cell>
          <cell r="G58">
            <v>78</v>
          </cell>
          <cell r="H58">
            <v>9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1</v>
          </cell>
          <cell r="N58">
            <v>7</v>
          </cell>
          <cell r="O58">
            <v>1</v>
          </cell>
          <cell r="P58">
            <v>0</v>
          </cell>
          <cell r="Q58">
            <v>83</v>
          </cell>
          <cell r="R58">
            <v>14</v>
          </cell>
        </row>
        <row r="59">
          <cell r="D59">
            <v>6876</v>
          </cell>
          <cell r="E59">
            <v>6802</v>
          </cell>
          <cell r="F59">
            <v>1</v>
          </cell>
          <cell r="G59">
            <v>8</v>
          </cell>
          <cell r="H59">
            <v>29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1</v>
          </cell>
          <cell r="N59">
            <v>3</v>
          </cell>
          <cell r="O59">
            <v>2</v>
          </cell>
          <cell r="P59">
            <v>9</v>
          </cell>
          <cell r="Q59">
            <v>18</v>
          </cell>
          <cell r="R59">
            <v>2</v>
          </cell>
        </row>
        <row r="60">
          <cell r="D60">
            <v>10643</v>
          </cell>
          <cell r="E60">
            <v>9798</v>
          </cell>
          <cell r="F60">
            <v>427</v>
          </cell>
          <cell r="G60">
            <v>137</v>
          </cell>
          <cell r="H60">
            <v>227</v>
          </cell>
          <cell r="I60">
            <v>0</v>
          </cell>
          <cell r="J60">
            <v>3</v>
          </cell>
          <cell r="K60">
            <v>0</v>
          </cell>
          <cell r="L60">
            <v>0</v>
          </cell>
          <cell r="M60">
            <v>3</v>
          </cell>
          <cell r="N60">
            <v>11</v>
          </cell>
          <cell r="O60">
            <v>8</v>
          </cell>
          <cell r="P60">
            <v>3</v>
          </cell>
          <cell r="Q60">
            <v>26</v>
          </cell>
          <cell r="R60">
            <v>0</v>
          </cell>
        </row>
        <row r="61">
          <cell r="D61">
            <v>10150</v>
          </cell>
          <cell r="E61">
            <v>9702</v>
          </cell>
          <cell r="F61">
            <v>119</v>
          </cell>
          <cell r="G61">
            <v>253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</v>
          </cell>
          <cell r="N61">
            <v>6</v>
          </cell>
          <cell r="O61">
            <v>1</v>
          </cell>
          <cell r="P61">
            <v>0</v>
          </cell>
          <cell r="Q61">
            <v>30</v>
          </cell>
          <cell r="R61">
            <v>0</v>
          </cell>
        </row>
        <row r="62">
          <cell r="D62">
            <v>3976</v>
          </cell>
          <cell r="E62">
            <v>2953</v>
          </cell>
          <cell r="F62">
            <v>168</v>
          </cell>
          <cell r="G62">
            <v>10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796</v>
          </cell>
          <cell r="O62">
            <v>0</v>
          </cell>
          <cell r="P62">
            <v>0</v>
          </cell>
          <cell r="Q62">
            <v>14</v>
          </cell>
          <cell r="R62">
            <v>0</v>
          </cell>
        </row>
        <row r="63">
          <cell r="D63">
            <v>5429</v>
          </cell>
          <cell r="E63">
            <v>5102</v>
          </cell>
          <cell r="F63">
            <v>164</v>
          </cell>
          <cell r="G63">
            <v>100</v>
          </cell>
          <cell r="H63">
            <v>32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24</v>
          </cell>
          <cell r="O63">
            <v>0</v>
          </cell>
          <cell r="P63">
            <v>0</v>
          </cell>
          <cell r="Q63">
            <v>6</v>
          </cell>
          <cell r="R63">
            <v>0</v>
          </cell>
        </row>
        <row r="64">
          <cell r="D64">
            <v>12912</v>
          </cell>
          <cell r="E64">
            <v>11219</v>
          </cell>
          <cell r="F64">
            <v>1258</v>
          </cell>
          <cell r="G64">
            <v>243</v>
          </cell>
          <cell r="H64">
            <v>1</v>
          </cell>
          <cell r="I64">
            <v>0</v>
          </cell>
          <cell r="J64">
            <v>0</v>
          </cell>
          <cell r="K64">
            <v>5</v>
          </cell>
          <cell r="L64">
            <v>0</v>
          </cell>
          <cell r="M64">
            <v>4</v>
          </cell>
          <cell r="N64">
            <v>51</v>
          </cell>
          <cell r="O64">
            <v>2</v>
          </cell>
          <cell r="P64">
            <v>0</v>
          </cell>
          <cell r="Q64">
            <v>128</v>
          </cell>
          <cell r="R64">
            <v>1</v>
          </cell>
        </row>
        <row r="65">
          <cell r="D65">
            <v>35668</v>
          </cell>
          <cell r="E65">
            <v>33912</v>
          </cell>
          <cell r="F65">
            <v>1014</v>
          </cell>
          <cell r="G65">
            <v>596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2</v>
          </cell>
          <cell r="M65">
            <v>2</v>
          </cell>
          <cell r="N65">
            <v>4</v>
          </cell>
          <cell r="O65">
            <v>11</v>
          </cell>
          <cell r="P65">
            <v>0</v>
          </cell>
          <cell r="Q65">
            <v>126</v>
          </cell>
          <cell r="R65">
            <v>0</v>
          </cell>
        </row>
        <row r="66">
          <cell r="D66">
            <v>5969</v>
          </cell>
          <cell r="E66">
            <v>5866</v>
          </cell>
          <cell r="F66">
            <v>22</v>
          </cell>
          <cell r="G66">
            <v>56</v>
          </cell>
          <cell r="H66">
            <v>2</v>
          </cell>
          <cell r="I66">
            <v>0</v>
          </cell>
          <cell r="J66">
            <v>0</v>
          </cell>
          <cell r="K66">
            <v>3</v>
          </cell>
          <cell r="L66">
            <v>1</v>
          </cell>
          <cell r="M66">
            <v>0</v>
          </cell>
          <cell r="N66">
            <v>9</v>
          </cell>
          <cell r="O66">
            <v>1</v>
          </cell>
          <cell r="P66">
            <v>0</v>
          </cell>
          <cell r="Q66">
            <v>9</v>
          </cell>
          <cell r="R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D77">
            <v>26470</v>
          </cell>
          <cell r="E77">
            <v>23465</v>
          </cell>
          <cell r="F77">
            <v>1388</v>
          </cell>
          <cell r="G77">
            <v>1256</v>
          </cell>
          <cell r="H77">
            <v>59</v>
          </cell>
          <cell r="I77">
            <v>0</v>
          </cell>
          <cell r="J77">
            <v>4</v>
          </cell>
          <cell r="K77">
            <v>3</v>
          </cell>
          <cell r="L77">
            <v>0</v>
          </cell>
          <cell r="M77">
            <v>10</v>
          </cell>
          <cell r="N77">
            <v>87</v>
          </cell>
          <cell r="O77">
            <v>0</v>
          </cell>
          <cell r="P77">
            <v>0</v>
          </cell>
          <cell r="Q77">
            <v>189</v>
          </cell>
          <cell r="R77">
            <v>9</v>
          </cell>
        </row>
        <row r="78">
          <cell r="D78">
            <v>30027</v>
          </cell>
          <cell r="E78">
            <v>27108</v>
          </cell>
          <cell r="F78">
            <v>2029</v>
          </cell>
          <cell r="G78">
            <v>388</v>
          </cell>
          <cell r="H78">
            <v>71</v>
          </cell>
          <cell r="I78">
            <v>0</v>
          </cell>
          <cell r="J78">
            <v>0</v>
          </cell>
          <cell r="K78">
            <v>6</v>
          </cell>
          <cell r="L78">
            <v>0</v>
          </cell>
          <cell r="M78">
            <v>10</v>
          </cell>
          <cell r="N78">
            <v>234</v>
          </cell>
          <cell r="O78">
            <v>0</v>
          </cell>
          <cell r="P78">
            <v>181</v>
          </cell>
          <cell r="Q78">
            <v>0</v>
          </cell>
          <cell r="R78">
            <v>0</v>
          </cell>
        </row>
        <row r="79">
          <cell r="D79">
            <v>42131</v>
          </cell>
          <cell r="E79">
            <v>37165</v>
          </cell>
          <cell r="F79">
            <v>3105</v>
          </cell>
          <cell r="G79">
            <v>497</v>
          </cell>
          <cell r="H79">
            <v>710</v>
          </cell>
          <cell r="I79">
            <v>0</v>
          </cell>
          <cell r="J79">
            <v>0</v>
          </cell>
          <cell r="K79">
            <v>46</v>
          </cell>
          <cell r="L79">
            <v>3</v>
          </cell>
          <cell r="M79">
            <v>24</v>
          </cell>
          <cell r="N79">
            <v>147</v>
          </cell>
          <cell r="O79">
            <v>0</v>
          </cell>
          <cell r="P79">
            <v>199</v>
          </cell>
          <cell r="Q79">
            <v>235</v>
          </cell>
          <cell r="R79">
            <v>0</v>
          </cell>
        </row>
        <row r="80">
          <cell r="D80">
            <v>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7</v>
          </cell>
          <cell r="P80">
            <v>0</v>
          </cell>
          <cell r="Q80">
            <v>0</v>
          </cell>
          <cell r="R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D82">
            <v>12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</v>
          </cell>
          <cell r="P82">
            <v>0</v>
          </cell>
          <cell r="Q82">
            <v>0</v>
          </cell>
          <cell r="R82">
            <v>0</v>
          </cell>
        </row>
        <row r="83">
          <cell r="D83">
            <v>19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19</v>
          </cell>
          <cell r="P83">
            <v>0</v>
          </cell>
          <cell r="Q83">
            <v>0</v>
          </cell>
          <cell r="R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D85">
            <v>10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10</v>
          </cell>
          <cell r="P85">
            <v>0</v>
          </cell>
          <cell r="Q85">
            <v>0</v>
          </cell>
          <cell r="R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D87">
            <v>25904</v>
          </cell>
          <cell r="E87">
            <v>22627</v>
          </cell>
          <cell r="F87">
            <v>1453</v>
          </cell>
          <cell r="G87">
            <v>1012</v>
          </cell>
          <cell r="H87">
            <v>424</v>
          </cell>
          <cell r="I87">
            <v>0</v>
          </cell>
          <cell r="J87">
            <v>0</v>
          </cell>
          <cell r="K87">
            <v>40</v>
          </cell>
          <cell r="L87">
            <v>4</v>
          </cell>
          <cell r="M87">
            <v>1</v>
          </cell>
          <cell r="N87">
            <v>65</v>
          </cell>
          <cell r="O87">
            <v>3</v>
          </cell>
          <cell r="P87">
            <v>0</v>
          </cell>
          <cell r="Q87">
            <v>274</v>
          </cell>
          <cell r="R87">
            <v>1</v>
          </cell>
        </row>
        <row r="88">
          <cell r="D88">
            <v>37113</v>
          </cell>
          <cell r="E88">
            <v>29964</v>
          </cell>
          <cell r="F88">
            <v>4660</v>
          </cell>
          <cell r="G88">
            <v>1231</v>
          </cell>
          <cell r="H88">
            <v>520</v>
          </cell>
          <cell r="I88">
            <v>1</v>
          </cell>
          <cell r="J88">
            <v>1</v>
          </cell>
          <cell r="K88">
            <v>15</v>
          </cell>
          <cell r="L88">
            <v>2</v>
          </cell>
          <cell r="M88">
            <v>34</v>
          </cell>
          <cell r="N88">
            <v>327</v>
          </cell>
          <cell r="O88">
            <v>0</v>
          </cell>
          <cell r="P88">
            <v>18</v>
          </cell>
          <cell r="Q88">
            <v>281</v>
          </cell>
          <cell r="R88">
            <v>59</v>
          </cell>
        </row>
        <row r="89">
          <cell r="D89">
            <v>31971</v>
          </cell>
          <cell r="E89">
            <v>28302</v>
          </cell>
          <cell r="F89">
            <v>1137</v>
          </cell>
          <cell r="G89">
            <v>1966</v>
          </cell>
          <cell r="H89">
            <v>291</v>
          </cell>
          <cell r="I89">
            <v>1</v>
          </cell>
          <cell r="J89">
            <v>0</v>
          </cell>
          <cell r="K89">
            <v>13</v>
          </cell>
          <cell r="L89">
            <v>2</v>
          </cell>
          <cell r="M89">
            <v>1</v>
          </cell>
          <cell r="N89">
            <v>130</v>
          </cell>
          <cell r="O89">
            <v>9</v>
          </cell>
          <cell r="P89">
            <v>0</v>
          </cell>
          <cell r="Q89">
            <v>112</v>
          </cell>
          <cell r="R89">
            <v>7</v>
          </cell>
        </row>
        <row r="90">
          <cell r="D90">
            <v>10306</v>
          </cell>
          <cell r="E90">
            <v>9878</v>
          </cell>
          <cell r="F90">
            <v>49</v>
          </cell>
          <cell r="G90">
            <v>150</v>
          </cell>
          <cell r="H90">
            <v>35</v>
          </cell>
          <cell r="I90">
            <v>0</v>
          </cell>
          <cell r="J90">
            <v>1</v>
          </cell>
          <cell r="K90">
            <v>13</v>
          </cell>
          <cell r="L90">
            <v>0</v>
          </cell>
          <cell r="M90">
            <v>0</v>
          </cell>
          <cell r="N90">
            <v>0</v>
          </cell>
          <cell r="O90">
            <v>13</v>
          </cell>
          <cell r="P90">
            <v>0</v>
          </cell>
          <cell r="Q90">
            <v>167</v>
          </cell>
          <cell r="R90">
            <v>0</v>
          </cell>
        </row>
        <row r="91">
          <cell r="D91">
            <v>58440</v>
          </cell>
          <cell r="E91">
            <v>52894</v>
          </cell>
          <cell r="F91">
            <v>4321</v>
          </cell>
          <cell r="G91">
            <v>640</v>
          </cell>
          <cell r="H91">
            <v>221</v>
          </cell>
          <cell r="I91">
            <v>0</v>
          </cell>
          <cell r="J91">
            <v>0</v>
          </cell>
          <cell r="K91">
            <v>9</v>
          </cell>
          <cell r="L91">
            <v>10</v>
          </cell>
          <cell r="M91">
            <v>1</v>
          </cell>
          <cell r="N91">
            <v>116</v>
          </cell>
          <cell r="O91">
            <v>8</v>
          </cell>
          <cell r="P91">
            <v>0</v>
          </cell>
          <cell r="Q91">
            <v>177</v>
          </cell>
          <cell r="R91">
            <v>43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D93">
            <v>37572</v>
          </cell>
          <cell r="E93">
            <v>32003</v>
          </cell>
          <cell r="F93">
            <v>4187</v>
          </cell>
          <cell r="G93">
            <v>920</v>
          </cell>
          <cell r="H93">
            <v>124</v>
          </cell>
          <cell r="I93">
            <v>0</v>
          </cell>
          <cell r="J93">
            <v>0</v>
          </cell>
          <cell r="K93">
            <v>22</v>
          </cell>
          <cell r="L93">
            <v>1</v>
          </cell>
          <cell r="M93">
            <v>2</v>
          </cell>
          <cell r="N93">
            <v>143</v>
          </cell>
          <cell r="O93">
            <v>2</v>
          </cell>
          <cell r="P93">
            <v>46</v>
          </cell>
          <cell r="Q93">
            <v>91</v>
          </cell>
          <cell r="R93">
            <v>31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D96">
            <v>194</v>
          </cell>
          <cell r="E96">
            <v>154</v>
          </cell>
          <cell r="F96">
            <v>38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</v>
          </cell>
          <cell r="R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D100">
            <v>2169</v>
          </cell>
          <cell r="E100">
            <v>1740</v>
          </cell>
          <cell r="F100">
            <v>416</v>
          </cell>
          <cell r="G100">
            <v>0</v>
          </cell>
          <cell r="H100">
            <v>11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D101">
            <v>6690</v>
          </cell>
          <cell r="E101">
            <v>5333</v>
          </cell>
          <cell r="F101">
            <v>974</v>
          </cell>
          <cell r="G101">
            <v>156</v>
          </cell>
          <cell r="H101">
            <v>150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</v>
          </cell>
          <cell r="N101">
            <v>0</v>
          </cell>
          <cell r="O101">
            <v>1</v>
          </cell>
          <cell r="P101">
            <v>3</v>
          </cell>
          <cell r="Q101">
            <v>0</v>
          </cell>
          <cell r="R101">
            <v>69</v>
          </cell>
        </row>
        <row r="102">
          <cell r="D102">
            <v>4580</v>
          </cell>
          <cell r="E102">
            <v>3740</v>
          </cell>
          <cell r="F102">
            <v>649</v>
          </cell>
          <cell r="G102">
            <v>4</v>
          </cell>
          <cell r="H102">
            <v>94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19</v>
          </cell>
          <cell r="R102">
            <v>71</v>
          </cell>
        </row>
        <row r="103">
          <cell r="D103">
            <v>3583</v>
          </cell>
          <cell r="E103">
            <v>3552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5</v>
          </cell>
          <cell r="N103">
            <v>3</v>
          </cell>
          <cell r="O103">
            <v>0</v>
          </cell>
          <cell r="P103">
            <v>0</v>
          </cell>
          <cell r="Q103">
            <v>16</v>
          </cell>
          <cell r="R103">
            <v>5</v>
          </cell>
        </row>
        <row r="104">
          <cell r="D104">
            <v>13140</v>
          </cell>
          <cell r="E104">
            <v>12785</v>
          </cell>
          <cell r="F104">
            <v>121</v>
          </cell>
          <cell r="G104">
            <v>100</v>
          </cell>
          <cell r="H104">
            <v>79</v>
          </cell>
          <cell r="I104">
            <v>0</v>
          </cell>
          <cell r="J104">
            <v>0</v>
          </cell>
          <cell r="K104">
            <v>3</v>
          </cell>
          <cell r="L104">
            <v>0</v>
          </cell>
          <cell r="M104">
            <v>2</v>
          </cell>
          <cell r="N104">
            <v>18</v>
          </cell>
          <cell r="O104">
            <v>4</v>
          </cell>
          <cell r="P104">
            <v>0</v>
          </cell>
          <cell r="Q104">
            <v>28</v>
          </cell>
          <cell r="R104">
            <v>0</v>
          </cell>
        </row>
        <row r="105">
          <cell r="D105">
            <v>5264</v>
          </cell>
          <cell r="E105">
            <v>4763</v>
          </cell>
          <cell r="F105">
            <v>351</v>
          </cell>
          <cell r="G105">
            <v>95</v>
          </cell>
          <cell r="H105">
            <v>0</v>
          </cell>
          <cell r="I105">
            <v>0</v>
          </cell>
          <cell r="J105">
            <v>0</v>
          </cell>
          <cell r="K105">
            <v>2</v>
          </cell>
          <cell r="L105">
            <v>0</v>
          </cell>
          <cell r="M105">
            <v>1</v>
          </cell>
          <cell r="N105">
            <v>30</v>
          </cell>
          <cell r="O105">
            <v>0</v>
          </cell>
          <cell r="P105">
            <v>0</v>
          </cell>
          <cell r="Q105">
            <v>19</v>
          </cell>
          <cell r="R105">
            <v>3</v>
          </cell>
        </row>
        <row r="106">
          <cell r="D106">
            <v>10485</v>
          </cell>
          <cell r="E106">
            <v>9461</v>
          </cell>
          <cell r="F106">
            <v>565</v>
          </cell>
          <cell r="G106">
            <v>220</v>
          </cell>
          <cell r="H106">
            <v>138</v>
          </cell>
          <cell r="I106">
            <v>0</v>
          </cell>
          <cell r="J106">
            <v>0</v>
          </cell>
          <cell r="K106">
            <v>0</v>
          </cell>
          <cell r="L106">
            <v>3</v>
          </cell>
          <cell r="M106">
            <v>6</v>
          </cell>
          <cell r="N106">
            <v>10</v>
          </cell>
          <cell r="O106">
            <v>0</v>
          </cell>
          <cell r="P106">
            <v>0</v>
          </cell>
          <cell r="Q106">
            <v>77</v>
          </cell>
          <cell r="R106">
            <v>5</v>
          </cell>
        </row>
        <row r="107">
          <cell r="D107">
            <v>9656</v>
          </cell>
          <cell r="E107">
            <v>8534</v>
          </cell>
          <cell r="F107">
            <v>858</v>
          </cell>
          <cell r="G107">
            <v>200</v>
          </cell>
          <cell r="H107">
            <v>38</v>
          </cell>
          <cell r="I107">
            <v>0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2</v>
          </cell>
          <cell r="O107">
            <v>0</v>
          </cell>
          <cell r="P107">
            <v>0</v>
          </cell>
          <cell r="Q107">
            <v>22</v>
          </cell>
          <cell r="R107">
            <v>1</v>
          </cell>
        </row>
        <row r="108">
          <cell r="D108">
            <v>8391</v>
          </cell>
          <cell r="E108">
            <v>7513</v>
          </cell>
          <cell r="F108">
            <v>794</v>
          </cell>
          <cell r="G108">
            <v>2</v>
          </cell>
          <cell r="H108">
            <v>28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17</v>
          </cell>
          <cell r="N108">
            <v>4</v>
          </cell>
          <cell r="O108">
            <v>2</v>
          </cell>
          <cell r="P108">
            <v>2</v>
          </cell>
          <cell r="Q108">
            <v>21</v>
          </cell>
          <cell r="R108">
            <v>7</v>
          </cell>
        </row>
        <row r="109">
          <cell r="D109">
            <v>4993</v>
          </cell>
          <cell r="E109">
            <v>4652</v>
          </cell>
          <cell r="F109">
            <v>193</v>
          </cell>
          <cell r="G109">
            <v>70</v>
          </cell>
          <cell r="H109">
            <v>16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35</v>
          </cell>
          <cell r="O109">
            <v>0</v>
          </cell>
          <cell r="P109">
            <v>0</v>
          </cell>
          <cell r="Q109">
            <v>20</v>
          </cell>
          <cell r="R109">
            <v>7</v>
          </cell>
        </row>
        <row r="110">
          <cell r="D110">
            <v>7220</v>
          </cell>
          <cell r="E110">
            <v>6908</v>
          </cell>
          <cell r="F110">
            <v>33</v>
          </cell>
          <cell r="G110">
            <v>185</v>
          </cell>
          <cell r="H110">
            <v>25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7</v>
          </cell>
          <cell r="O110">
            <v>0</v>
          </cell>
          <cell r="P110">
            <v>0</v>
          </cell>
          <cell r="Q110">
            <v>61</v>
          </cell>
          <cell r="R110">
            <v>0</v>
          </cell>
        </row>
        <row r="111">
          <cell r="D111">
            <v>6929</v>
          </cell>
          <cell r="E111">
            <v>6390</v>
          </cell>
          <cell r="F111">
            <v>455</v>
          </cell>
          <cell r="G111">
            <v>16</v>
          </cell>
          <cell r="H111">
            <v>27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0</v>
          </cell>
          <cell r="O111">
            <v>0</v>
          </cell>
          <cell r="P111">
            <v>0</v>
          </cell>
          <cell r="Q111">
            <v>15</v>
          </cell>
          <cell r="R111">
            <v>24</v>
          </cell>
        </row>
        <row r="112">
          <cell r="D112">
            <v>6409</v>
          </cell>
          <cell r="E112">
            <v>5484</v>
          </cell>
          <cell r="F112">
            <v>777</v>
          </cell>
          <cell r="G112">
            <v>47</v>
          </cell>
          <cell r="H112">
            <v>10</v>
          </cell>
          <cell r="I112">
            <v>0</v>
          </cell>
          <cell r="J112">
            <v>0</v>
          </cell>
          <cell r="K112">
            <v>4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58</v>
          </cell>
          <cell r="R112">
            <v>27</v>
          </cell>
        </row>
        <row r="113">
          <cell r="D113">
            <v>4346</v>
          </cell>
          <cell r="E113">
            <v>4161</v>
          </cell>
          <cell r="F113">
            <v>91</v>
          </cell>
          <cell r="G113">
            <v>46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</v>
          </cell>
          <cell r="N113">
            <v>37</v>
          </cell>
          <cell r="O113">
            <v>0</v>
          </cell>
          <cell r="P113">
            <v>0</v>
          </cell>
          <cell r="Q113">
            <v>8</v>
          </cell>
          <cell r="R113">
            <v>1</v>
          </cell>
        </row>
        <row r="114">
          <cell r="D114">
            <v>8378</v>
          </cell>
          <cell r="E114">
            <v>7346</v>
          </cell>
          <cell r="F114">
            <v>843</v>
          </cell>
          <cell r="G114">
            <v>144</v>
          </cell>
          <cell r="H114">
            <v>31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</v>
          </cell>
          <cell r="O114">
            <v>0</v>
          </cell>
          <cell r="P114">
            <v>0</v>
          </cell>
          <cell r="Q114">
            <v>12</v>
          </cell>
          <cell r="R114">
            <v>0</v>
          </cell>
        </row>
        <row r="115">
          <cell r="D115">
            <v>12853</v>
          </cell>
          <cell r="E115">
            <v>10623</v>
          </cell>
          <cell r="F115">
            <v>1840</v>
          </cell>
          <cell r="G115">
            <v>81</v>
          </cell>
          <cell r="H115">
            <v>13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1</v>
          </cell>
          <cell r="N115">
            <v>213</v>
          </cell>
          <cell r="O115">
            <v>8</v>
          </cell>
          <cell r="P115">
            <v>7</v>
          </cell>
          <cell r="Q115">
            <v>65</v>
          </cell>
          <cell r="R115">
            <v>1</v>
          </cell>
        </row>
        <row r="116">
          <cell r="D116">
            <v>7049</v>
          </cell>
          <cell r="E116">
            <v>6917</v>
          </cell>
          <cell r="F116">
            <v>0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3</v>
          </cell>
          <cell r="N116">
            <v>3</v>
          </cell>
          <cell r="O116">
            <v>3</v>
          </cell>
          <cell r="P116">
            <v>0</v>
          </cell>
          <cell r="Q116">
            <v>84</v>
          </cell>
          <cell r="R116">
            <v>36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D147">
            <v>20130</v>
          </cell>
          <cell r="E147">
            <v>15756</v>
          </cell>
          <cell r="F147">
            <v>3685</v>
          </cell>
          <cell r="G147">
            <v>376</v>
          </cell>
          <cell r="H147">
            <v>75</v>
          </cell>
          <cell r="I147">
            <v>0</v>
          </cell>
          <cell r="J147">
            <v>0</v>
          </cell>
          <cell r="K147">
            <v>13</v>
          </cell>
          <cell r="L147">
            <v>0</v>
          </cell>
          <cell r="M147">
            <v>11</v>
          </cell>
          <cell r="N147">
            <v>138</v>
          </cell>
          <cell r="O147">
            <v>0</v>
          </cell>
          <cell r="P147">
            <v>51</v>
          </cell>
          <cell r="Q147">
            <v>0</v>
          </cell>
          <cell r="R147">
            <v>25</v>
          </cell>
        </row>
        <row r="148">
          <cell r="D148">
            <v>24499</v>
          </cell>
          <cell r="E148">
            <v>20292</v>
          </cell>
          <cell r="F148">
            <v>3046</v>
          </cell>
          <cell r="G148">
            <v>706</v>
          </cell>
          <cell r="H148">
            <v>180</v>
          </cell>
          <cell r="I148">
            <v>0</v>
          </cell>
          <cell r="J148">
            <v>0</v>
          </cell>
          <cell r="K148">
            <v>0</v>
          </cell>
          <cell r="L148">
            <v>4</v>
          </cell>
          <cell r="M148">
            <v>13</v>
          </cell>
          <cell r="N148">
            <v>0</v>
          </cell>
          <cell r="O148">
            <v>2</v>
          </cell>
          <cell r="P148">
            <v>0</v>
          </cell>
          <cell r="Q148">
            <v>219</v>
          </cell>
          <cell r="R148">
            <v>37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9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E88">
            <v>932</v>
          </cell>
          <cell r="F88">
            <v>0</v>
          </cell>
          <cell r="G88">
            <v>-800</v>
          </cell>
          <cell r="H88">
            <v>0</v>
          </cell>
          <cell r="I88">
            <v>0</v>
          </cell>
          <cell r="J88">
            <v>0</v>
          </cell>
          <cell r="K88">
            <v>-14</v>
          </cell>
          <cell r="L88">
            <v>0</v>
          </cell>
          <cell r="M88">
            <v>0</v>
          </cell>
          <cell r="N88">
            <v>-118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43"/>
  <sheetViews>
    <sheetView zoomScale="80" zoomScaleNormal="80" workbookViewId="0">
      <pane xSplit="4" ySplit="4" topLeftCell="E71" activePane="bottomRight" state="frozen"/>
      <selection activeCell="F306" sqref="F306"/>
      <selection pane="topRight" activeCell="F306" sqref="F306"/>
      <selection pane="bottomLeft" activeCell="F306" sqref="F306"/>
      <selection pane="bottomRight" activeCell="C100" sqref="C100"/>
    </sheetView>
  </sheetViews>
  <sheetFormatPr defaultRowHeight="12.75" x14ac:dyDescent="0.2"/>
  <cols>
    <col min="1" max="1" width="8.42578125" style="608" customWidth="1"/>
    <col min="2" max="2" width="11.5703125" style="608" customWidth="1"/>
    <col min="3" max="3" width="35.7109375" style="608" customWidth="1"/>
    <col min="4" max="4" width="9.140625" style="608" customWidth="1"/>
    <col min="5" max="5" width="11.5703125" style="608" customWidth="1"/>
    <col min="6" max="6" width="11.85546875" style="608" customWidth="1"/>
    <col min="7" max="9" width="11.7109375" style="608" customWidth="1"/>
    <col min="10" max="10" width="19.28515625" style="608" customWidth="1"/>
    <col min="11" max="11" width="9.7109375" style="635" customWidth="1"/>
    <col min="12" max="12" width="12.140625" style="635" customWidth="1"/>
    <col min="13" max="13" width="11.140625" style="608" customWidth="1"/>
    <col min="14" max="14" width="14.5703125" style="608" customWidth="1"/>
    <col min="15" max="15" width="11" style="618" customWidth="1"/>
    <col min="16" max="241" width="9.140625" style="608"/>
    <col min="242" max="242" width="5.5703125" style="608" customWidth="1"/>
    <col min="243" max="243" width="11.5703125" style="608" customWidth="1"/>
    <col min="244" max="244" width="35.7109375" style="608" customWidth="1"/>
    <col min="245" max="245" width="9.140625" style="608" customWidth="1"/>
    <col min="246" max="246" width="11.5703125" style="608" customWidth="1"/>
    <col min="247" max="247" width="15.7109375" style="608" customWidth="1"/>
    <col min="248" max="248" width="13.42578125" style="608" customWidth="1"/>
    <col min="249" max="249" width="19.140625" style="608" customWidth="1"/>
    <col min="250" max="250" width="8.140625" style="608" customWidth="1"/>
    <col min="251" max="251" width="12.140625" style="608" customWidth="1"/>
    <col min="252" max="252" width="14.42578125" style="608" customWidth="1"/>
    <col min="253" max="253" width="13.5703125" style="608" customWidth="1"/>
    <col min="254" max="497" width="9.140625" style="608"/>
    <col min="498" max="498" width="5.5703125" style="608" customWidth="1"/>
    <col min="499" max="499" width="11.5703125" style="608" customWidth="1"/>
    <col min="500" max="500" width="35.7109375" style="608" customWidth="1"/>
    <col min="501" max="501" width="9.140625" style="608" customWidth="1"/>
    <col min="502" max="502" width="11.5703125" style="608" customWidth="1"/>
    <col min="503" max="503" width="15.7109375" style="608" customWidth="1"/>
    <col min="504" max="504" width="13.42578125" style="608" customWidth="1"/>
    <col min="505" max="505" width="19.140625" style="608" customWidth="1"/>
    <col min="506" max="506" width="8.140625" style="608" customWidth="1"/>
    <col min="507" max="507" width="12.140625" style="608" customWidth="1"/>
    <col min="508" max="508" width="14.42578125" style="608" customWidth="1"/>
    <col min="509" max="509" width="13.5703125" style="608" customWidth="1"/>
    <col min="510" max="753" width="9.140625" style="608"/>
    <col min="754" max="754" width="5.5703125" style="608" customWidth="1"/>
    <col min="755" max="755" width="11.5703125" style="608" customWidth="1"/>
    <col min="756" max="756" width="35.7109375" style="608" customWidth="1"/>
    <col min="757" max="757" width="9.140625" style="608" customWidth="1"/>
    <col min="758" max="758" width="11.5703125" style="608" customWidth="1"/>
    <col min="759" max="759" width="15.7109375" style="608" customWidth="1"/>
    <col min="760" max="760" width="13.42578125" style="608" customWidth="1"/>
    <col min="761" max="761" width="19.140625" style="608" customWidth="1"/>
    <col min="762" max="762" width="8.140625" style="608" customWidth="1"/>
    <col min="763" max="763" width="12.140625" style="608" customWidth="1"/>
    <col min="764" max="764" width="14.42578125" style="608" customWidth="1"/>
    <col min="765" max="765" width="13.5703125" style="608" customWidth="1"/>
    <col min="766" max="1009" width="9.140625" style="608"/>
    <col min="1010" max="1010" width="5.5703125" style="608" customWidth="1"/>
    <col min="1011" max="1011" width="11.5703125" style="608" customWidth="1"/>
    <col min="1012" max="1012" width="35.7109375" style="608" customWidth="1"/>
    <col min="1013" max="1013" width="9.140625" style="608" customWidth="1"/>
    <col min="1014" max="1014" width="11.5703125" style="608" customWidth="1"/>
    <col min="1015" max="1015" width="15.7109375" style="608" customWidth="1"/>
    <col min="1016" max="1016" width="13.42578125" style="608" customWidth="1"/>
    <col min="1017" max="1017" width="19.140625" style="608" customWidth="1"/>
    <col min="1018" max="1018" width="8.140625" style="608" customWidth="1"/>
    <col min="1019" max="1019" width="12.140625" style="608" customWidth="1"/>
    <col min="1020" max="1020" width="14.42578125" style="608" customWidth="1"/>
    <col min="1021" max="1021" width="13.5703125" style="608" customWidth="1"/>
    <col min="1022" max="1265" width="9.140625" style="608"/>
    <col min="1266" max="1266" width="5.5703125" style="608" customWidth="1"/>
    <col min="1267" max="1267" width="11.5703125" style="608" customWidth="1"/>
    <col min="1268" max="1268" width="35.7109375" style="608" customWidth="1"/>
    <col min="1269" max="1269" width="9.140625" style="608" customWidth="1"/>
    <col min="1270" max="1270" width="11.5703125" style="608" customWidth="1"/>
    <col min="1271" max="1271" width="15.7109375" style="608" customWidth="1"/>
    <col min="1272" max="1272" width="13.42578125" style="608" customWidth="1"/>
    <col min="1273" max="1273" width="19.140625" style="608" customWidth="1"/>
    <col min="1274" max="1274" width="8.140625" style="608" customWidth="1"/>
    <col min="1275" max="1275" width="12.140625" style="608" customWidth="1"/>
    <col min="1276" max="1276" width="14.42578125" style="608" customWidth="1"/>
    <col min="1277" max="1277" width="13.5703125" style="608" customWidth="1"/>
    <col min="1278" max="1521" width="9.140625" style="608"/>
    <col min="1522" max="1522" width="5.5703125" style="608" customWidth="1"/>
    <col min="1523" max="1523" width="11.5703125" style="608" customWidth="1"/>
    <col min="1524" max="1524" width="35.7109375" style="608" customWidth="1"/>
    <col min="1525" max="1525" width="9.140625" style="608" customWidth="1"/>
    <col min="1526" max="1526" width="11.5703125" style="608" customWidth="1"/>
    <col min="1527" max="1527" width="15.7109375" style="608" customWidth="1"/>
    <col min="1528" max="1528" width="13.42578125" style="608" customWidth="1"/>
    <col min="1529" max="1529" width="19.140625" style="608" customWidth="1"/>
    <col min="1530" max="1530" width="8.140625" style="608" customWidth="1"/>
    <col min="1531" max="1531" width="12.140625" style="608" customWidth="1"/>
    <col min="1532" max="1532" width="14.42578125" style="608" customWidth="1"/>
    <col min="1533" max="1533" width="13.5703125" style="608" customWidth="1"/>
    <col min="1534" max="1777" width="9.140625" style="608"/>
    <col min="1778" max="1778" width="5.5703125" style="608" customWidth="1"/>
    <col min="1779" max="1779" width="11.5703125" style="608" customWidth="1"/>
    <col min="1780" max="1780" width="35.7109375" style="608" customWidth="1"/>
    <col min="1781" max="1781" width="9.140625" style="608" customWidth="1"/>
    <col min="1782" max="1782" width="11.5703125" style="608" customWidth="1"/>
    <col min="1783" max="1783" width="15.7109375" style="608" customWidth="1"/>
    <col min="1784" max="1784" width="13.42578125" style="608" customWidth="1"/>
    <col min="1785" max="1785" width="19.140625" style="608" customWidth="1"/>
    <col min="1786" max="1786" width="8.140625" style="608" customWidth="1"/>
    <col min="1787" max="1787" width="12.140625" style="608" customWidth="1"/>
    <col min="1788" max="1788" width="14.42578125" style="608" customWidth="1"/>
    <col min="1789" max="1789" width="13.5703125" style="608" customWidth="1"/>
    <col min="1790" max="2033" width="9.140625" style="608"/>
    <col min="2034" max="2034" width="5.5703125" style="608" customWidth="1"/>
    <col min="2035" max="2035" width="11.5703125" style="608" customWidth="1"/>
    <col min="2036" max="2036" width="35.7109375" style="608" customWidth="1"/>
    <col min="2037" max="2037" width="9.140625" style="608" customWidth="1"/>
    <col min="2038" max="2038" width="11.5703125" style="608" customWidth="1"/>
    <col min="2039" max="2039" width="15.7109375" style="608" customWidth="1"/>
    <col min="2040" max="2040" width="13.42578125" style="608" customWidth="1"/>
    <col min="2041" max="2041" width="19.140625" style="608" customWidth="1"/>
    <col min="2042" max="2042" width="8.140625" style="608" customWidth="1"/>
    <col min="2043" max="2043" width="12.140625" style="608" customWidth="1"/>
    <col min="2044" max="2044" width="14.42578125" style="608" customWidth="1"/>
    <col min="2045" max="2045" width="13.5703125" style="608" customWidth="1"/>
    <col min="2046" max="2289" width="9.140625" style="608"/>
    <col min="2290" max="2290" width="5.5703125" style="608" customWidth="1"/>
    <col min="2291" max="2291" width="11.5703125" style="608" customWidth="1"/>
    <col min="2292" max="2292" width="35.7109375" style="608" customWidth="1"/>
    <col min="2293" max="2293" width="9.140625" style="608" customWidth="1"/>
    <col min="2294" max="2294" width="11.5703125" style="608" customWidth="1"/>
    <col min="2295" max="2295" width="15.7109375" style="608" customWidth="1"/>
    <col min="2296" max="2296" width="13.42578125" style="608" customWidth="1"/>
    <col min="2297" max="2297" width="19.140625" style="608" customWidth="1"/>
    <col min="2298" max="2298" width="8.140625" style="608" customWidth="1"/>
    <col min="2299" max="2299" width="12.140625" style="608" customWidth="1"/>
    <col min="2300" max="2300" width="14.42578125" style="608" customWidth="1"/>
    <col min="2301" max="2301" width="13.5703125" style="608" customWidth="1"/>
    <col min="2302" max="2545" width="9.140625" style="608"/>
    <col min="2546" max="2546" width="5.5703125" style="608" customWidth="1"/>
    <col min="2547" max="2547" width="11.5703125" style="608" customWidth="1"/>
    <col min="2548" max="2548" width="35.7109375" style="608" customWidth="1"/>
    <col min="2549" max="2549" width="9.140625" style="608" customWidth="1"/>
    <col min="2550" max="2550" width="11.5703125" style="608" customWidth="1"/>
    <col min="2551" max="2551" width="15.7109375" style="608" customWidth="1"/>
    <col min="2552" max="2552" width="13.42578125" style="608" customWidth="1"/>
    <col min="2553" max="2553" width="19.140625" style="608" customWidth="1"/>
    <col min="2554" max="2554" width="8.140625" style="608" customWidth="1"/>
    <col min="2555" max="2555" width="12.140625" style="608" customWidth="1"/>
    <col min="2556" max="2556" width="14.42578125" style="608" customWidth="1"/>
    <col min="2557" max="2557" width="13.5703125" style="608" customWidth="1"/>
    <col min="2558" max="2801" width="9.140625" style="608"/>
    <col min="2802" max="2802" width="5.5703125" style="608" customWidth="1"/>
    <col min="2803" max="2803" width="11.5703125" style="608" customWidth="1"/>
    <col min="2804" max="2804" width="35.7109375" style="608" customWidth="1"/>
    <col min="2805" max="2805" width="9.140625" style="608" customWidth="1"/>
    <col min="2806" max="2806" width="11.5703125" style="608" customWidth="1"/>
    <col min="2807" max="2807" width="15.7109375" style="608" customWidth="1"/>
    <col min="2808" max="2808" width="13.42578125" style="608" customWidth="1"/>
    <col min="2809" max="2809" width="19.140625" style="608" customWidth="1"/>
    <col min="2810" max="2810" width="8.140625" style="608" customWidth="1"/>
    <col min="2811" max="2811" width="12.140625" style="608" customWidth="1"/>
    <col min="2812" max="2812" width="14.42578125" style="608" customWidth="1"/>
    <col min="2813" max="2813" width="13.5703125" style="608" customWidth="1"/>
    <col min="2814" max="3057" width="9.140625" style="608"/>
    <col min="3058" max="3058" width="5.5703125" style="608" customWidth="1"/>
    <col min="3059" max="3059" width="11.5703125" style="608" customWidth="1"/>
    <col min="3060" max="3060" width="35.7109375" style="608" customWidth="1"/>
    <col min="3061" max="3061" width="9.140625" style="608" customWidth="1"/>
    <col min="3062" max="3062" width="11.5703125" style="608" customWidth="1"/>
    <col min="3063" max="3063" width="15.7109375" style="608" customWidth="1"/>
    <col min="3064" max="3064" width="13.42578125" style="608" customWidth="1"/>
    <col min="3065" max="3065" width="19.140625" style="608" customWidth="1"/>
    <col min="3066" max="3066" width="8.140625" style="608" customWidth="1"/>
    <col min="3067" max="3067" width="12.140625" style="608" customWidth="1"/>
    <col min="3068" max="3068" width="14.42578125" style="608" customWidth="1"/>
    <col min="3069" max="3069" width="13.5703125" style="608" customWidth="1"/>
    <col min="3070" max="3313" width="9.140625" style="608"/>
    <col min="3314" max="3314" width="5.5703125" style="608" customWidth="1"/>
    <col min="3315" max="3315" width="11.5703125" style="608" customWidth="1"/>
    <col min="3316" max="3316" width="35.7109375" style="608" customWidth="1"/>
    <col min="3317" max="3317" width="9.140625" style="608" customWidth="1"/>
    <col min="3318" max="3318" width="11.5703125" style="608" customWidth="1"/>
    <col min="3319" max="3319" width="15.7109375" style="608" customWidth="1"/>
    <col min="3320" max="3320" width="13.42578125" style="608" customWidth="1"/>
    <col min="3321" max="3321" width="19.140625" style="608" customWidth="1"/>
    <col min="3322" max="3322" width="8.140625" style="608" customWidth="1"/>
    <col min="3323" max="3323" width="12.140625" style="608" customWidth="1"/>
    <col min="3324" max="3324" width="14.42578125" style="608" customWidth="1"/>
    <col min="3325" max="3325" width="13.5703125" style="608" customWidth="1"/>
    <col min="3326" max="3569" width="9.140625" style="608"/>
    <col min="3570" max="3570" width="5.5703125" style="608" customWidth="1"/>
    <col min="3571" max="3571" width="11.5703125" style="608" customWidth="1"/>
    <col min="3572" max="3572" width="35.7109375" style="608" customWidth="1"/>
    <col min="3573" max="3573" width="9.140625" style="608" customWidth="1"/>
    <col min="3574" max="3574" width="11.5703125" style="608" customWidth="1"/>
    <col min="3575" max="3575" width="15.7109375" style="608" customWidth="1"/>
    <col min="3576" max="3576" width="13.42578125" style="608" customWidth="1"/>
    <col min="3577" max="3577" width="19.140625" style="608" customWidth="1"/>
    <col min="3578" max="3578" width="8.140625" style="608" customWidth="1"/>
    <col min="3579" max="3579" width="12.140625" style="608" customWidth="1"/>
    <col min="3580" max="3580" width="14.42578125" style="608" customWidth="1"/>
    <col min="3581" max="3581" width="13.5703125" style="608" customWidth="1"/>
    <col min="3582" max="3825" width="9.140625" style="608"/>
    <col min="3826" max="3826" width="5.5703125" style="608" customWidth="1"/>
    <col min="3827" max="3827" width="11.5703125" style="608" customWidth="1"/>
    <col min="3828" max="3828" width="35.7109375" style="608" customWidth="1"/>
    <col min="3829" max="3829" width="9.140625" style="608" customWidth="1"/>
    <col min="3830" max="3830" width="11.5703125" style="608" customWidth="1"/>
    <col min="3831" max="3831" width="15.7109375" style="608" customWidth="1"/>
    <col min="3832" max="3832" width="13.42578125" style="608" customWidth="1"/>
    <col min="3833" max="3833" width="19.140625" style="608" customWidth="1"/>
    <col min="3834" max="3834" width="8.140625" style="608" customWidth="1"/>
    <col min="3835" max="3835" width="12.140625" style="608" customWidth="1"/>
    <col min="3836" max="3836" width="14.42578125" style="608" customWidth="1"/>
    <col min="3837" max="3837" width="13.5703125" style="608" customWidth="1"/>
    <col min="3838" max="4081" width="9.140625" style="608"/>
    <col min="4082" max="4082" width="5.5703125" style="608" customWidth="1"/>
    <col min="4083" max="4083" width="11.5703125" style="608" customWidth="1"/>
    <col min="4084" max="4084" width="35.7109375" style="608" customWidth="1"/>
    <col min="4085" max="4085" width="9.140625" style="608" customWidth="1"/>
    <col min="4086" max="4086" width="11.5703125" style="608" customWidth="1"/>
    <col min="4087" max="4087" width="15.7109375" style="608" customWidth="1"/>
    <col min="4088" max="4088" width="13.42578125" style="608" customWidth="1"/>
    <col min="4089" max="4089" width="19.140625" style="608" customWidth="1"/>
    <col min="4090" max="4090" width="8.140625" style="608" customWidth="1"/>
    <col min="4091" max="4091" width="12.140625" style="608" customWidth="1"/>
    <col min="4092" max="4092" width="14.42578125" style="608" customWidth="1"/>
    <col min="4093" max="4093" width="13.5703125" style="608" customWidth="1"/>
    <col min="4094" max="4337" width="9.140625" style="608"/>
    <col min="4338" max="4338" width="5.5703125" style="608" customWidth="1"/>
    <col min="4339" max="4339" width="11.5703125" style="608" customWidth="1"/>
    <col min="4340" max="4340" width="35.7109375" style="608" customWidth="1"/>
    <col min="4341" max="4341" width="9.140625" style="608" customWidth="1"/>
    <col min="4342" max="4342" width="11.5703125" style="608" customWidth="1"/>
    <col min="4343" max="4343" width="15.7109375" style="608" customWidth="1"/>
    <col min="4344" max="4344" width="13.42578125" style="608" customWidth="1"/>
    <col min="4345" max="4345" width="19.140625" style="608" customWidth="1"/>
    <col min="4346" max="4346" width="8.140625" style="608" customWidth="1"/>
    <col min="4347" max="4347" width="12.140625" style="608" customWidth="1"/>
    <col min="4348" max="4348" width="14.42578125" style="608" customWidth="1"/>
    <col min="4349" max="4349" width="13.5703125" style="608" customWidth="1"/>
    <col min="4350" max="4593" width="9.140625" style="608"/>
    <col min="4594" max="4594" width="5.5703125" style="608" customWidth="1"/>
    <col min="4595" max="4595" width="11.5703125" style="608" customWidth="1"/>
    <col min="4596" max="4596" width="35.7109375" style="608" customWidth="1"/>
    <col min="4597" max="4597" width="9.140625" style="608" customWidth="1"/>
    <col min="4598" max="4598" width="11.5703125" style="608" customWidth="1"/>
    <col min="4599" max="4599" width="15.7109375" style="608" customWidth="1"/>
    <col min="4600" max="4600" width="13.42578125" style="608" customWidth="1"/>
    <col min="4601" max="4601" width="19.140625" style="608" customWidth="1"/>
    <col min="4602" max="4602" width="8.140625" style="608" customWidth="1"/>
    <col min="4603" max="4603" width="12.140625" style="608" customWidth="1"/>
    <col min="4604" max="4604" width="14.42578125" style="608" customWidth="1"/>
    <col min="4605" max="4605" width="13.5703125" style="608" customWidth="1"/>
    <col min="4606" max="4849" width="9.140625" style="608"/>
    <col min="4850" max="4850" width="5.5703125" style="608" customWidth="1"/>
    <col min="4851" max="4851" width="11.5703125" style="608" customWidth="1"/>
    <col min="4852" max="4852" width="35.7109375" style="608" customWidth="1"/>
    <col min="4853" max="4853" width="9.140625" style="608" customWidth="1"/>
    <col min="4854" max="4854" width="11.5703125" style="608" customWidth="1"/>
    <col min="4855" max="4855" width="15.7109375" style="608" customWidth="1"/>
    <col min="4856" max="4856" width="13.42578125" style="608" customWidth="1"/>
    <col min="4857" max="4857" width="19.140625" style="608" customWidth="1"/>
    <col min="4858" max="4858" width="8.140625" style="608" customWidth="1"/>
    <col min="4859" max="4859" width="12.140625" style="608" customWidth="1"/>
    <col min="4860" max="4860" width="14.42578125" style="608" customWidth="1"/>
    <col min="4861" max="4861" width="13.5703125" style="608" customWidth="1"/>
    <col min="4862" max="5105" width="9.140625" style="608"/>
    <col min="5106" max="5106" width="5.5703125" style="608" customWidth="1"/>
    <col min="5107" max="5107" width="11.5703125" style="608" customWidth="1"/>
    <col min="5108" max="5108" width="35.7109375" style="608" customWidth="1"/>
    <col min="5109" max="5109" width="9.140625" style="608" customWidth="1"/>
    <col min="5110" max="5110" width="11.5703125" style="608" customWidth="1"/>
    <col min="5111" max="5111" width="15.7109375" style="608" customWidth="1"/>
    <col min="5112" max="5112" width="13.42578125" style="608" customWidth="1"/>
    <col min="5113" max="5113" width="19.140625" style="608" customWidth="1"/>
    <col min="5114" max="5114" width="8.140625" style="608" customWidth="1"/>
    <col min="5115" max="5115" width="12.140625" style="608" customWidth="1"/>
    <col min="5116" max="5116" width="14.42578125" style="608" customWidth="1"/>
    <col min="5117" max="5117" width="13.5703125" style="608" customWidth="1"/>
    <col min="5118" max="5361" width="9.140625" style="608"/>
    <col min="5362" max="5362" width="5.5703125" style="608" customWidth="1"/>
    <col min="5363" max="5363" width="11.5703125" style="608" customWidth="1"/>
    <col min="5364" max="5364" width="35.7109375" style="608" customWidth="1"/>
    <col min="5365" max="5365" width="9.140625" style="608" customWidth="1"/>
    <col min="5366" max="5366" width="11.5703125" style="608" customWidth="1"/>
    <col min="5367" max="5367" width="15.7109375" style="608" customWidth="1"/>
    <col min="5368" max="5368" width="13.42578125" style="608" customWidth="1"/>
    <col min="5369" max="5369" width="19.140625" style="608" customWidth="1"/>
    <col min="5370" max="5370" width="8.140625" style="608" customWidth="1"/>
    <col min="5371" max="5371" width="12.140625" style="608" customWidth="1"/>
    <col min="5372" max="5372" width="14.42578125" style="608" customWidth="1"/>
    <col min="5373" max="5373" width="13.5703125" style="608" customWidth="1"/>
    <col min="5374" max="5617" width="9.140625" style="608"/>
    <col min="5618" max="5618" width="5.5703125" style="608" customWidth="1"/>
    <col min="5619" max="5619" width="11.5703125" style="608" customWidth="1"/>
    <col min="5620" max="5620" width="35.7109375" style="608" customWidth="1"/>
    <col min="5621" max="5621" width="9.140625" style="608" customWidth="1"/>
    <col min="5622" max="5622" width="11.5703125" style="608" customWidth="1"/>
    <col min="5623" max="5623" width="15.7109375" style="608" customWidth="1"/>
    <col min="5624" max="5624" width="13.42578125" style="608" customWidth="1"/>
    <col min="5625" max="5625" width="19.140625" style="608" customWidth="1"/>
    <col min="5626" max="5626" width="8.140625" style="608" customWidth="1"/>
    <col min="5627" max="5627" width="12.140625" style="608" customWidth="1"/>
    <col min="5628" max="5628" width="14.42578125" style="608" customWidth="1"/>
    <col min="5629" max="5629" width="13.5703125" style="608" customWidth="1"/>
    <col min="5630" max="5873" width="9.140625" style="608"/>
    <col min="5874" max="5874" width="5.5703125" style="608" customWidth="1"/>
    <col min="5875" max="5875" width="11.5703125" style="608" customWidth="1"/>
    <col min="5876" max="5876" width="35.7109375" style="608" customWidth="1"/>
    <col min="5877" max="5877" width="9.140625" style="608" customWidth="1"/>
    <col min="5878" max="5878" width="11.5703125" style="608" customWidth="1"/>
    <col min="5879" max="5879" width="15.7109375" style="608" customWidth="1"/>
    <col min="5880" max="5880" width="13.42578125" style="608" customWidth="1"/>
    <col min="5881" max="5881" width="19.140625" style="608" customWidth="1"/>
    <col min="5882" max="5882" width="8.140625" style="608" customWidth="1"/>
    <col min="5883" max="5883" width="12.140625" style="608" customWidth="1"/>
    <col min="5884" max="5884" width="14.42578125" style="608" customWidth="1"/>
    <col min="5885" max="5885" width="13.5703125" style="608" customWidth="1"/>
    <col min="5886" max="6129" width="9.140625" style="608"/>
    <col min="6130" max="6130" width="5.5703125" style="608" customWidth="1"/>
    <col min="6131" max="6131" width="11.5703125" style="608" customWidth="1"/>
    <col min="6132" max="6132" width="35.7109375" style="608" customWidth="1"/>
    <col min="6133" max="6133" width="9.140625" style="608" customWidth="1"/>
    <col min="6134" max="6134" width="11.5703125" style="608" customWidth="1"/>
    <col min="6135" max="6135" width="15.7109375" style="608" customWidth="1"/>
    <col min="6136" max="6136" width="13.42578125" style="608" customWidth="1"/>
    <col min="6137" max="6137" width="19.140625" style="608" customWidth="1"/>
    <col min="6138" max="6138" width="8.140625" style="608" customWidth="1"/>
    <col min="6139" max="6139" width="12.140625" style="608" customWidth="1"/>
    <col min="6140" max="6140" width="14.42578125" style="608" customWidth="1"/>
    <col min="6141" max="6141" width="13.5703125" style="608" customWidth="1"/>
    <col min="6142" max="6385" width="9.140625" style="608"/>
    <col min="6386" max="6386" width="5.5703125" style="608" customWidth="1"/>
    <col min="6387" max="6387" width="11.5703125" style="608" customWidth="1"/>
    <col min="6388" max="6388" width="35.7109375" style="608" customWidth="1"/>
    <col min="6389" max="6389" width="9.140625" style="608" customWidth="1"/>
    <col min="6390" max="6390" width="11.5703125" style="608" customWidth="1"/>
    <col min="6391" max="6391" width="15.7109375" style="608" customWidth="1"/>
    <col min="6392" max="6392" width="13.42578125" style="608" customWidth="1"/>
    <col min="6393" max="6393" width="19.140625" style="608" customWidth="1"/>
    <col min="6394" max="6394" width="8.140625" style="608" customWidth="1"/>
    <col min="6395" max="6395" width="12.140625" style="608" customWidth="1"/>
    <col min="6396" max="6396" width="14.42578125" style="608" customWidth="1"/>
    <col min="6397" max="6397" width="13.5703125" style="608" customWidth="1"/>
    <col min="6398" max="6641" width="9.140625" style="608"/>
    <col min="6642" max="6642" width="5.5703125" style="608" customWidth="1"/>
    <col min="6643" max="6643" width="11.5703125" style="608" customWidth="1"/>
    <col min="6644" max="6644" width="35.7109375" style="608" customWidth="1"/>
    <col min="6645" max="6645" width="9.140625" style="608" customWidth="1"/>
    <col min="6646" max="6646" width="11.5703125" style="608" customWidth="1"/>
    <col min="6647" max="6647" width="15.7109375" style="608" customWidth="1"/>
    <col min="6648" max="6648" width="13.42578125" style="608" customWidth="1"/>
    <col min="6649" max="6649" width="19.140625" style="608" customWidth="1"/>
    <col min="6650" max="6650" width="8.140625" style="608" customWidth="1"/>
    <col min="6651" max="6651" width="12.140625" style="608" customWidth="1"/>
    <col min="6652" max="6652" width="14.42578125" style="608" customWidth="1"/>
    <col min="6653" max="6653" width="13.5703125" style="608" customWidth="1"/>
    <col min="6654" max="6897" width="9.140625" style="608"/>
    <col min="6898" max="6898" width="5.5703125" style="608" customWidth="1"/>
    <col min="6899" max="6899" width="11.5703125" style="608" customWidth="1"/>
    <col min="6900" max="6900" width="35.7109375" style="608" customWidth="1"/>
    <col min="6901" max="6901" width="9.140625" style="608" customWidth="1"/>
    <col min="6902" max="6902" width="11.5703125" style="608" customWidth="1"/>
    <col min="6903" max="6903" width="15.7109375" style="608" customWidth="1"/>
    <col min="6904" max="6904" width="13.42578125" style="608" customWidth="1"/>
    <col min="6905" max="6905" width="19.140625" style="608" customWidth="1"/>
    <col min="6906" max="6906" width="8.140625" style="608" customWidth="1"/>
    <col min="6907" max="6907" width="12.140625" style="608" customWidth="1"/>
    <col min="6908" max="6908" width="14.42578125" style="608" customWidth="1"/>
    <col min="6909" max="6909" width="13.5703125" style="608" customWidth="1"/>
    <col min="6910" max="7153" width="9.140625" style="608"/>
    <col min="7154" max="7154" width="5.5703125" style="608" customWidth="1"/>
    <col min="7155" max="7155" width="11.5703125" style="608" customWidth="1"/>
    <col min="7156" max="7156" width="35.7109375" style="608" customWidth="1"/>
    <col min="7157" max="7157" width="9.140625" style="608" customWidth="1"/>
    <col min="7158" max="7158" width="11.5703125" style="608" customWidth="1"/>
    <col min="7159" max="7159" width="15.7109375" style="608" customWidth="1"/>
    <col min="7160" max="7160" width="13.42578125" style="608" customWidth="1"/>
    <col min="7161" max="7161" width="19.140625" style="608" customWidth="1"/>
    <col min="7162" max="7162" width="8.140625" style="608" customWidth="1"/>
    <col min="7163" max="7163" width="12.140625" style="608" customWidth="1"/>
    <col min="7164" max="7164" width="14.42578125" style="608" customWidth="1"/>
    <col min="7165" max="7165" width="13.5703125" style="608" customWidth="1"/>
    <col min="7166" max="7409" width="9.140625" style="608"/>
    <col min="7410" max="7410" width="5.5703125" style="608" customWidth="1"/>
    <col min="7411" max="7411" width="11.5703125" style="608" customWidth="1"/>
    <col min="7412" max="7412" width="35.7109375" style="608" customWidth="1"/>
    <col min="7413" max="7413" width="9.140625" style="608" customWidth="1"/>
    <col min="7414" max="7414" width="11.5703125" style="608" customWidth="1"/>
    <col min="7415" max="7415" width="15.7109375" style="608" customWidth="1"/>
    <col min="7416" max="7416" width="13.42578125" style="608" customWidth="1"/>
    <col min="7417" max="7417" width="19.140625" style="608" customWidth="1"/>
    <col min="7418" max="7418" width="8.140625" style="608" customWidth="1"/>
    <col min="7419" max="7419" width="12.140625" style="608" customWidth="1"/>
    <col min="7420" max="7420" width="14.42578125" style="608" customWidth="1"/>
    <col min="7421" max="7421" width="13.5703125" style="608" customWidth="1"/>
    <col min="7422" max="7665" width="9.140625" style="608"/>
    <col min="7666" max="7666" width="5.5703125" style="608" customWidth="1"/>
    <col min="7667" max="7667" width="11.5703125" style="608" customWidth="1"/>
    <col min="7668" max="7668" width="35.7109375" style="608" customWidth="1"/>
    <col min="7669" max="7669" width="9.140625" style="608" customWidth="1"/>
    <col min="7670" max="7670" width="11.5703125" style="608" customWidth="1"/>
    <col min="7671" max="7671" width="15.7109375" style="608" customWidth="1"/>
    <col min="7672" max="7672" width="13.42578125" style="608" customWidth="1"/>
    <col min="7673" max="7673" width="19.140625" style="608" customWidth="1"/>
    <col min="7674" max="7674" width="8.140625" style="608" customWidth="1"/>
    <col min="7675" max="7675" width="12.140625" style="608" customWidth="1"/>
    <col min="7676" max="7676" width="14.42578125" style="608" customWidth="1"/>
    <col min="7677" max="7677" width="13.5703125" style="608" customWidth="1"/>
    <col min="7678" max="7921" width="9.140625" style="608"/>
    <col min="7922" max="7922" width="5.5703125" style="608" customWidth="1"/>
    <col min="7923" max="7923" width="11.5703125" style="608" customWidth="1"/>
    <col min="7924" max="7924" width="35.7109375" style="608" customWidth="1"/>
    <col min="7925" max="7925" width="9.140625" style="608" customWidth="1"/>
    <col min="7926" max="7926" width="11.5703125" style="608" customWidth="1"/>
    <col min="7927" max="7927" width="15.7109375" style="608" customWidth="1"/>
    <col min="7928" max="7928" width="13.42578125" style="608" customWidth="1"/>
    <col min="7929" max="7929" width="19.140625" style="608" customWidth="1"/>
    <col min="7930" max="7930" width="8.140625" style="608" customWidth="1"/>
    <col min="7931" max="7931" width="12.140625" style="608" customWidth="1"/>
    <col min="7932" max="7932" width="14.42578125" style="608" customWidth="1"/>
    <col min="7933" max="7933" width="13.5703125" style="608" customWidth="1"/>
    <col min="7934" max="8177" width="9.140625" style="608"/>
    <col min="8178" max="8178" width="5.5703125" style="608" customWidth="1"/>
    <col min="8179" max="8179" width="11.5703125" style="608" customWidth="1"/>
    <col min="8180" max="8180" width="35.7109375" style="608" customWidth="1"/>
    <col min="8181" max="8181" width="9.140625" style="608" customWidth="1"/>
    <col min="8182" max="8182" width="11.5703125" style="608" customWidth="1"/>
    <col min="8183" max="8183" width="15.7109375" style="608" customWidth="1"/>
    <col min="8184" max="8184" width="13.42578125" style="608" customWidth="1"/>
    <col min="8185" max="8185" width="19.140625" style="608" customWidth="1"/>
    <col min="8186" max="8186" width="8.140625" style="608" customWidth="1"/>
    <col min="8187" max="8187" width="12.140625" style="608" customWidth="1"/>
    <col min="8188" max="8188" width="14.42578125" style="608" customWidth="1"/>
    <col min="8189" max="8189" width="13.5703125" style="608" customWidth="1"/>
    <col min="8190" max="8433" width="9.140625" style="608"/>
    <col min="8434" max="8434" width="5.5703125" style="608" customWidth="1"/>
    <col min="8435" max="8435" width="11.5703125" style="608" customWidth="1"/>
    <col min="8436" max="8436" width="35.7109375" style="608" customWidth="1"/>
    <col min="8437" max="8437" width="9.140625" style="608" customWidth="1"/>
    <col min="8438" max="8438" width="11.5703125" style="608" customWidth="1"/>
    <col min="8439" max="8439" width="15.7109375" style="608" customWidth="1"/>
    <col min="8440" max="8440" width="13.42578125" style="608" customWidth="1"/>
    <col min="8441" max="8441" width="19.140625" style="608" customWidth="1"/>
    <col min="8442" max="8442" width="8.140625" style="608" customWidth="1"/>
    <col min="8443" max="8443" width="12.140625" style="608" customWidth="1"/>
    <col min="8444" max="8444" width="14.42578125" style="608" customWidth="1"/>
    <col min="8445" max="8445" width="13.5703125" style="608" customWidth="1"/>
    <col min="8446" max="8689" width="9.140625" style="608"/>
    <col min="8690" max="8690" width="5.5703125" style="608" customWidth="1"/>
    <col min="8691" max="8691" width="11.5703125" style="608" customWidth="1"/>
    <col min="8692" max="8692" width="35.7109375" style="608" customWidth="1"/>
    <col min="8693" max="8693" width="9.140625" style="608" customWidth="1"/>
    <col min="8694" max="8694" width="11.5703125" style="608" customWidth="1"/>
    <col min="8695" max="8695" width="15.7109375" style="608" customWidth="1"/>
    <col min="8696" max="8696" width="13.42578125" style="608" customWidth="1"/>
    <col min="8697" max="8697" width="19.140625" style="608" customWidth="1"/>
    <col min="8698" max="8698" width="8.140625" style="608" customWidth="1"/>
    <col min="8699" max="8699" width="12.140625" style="608" customWidth="1"/>
    <col min="8700" max="8700" width="14.42578125" style="608" customWidth="1"/>
    <col min="8701" max="8701" width="13.5703125" style="608" customWidth="1"/>
    <col min="8702" max="8945" width="9.140625" style="608"/>
    <col min="8946" max="8946" width="5.5703125" style="608" customWidth="1"/>
    <col min="8947" max="8947" width="11.5703125" style="608" customWidth="1"/>
    <col min="8948" max="8948" width="35.7109375" style="608" customWidth="1"/>
    <col min="8949" max="8949" width="9.140625" style="608" customWidth="1"/>
    <col min="8950" max="8950" width="11.5703125" style="608" customWidth="1"/>
    <col min="8951" max="8951" width="15.7109375" style="608" customWidth="1"/>
    <col min="8952" max="8952" width="13.42578125" style="608" customWidth="1"/>
    <col min="8953" max="8953" width="19.140625" style="608" customWidth="1"/>
    <col min="8954" max="8954" width="8.140625" style="608" customWidth="1"/>
    <col min="8955" max="8955" width="12.140625" style="608" customWidth="1"/>
    <col min="8956" max="8956" width="14.42578125" style="608" customWidth="1"/>
    <col min="8957" max="8957" width="13.5703125" style="608" customWidth="1"/>
    <col min="8958" max="9201" width="9.140625" style="608"/>
    <col min="9202" max="9202" width="5.5703125" style="608" customWidth="1"/>
    <col min="9203" max="9203" width="11.5703125" style="608" customWidth="1"/>
    <col min="9204" max="9204" width="35.7109375" style="608" customWidth="1"/>
    <col min="9205" max="9205" width="9.140625" style="608" customWidth="1"/>
    <col min="9206" max="9206" width="11.5703125" style="608" customWidth="1"/>
    <col min="9207" max="9207" width="15.7109375" style="608" customWidth="1"/>
    <col min="9208" max="9208" width="13.42578125" style="608" customWidth="1"/>
    <col min="9209" max="9209" width="19.140625" style="608" customWidth="1"/>
    <col min="9210" max="9210" width="8.140625" style="608" customWidth="1"/>
    <col min="9211" max="9211" width="12.140625" style="608" customWidth="1"/>
    <col min="9212" max="9212" width="14.42578125" style="608" customWidth="1"/>
    <col min="9213" max="9213" width="13.5703125" style="608" customWidth="1"/>
    <col min="9214" max="9457" width="9.140625" style="608"/>
    <col min="9458" max="9458" width="5.5703125" style="608" customWidth="1"/>
    <col min="9459" max="9459" width="11.5703125" style="608" customWidth="1"/>
    <col min="9460" max="9460" width="35.7109375" style="608" customWidth="1"/>
    <col min="9461" max="9461" width="9.140625" style="608" customWidth="1"/>
    <col min="9462" max="9462" width="11.5703125" style="608" customWidth="1"/>
    <col min="9463" max="9463" width="15.7109375" style="608" customWidth="1"/>
    <col min="9464" max="9464" width="13.42578125" style="608" customWidth="1"/>
    <col min="9465" max="9465" width="19.140625" style="608" customWidth="1"/>
    <col min="9466" max="9466" width="8.140625" style="608" customWidth="1"/>
    <col min="9467" max="9467" width="12.140625" style="608" customWidth="1"/>
    <col min="9468" max="9468" width="14.42578125" style="608" customWidth="1"/>
    <col min="9469" max="9469" width="13.5703125" style="608" customWidth="1"/>
    <col min="9470" max="9713" width="9.140625" style="608"/>
    <col min="9714" max="9714" width="5.5703125" style="608" customWidth="1"/>
    <col min="9715" max="9715" width="11.5703125" style="608" customWidth="1"/>
    <col min="9716" max="9716" width="35.7109375" style="608" customWidth="1"/>
    <col min="9717" max="9717" width="9.140625" style="608" customWidth="1"/>
    <col min="9718" max="9718" width="11.5703125" style="608" customWidth="1"/>
    <col min="9719" max="9719" width="15.7109375" style="608" customWidth="1"/>
    <col min="9720" max="9720" width="13.42578125" style="608" customWidth="1"/>
    <col min="9721" max="9721" width="19.140625" style="608" customWidth="1"/>
    <col min="9722" max="9722" width="8.140625" style="608" customWidth="1"/>
    <col min="9723" max="9723" width="12.140625" style="608" customWidth="1"/>
    <col min="9724" max="9724" width="14.42578125" style="608" customWidth="1"/>
    <col min="9725" max="9725" width="13.5703125" style="608" customWidth="1"/>
    <col min="9726" max="9969" width="9.140625" style="608"/>
    <col min="9970" max="9970" width="5.5703125" style="608" customWidth="1"/>
    <col min="9971" max="9971" width="11.5703125" style="608" customWidth="1"/>
    <col min="9972" max="9972" width="35.7109375" style="608" customWidth="1"/>
    <col min="9973" max="9973" width="9.140625" style="608" customWidth="1"/>
    <col min="9974" max="9974" width="11.5703125" style="608" customWidth="1"/>
    <col min="9975" max="9975" width="15.7109375" style="608" customWidth="1"/>
    <col min="9976" max="9976" width="13.42578125" style="608" customWidth="1"/>
    <col min="9977" max="9977" width="19.140625" style="608" customWidth="1"/>
    <col min="9978" max="9978" width="8.140625" style="608" customWidth="1"/>
    <col min="9979" max="9979" width="12.140625" style="608" customWidth="1"/>
    <col min="9980" max="9980" width="14.42578125" style="608" customWidth="1"/>
    <col min="9981" max="9981" width="13.5703125" style="608" customWidth="1"/>
    <col min="9982" max="10225" width="9.140625" style="608"/>
    <col min="10226" max="10226" width="5.5703125" style="608" customWidth="1"/>
    <col min="10227" max="10227" width="11.5703125" style="608" customWidth="1"/>
    <col min="10228" max="10228" width="35.7109375" style="608" customWidth="1"/>
    <col min="10229" max="10229" width="9.140625" style="608" customWidth="1"/>
    <col min="10230" max="10230" width="11.5703125" style="608" customWidth="1"/>
    <col min="10231" max="10231" width="15.7109375" style="608" customWidth="1"/>
    <col min="10232" max="10232" width="13.42578125" style="608" customWidth="1"/>
    <col min="10233" max="10233" width="19.140625" style="608" customWidth="1"/>
    <col min="10234" max="10234" width="8.140625" style="608" customWidth="1"/>
    <col min="10235" max="10235" width="12.140625" style="608" customWidth="1"/>
    <col min="10236" max="10236" width="14.42578125" style="608" customWidth="1"/>
    <col min="10237" max="10237" width="13.5703125" style="608" customWidth="1"/>
    <col min="10238" max="10481" width="9.140625" style="608"/>
    <col min="10482" max="10482" width="5.5703125" style="608" customWidth="1"/>
    <col min="10483" max="10483" width="11.5703125" style="608" customWidth="1"/>
    <col min="10484" max="10484" width="35.7109375" style="608" customWidth="1"/>
    <col min="10485" max="10485" width="9.140625" style="608" customWidth="1"/>
    <col min="10486" max="10486" width="11.5703125" style="608" customWidth="1"/>
    <col min="10487" max="10487" width="15.7109375" style="608" customWidth="1"/>
    <col min="10488" max="10488" width="13.42578125" style="608" customWidth="1"/>
    <col min="10489" max="10489" width="19.140625" style="608" customWidth="1"/>
    <col min="10490" max="10490" width="8.140625" style="608" customWidth="1"/>
    <col min="10491" max="10491" width="12.140625" style="608" customWidth="1"/>
    <col min="10492" max="10492" width="14.42578125" style="608" customWidth="1"/>
    <col min="10493" max="10493" width="13.5703125" style="608" customWidth="1"/>
    <col min="10494" max="10737" width="9.140625" style="608"/>
    <col min="10738" max="10738" width="5.5703125" style="608" customWidth="1"/>
    <col min="10739" max="10739" width="11.5703125" style="608" customWidth="1"/>
    <col min="10740" max="10740" width="35.7109375" style="608" customWidth="1"/>
    <col min="10741" max="10741" width="9.140625" style="608" customWidth="1"/>
    <col min="10742" max="10742" width="11.5703125" style="608" customWidth="1"/>
    <col min="10743" max="10743" width="15.7109375" style="608" customWidth="1"/>
    <col min="10744" max="10744" width="13.42578125" style="608" customWidth="1"/>
    <col min="10745" max="10745" width="19.140625" style="608" customWidth="1"/>
    <col min="10746" max="10746" width="8.140625" style="608" customWidth="1"/>
    <col min="10747" max="10747" width="12.140625" style="608" customWidth="1"/>
    <col min="10748" max="10748" width="14.42578125" style="608" customWidth="1"/>
    <col min="10749" max="10749" width="13.5703125" style="608" customWidth="1"/>
    <col min="10750" max="10993" width="9.140625" style="608"/>
    <col min="10994" max="10994" width="5.5703125" style="608" customWidth="1"/>
    <col min="10995" max="10995" width="11.5703125" style="608" customWidth="1"/>
    <col min="10996" max="10996" width="35.7109375" style="608" customWidth="1"/>
    <col min="10997" max="10997" width="9.140625" style="608" customWidth="1"/>
    <col min="10998" max="10998" width="11.5703125" style="608" customWidth="1"/>
    <col min="10999" max="10999" width="15.7109375" style="608" customWidth="1"/>
    <col min="11000" max="11000" width="13.42578125" style="608" customWidth="1"/>
    <col min="11001" max="11001" width="19.140625" style="608" customWidth="1"/>
    <col min="11002" max="11002" width="8.140625" style="608" customWidth="1"/>
    <col min="11003" max="11003" width="12.140625" style="608" customWidth="1"/>
    <col min="11004" max="11004" width="14.42578125" style="608" customWidth="1"/>
    <col min="11005" max="11005" width="13.5703125" style="608" customWidth="1"/>
    <col min="11006" max="11249" width="9.140625" style="608"/>
    <col min="11250" max="11250" width="5.5703125" style="608" customWidth="1"/>
    <col min="11251" max="11251" width="11.5703125" style="608" customWidth="1"/>
    <col min="11252" max="11252" width="35.7109375" style="608" customWidth="1"/>
    <col min="11253" max="11253" width="9.140625" style="608" customWidth="1"/>
    <col min="11254" max="11254" width="11.5703125" style="608" customWidth="1"/>
    <col min="11255" max="11255" width="15.7109375" style="608" customWidth="1"/>
    <col min="11256" max="11256" width="13.42578125" style="608" customWidth="1"/>
    <col min="11257" max="11257" width="19.140625" style="608" customWidth="1"/>
    <col min="11258" max="11258" width="8.140625" style="608" customWidth="1"/>
    <col min="11259" max="11259" width="12.140625" style="608" customWidth="1"/>
    <col min="11260" max="11260" width="14.42578125" style="608" customWidth="1"/>
    <col min="11261" max="11261" width="13.5703125" style="608" customWidth="1"/>
    <col min="11262" max="11505" width="9.140625" style="608"/>
    <col min="11506" max="11506" width="5.5703125" style="608" customWidth="1"/>
    <col min="11507" max="11507" width="11.5703125" style="608" customWidth="1"/>
    <col min="11508" max="11508" width="35.7109375" style="608" customWidth="1"/>
    <col min="11509" max="11509" width="9.140625" style="608" customWidth="1"/>
    <col min="11510" max="11510" width="11.5703125" style="608" customWidth="1"/>
    <col min="11511" max="11511" width="15.7109375" style="608" customWidth="1"/>
    <col min="11512" max="11512" width="13.42578125" style="608" customWidth="1"/>
    <col min="11513" max="11513" width="19.140625" style="608" customWidth="1"/>
    <col min="11514" max="11514" width="8.140625" style="608" customWidth="1"/>
    <col min="11515" max="11515" width="12.140625" style="608" customWidth="1"/>
    <col min="11516" max="11516" width="14.42578125" style="608" customWidth="1"/>
    <col min="11517" max="11517" width="13.5703125" style="608" customWidth="1"/>
    <col min="11518" max="11761" width="9.140625" style="608"/>
    <col min="11762" max="11762" width="5.5703125" style="608" customWidth="1"/>
    <col min="11763" max="11763" width="11.5703125" style="608" customWidth="1"/>
    <col min="11764" max="11764" width="35.7109375" style="608" customWidth="1"/>
    <col min="11765" max="11765" width="9.140625" style="608" customWidth="1"/>
    <col min="11766" max="11766" width="11.5703125" style="608" customWidth="1"/>
    <col min="11767" max="11767" width="15.7109375" style="608" customWidth="1"/>
    <col min="11768" max="11768" width="13.42578125" style="608" customWidth="1"/>
    <col min="11769" max="11769" width="19.140625" style="608" customWidth="1"/>
    <col min="11770" max="11770" width="8.140625" style="608" customWidth="1"/>
    <col min="11771" max="11771" width="12.140625" style="608" customWidth="1"/>
    <col min="11772" max="11772" width="14.42578125" style="608" customWidth="1"/>
    <col min="11773" max="11773" width="13.5703125" style="608" customWidth="1"/>
    <col min="11774" max="12017" width="9.140625" style="608"/>
    <col min="12018" max="12018" width="5.5703125" style="608" customWidth="1"/>
    <col min="12019" max="12019" width="11.5703125" style="608" customWidth="1"/>
    <col min="12020" max="12020" width="35.7109375" style="608" customWidth="1"/>
    <col min="12021" max="12021" width="9.140625" style="608" customWidth="1"/>
    <col min="12022" max="12022" width="11.5703125" style="608" customWidth="1"/>
    <col min="12023" max="12023" width="15.7109375" style="608" customWidth="1"/>
    <col min="12024" max="12024" width="13.42578125" style="608" customWidth="1"/>
    <col min="12025" max="12025" width="19.140625" style="608" customWidth="1"/>
    <col min="12026" max="12026" width="8.140625" style="608" customWidth="1"/>
    <col min="12027" max="12027" width="12.140625" style="608" customWidth="1"/>
    <col min="12028" max="12028" width="14.42578125" style="608" customWidth="1"/>
    <col min="12029" max="12029" width="13.5703125" style="608" customWidth="1"/>
    <col min="12030" max="12273" width="9.140625" style="608"/>
    <col min="12274" max="12274" width="5.5703125" style="608" customWidth="1"/>
    <col min="12275" max="12275" width="11.5703125" style="608" customWidth="1"/>
    <col min="12276" max="12276" width="35.7109375" style="608" customWidth="1"/>
    <col min="12277" max="12277" width="9.140625" style="608" customWidth="1"/>
    <col min="12278" max="12278" width="11.5703125" style="608" customWidth="1"/>
    <col min="12279" max="12279" width="15.7109375" style="608" customWidth="1"/>
    <col min="12280" max="12280" width="13.42578125" style="608" customWidth="1"/>
    <col min="12281" max="12281" width="19.140625" style="608" customWidth="1"/>
    <col min="12282" max="12282" width="8.140625" style="608" customWidth="1"/>
    <col min="12283" max="12283" width="12.140625" style="608" customWidth="1"/>
    <col min="12284" max="12284" width="14.42578125" style="608" customWidth="1"/>
    <col min="12285" max="12285" width="13.5703125" style="608" customWidth="1"/>
    <col min="12286" max="12529" width="9.140625" style="608"/>
    <col min="12530" max="12530" width="5.5703125" style="608" customWidth="1"/>
    <col min="12531" max="12531" width="11.5703125" style="608" customWidth="1"/>
    <col min="12532" max="12532" width="35.7109375" style="608" customWidth="1"/>
    <col min="12533" max="12533" width="9.140625" style="608" customWidth="1"/>
    <col min="12534" max="12534" width="11.5703125" style="608" customWidth="1"/>
    <col min="12535" max="12535" width="15.7109375" style="608" customWidth="1"/>
    <col min="12536" max="12536" width="13.42578125" style="608" customWidth="1"/>
    <col min="12537" max="12537" width="19.140625" style="608" customWidth="1"/>
    <col min="12538" max="12538" width="8.140625" style="608" customWidth="1"/>
    <col min="12539" max="12539" width="12.140625" style="608" customWidth="1"/>
    <col min="12540" max="12540" width="14.42578125" style="608" customWidth="1"/>
    <col min="12541" max="12541" width="13.5703125" style="608" customWidth="1"/>
    <col min="12542" max="12785" width="9.140625" style="608"/>
    <col min="12786" max="12786" width="5.5703125" style="608" customWidth="1"/>
    <col min="12787" max="12787" width="11.5703125" style="608" customWidth="1"/>
    <col min="12788" max="12788" width="35.7109375" style="608" customWidth="1"/>
    <col min="12789" max="12789" width="9.140625" style="608" customWidth="1"/>
    <col min="12790" max="12790" width="11.5703125" style="608" customWidth="1"/>
    <col min="12791" max="12791" width="15.7109375" style="608" customWidth="1"/>
    <col min="12792" max="12792" width="13.42578125" style="608" customWidth="1"/>
    <col min="12793" max="12793" width="19.140625" style="608" customWidth="1"/>
    <col min="12794" max="12794" width="8.140625" style="608" customWidth="1"/>
    <col min="12795" max="12795" width="12.140625" style="608" customWidth="1"/>
    <col min="12796" max="12796" width="14.42578125" style="608" customWidth="1"/>
    <col min="12797" max="12797" width="13.5703125" style="608" customWidth="1"/>
    <col min="12798" max="13041" width="9.140625" style="608"/>
    <col min="13042" max="13042" width="5.5703125" style="608" customWidth="1"/>
    <col min="13043" max="13043" width="11.5703125" style="608" customWidth="1"/>
    <col min="13044" max="13044" width="35.7109375" style="608" customWidth="1"/>
    <col min="13045" max="13045" width="9.140625" style="608" customWidth="1"/>
    <col min="13046" max="13046" width="11.5703125" style="608" customWidth="1"/>
    <col min="13047" max="13047" width="15.7109375" style="608" customWidth="1"/>
    <col min="13048" max="13048" width="13.42578125" style="608" customWidth="1"/>
    <col min="13049" max="13049" width="19.140625" style="608" customWidth="1"/>
    <col min="13050" max="13050" width="8.140625" style="608" customWidth="1"/>
    <col min="13051" max="13051" width="12.140625" style="608" customWidth="1"/>
    <col min="13052" max="13052" width="14.42578125" style="608" customWidth="1"/>
    <col min="13053" max="13053" width="13.5703125" style="608" customWidth="1"/>
    <col min="13054" max="13297" width="9.140625" style="608"/>
    <col min="13298" max="13298" width="5.5703125" style="608" customWidth="1"/>
    <col min="13299" max="13299" width="11.5703125" style="608" customWidth="1"/>
    <col min="13300" max="13300" width="35.7109375" style="608" customWidth="1"/>
    <col min="13301" max="13301" width="9.140625" style="608" customWidth="1"/>
    <col min="13302" max="13302" width="11.5703125" style="608" customWidth="1"/>
    <col min="13303" max="13303" width="15.7109375" style="608" customWidth="1"/>
    <col min="13304" max="13304" width="13.42578125" style="608" customWidth="1"/>
    <col min="13305" max="13305" width="19.140625" style="608" customWidth="1"/>
    <col min="13306" max="13306" width="8.140625" style="608" customWidth="1"/>
    <col min="13307" max="13307" width="12.140625" style="608" customWidth="1"/>
    <col min="13308" max="13308" width="14.42578125" style="608" customWidth="1"/>
    <col min="13309" max="13309" width="13.5703125" style="608" customWidth="1"/>
    <col min="13310" max="13553" width="9.140625" style="608"/>
    <col min="13554" max="13554" width="5.5703125" style="608" customWidth="1"/>
    <col min="13555" max="13555" width="11.5703125" style="608" customWidth="1"/>
    <col min="13556" max="13556" width="35.7109375" style="608" customWidth="1"/>
    <col min="13557" max="13557" width="9.140625" style="608" customWidth="1"/>
    <col min="13558" max="13558" width="11.5703125" style="608" customWidth="1"/>
    <col min="13559" max="13559" width="15.7109375" style="608" customWidth="1"/>
    <col min="13560" max="13560" width="13.42578125" style="608" customWidth="1"/>
    <col min="13561" max="13561" width="19.140625" style="608" customWidth="1"/>
    <col min="13562" max="13562" width="8.140625" style="608" customWidth="1"/>
    <col min="13563" max="13563" width="12.140625" style="608" customWidth="1"/>
    <col min="13564" max="13564" width="14.42578125" style="608" customWidth="1"/>
    <col min="13565" max="13565" width="13.5703125" style="608" customWidth="1"/>
    <col min="13566" max="13809" width="9.140625" style="608"/>
    <col min="13810" max="13810" width="5.5703125" style="608" customWidth="1"/>
    <col min="13811" max="13811" width="11.5703125" style="608" customWidth="1"/>
    <col min="13812" max="13812" width="35.7109375" style="608" customWidth="1"/>
    <col min="13813" max="13813" width="9.140625" style="608" customWidth="1"/>
    <col min="13814" max="13814" width="11.5703125" style="608" customWidth="1"/>
    <col min="13815" max="13815" width="15.7109375" style="608" customWidth="1"/>
    <col min="13816" max="13816" width="13.42578125" style="608" customWidth="1"/>
    <col min="13817" max="13817" width="19.140625" style="608" customWidth="1"/>
    <col min="13818" max="13818" width="8.140625" style="608" customWidth="1"/>
    <col min="13819" max="13819" width="12.140625" style="608" customWidth="1"/>
    <col min="13820" max="13820" width="14.42578125" style="608" customWidth="1"/>
    <col min="13821" max="13821" width="13.5703125" style="608" customWidth="1"/>
    <col min="13822" max="14065" width="9.140625" style="608"/>
    <col min="14066" max="14066" width="5.5703125" style="608" customWidth="1"/>
    <col min="14067" max="14067" width="11.5703125" style="608" customWidth="1"/>
    <col min="14068" max="14068" width="35.7109375" style="608" customWidth="1"/>
    <col min="14069" max="14069" width="9.140625" style="608" customWidth="1"/>
    <col min="14070" max="14070" width="11.5703125" style="608" customWidth="1"/>
    <col min="14071" max="14071" width="15.7109375" style="608" customWidth="1"/>
    <col min="14072" max="14072" width="13.42578125" style="608" customWidth="1"/>
    <col min="14073" max="14073" width="19.140625" style="608" customWidth="1"/>
    <col min="14074" max="14074" width="8.140625" style="608" customWidth="1"/>
    <col min="14075" max="14075" width="12.140625" style="608" customWidth="1"/>
    <col min="14076" max="14076" width="14.42578125" style="608" customWidth="1"/>
    <col min="14077" max="14077" width="13.5703125" style="608" customWidth="1"/>
    <col min="14078" max="14321" width="9.140625" style="608"/>
    <col min="14322" max="14322" width="5.5703125" style="608" customWidth="1"/>
    <col min="14323" max="14323" width="11.5703125" style="608" customWidth="1"/>
    <col min="14324" max="14324" width="35.7109375" style="608" customWidth="1"/>
    <col min="14325" max="14325" width="9.140625" style="608" customWidth="1"/>
    <col min="14326" max="14326" width="11.5703125" style="608" customWidth="1"/>
    <col min="14327" max="14327" width="15.7109375" style="608" customWidth="1"/>
    <col min="14328" max="14328" width="13.42578125" style="608" customWidth="1"/>
    <col min="14329" max="14329" width="19.140625" style="608" customWidth="1"/>
    <col min="14330" max="14330" width="8.140625" style="608" customWidth="1"/>
    <col min="14331" max="14331" width="12.140625" style="608" customWidth="1"/>
    <col min="14332" max="14332" width="14.42578125" style="608" customWidth="1"/>
    <col min="14333" max="14333" width="13.5703125" style="608" customWidth="1"/>
    <col min="14334" max="14577" width="9.140625" style="608"/>
    <col min="14578" max="14578" width="5.5703125" style="608" customWidth="1"/>
    <col min="14579" max="14579" width="11.5703125" style="608" customWidth="1"/>
    <col min="14580" max="14580" width="35.7109375" style="608" customWidth="1"/>
    <col min="14581" max="14581" width="9.140625" style="608" customWidth="1"/>
    <col min="14582" max="14582" width="11.5703125" style="608" customWidth="1"/>
    <col min="14583" max="14583" width="15.7109375" style="608" customWidth="1"/>
    <col min="14584" max="14584" width="13.42578125" style="608" customWidth="1"/>
    <col min="14585" max="14585" width="19.140625" style="608" customWidth="1"/>
    <col min="14586" max="14586" width="8.140625" style="608" customWidth="1"/>
    <col min="14587" max="14587" width="12.140625" style="608" customWidth="1"/>
    <col min="14588" max="14588" width="14.42578125" style="608" customWidth="1"/>
    <col min="14589" max="14589" width="13.5703125" style="608" customWidth="1"/>
    <col min="14590" max="14833" width="9.140625" style="608"/>
    <col min="14834" max="14834" width="5.5703125" style="608" customWidth="1"/>
    <col min="14835" max="14835" width="11.5703125" style="608" customWidth="1"/>
    <col min="14836" max="14836" width="35.7109375" style="608" customWidth="1"/>
    <col min="14837" max="14837" width="9.140625" style="608" customWidth="1"/>
    <col min="14838" max="14838" width="11.5703125" style="608" customWidth="1"/>
    <col min="14839" max="14839" width="15.7109375" style="608" customWidth="1"/>
    <col min="14840" max="14840" width="13.42578125" style="608" customWidth="1"/>
    <col min="14841" max="14841" width="19.140625" style="608" customWidth="1"/>
    <col min="14842" max="14842" width="8.140625" style="608" customWidth="1"/>
    <col min="14843" max="14843" width="12.140625" style="608" customWidth="1"/>
    <col min="14844" max="14844" width="14.42578125" style="608" customWidth="1"/>
    <col min="14845" max="14845" width="13.5703125" style="608" customWidth="1"/>
    <col min="14846" max="15089" width="9.140625" style="608"/>
    <col min="15090" max="15090" width="5.5703125" style="608" customWidth="1"/>
    <col min="15091" max="15091" width="11.5703125" style="608" customWidth="1"/>
    <col min="15092" max="15092" width="35.7109375" style="608" customWidth="1"/>
    <col min="15093" max="15093" width="9.140625" style="608" customWidth="1"/>
    <col min="15094" max="15094" width="11.5703125" style="608" customWidth="1"/>
    <col min="15095" max="15095" width="15.7109375" style="608" customWidth="1"/>
    <col min="15096" max="15096" width="13.42578125" style="608" customWidth="1"/>
    <col min="15097" max="15097" width="19.140625" style="608" customWidth="1"/>
    <col min="15098" max="15098" width="8.140625" style="608" customWidth="1"/>
    <col min="15099" max="15099" width="12.140625" style="608" customWidth="1"/>
    <col min="15100" max="15100" width="14.42578125" style="608" customWidth="1"/>
    <col min="15101" max="15101" width="13.5703125" style="608" customWidth="1"/>
    <col min="15102" max="15345" width="9.140625" style="608"/>
    <col min="15346" max="15346" width="5.5703125" style="608" customWidth="1"/>
    <col min="15347" max="15347" width="11.5703125" style="608" customWidth="1"/>
    <col min="15348" max="15348" width="35.7109375" style="608" customWidth="1"/>
    <col min="15349" max="15349" width="9.140625" style="608" customWidth="1"/>
    <col min="15350" max="15350" width="11.5703125" style="608" customWidth="1"/>
    <col min="15351" max="15351" width="15.7109375" style="608" customWidth="1"/>
    <col min="15352" max="15352" width="13.42578125" style="608" customWidth="1"/>
    <col min="15353" max="15353" width="19.140625" style="608" customWidth="1"/>
    <col min="15354" max="15354" width="8.140625" style="608" customWidth="1"/>
    <col min="15355" max="15355" width="12.140625" style="608" customWidth="1"/>
    <col min="15356" max="15356" width="14.42578125" style="608" customWidth="1"/>
    <col min="15357" max="15357" width="13.5703125" style="608" customWidth="1"/>
    <col min="15358" max="15601" width="9.140625" style="608"/>
    <col min="15602" max="15602" width="5.5703125" style="608" customWidth="1"/>
    <col min="15603" max="15603" width="11.5703125" style="608" customWidth="1"/>
    <col min="15604" max="15604" width="35.7109375" style="608" customWidth="1"/>
    <col min="15605" max="15605" width="9.140625" style="608" customWidth="1"/>
    <col min="15606" max="15606" width="11.5703125" style="608" customWidth="1"/>
    <col min="15607" max="15607" width="15.7109375" style="608" customWidth="1"/>
    <col min="15608" max="15608" width="13.42578125" style="608" customWidth="1"/>
    <col min="15609" max="15609" width="19.140625" style="608" customWidth="1"/>
    <col min="15610" max="15610" width="8.140625" style="608" customWidth="1"/>
    <col min="15611" max="15611" width="12.140625" style="608" customWidth="1"/>
    <col min="15612" max="15612" width="14.42578125" style="608" customWidth="1"/>
    <col min="15613" max="15613" width="13.5703125" style="608" customWidth="1"/>
    <col min="15614" max="15857" width="9.140625" style="608"/>
    <col min="15858" max="15858" width="5.5703125" style="608" customWidth="1"/>
    <col min="15859" max="15859" width="11.5703125" style="608" customWidth="1"/>
    <col min="15860" max="15860" width="35.7109375" style="608" customWidth="1"/>
    <col min="15861" max="15861" width="9.140625" style="608" customWidth="1"/>
    <col min="15862" max="15862" width="11.5703125" style="608" customWidth="1"/>
    <col min="15863" max="15863" width="15.7109375" style="608" customWidth="1"/>
    <col min="15864" max="15864" width="13.42578125" style="608" customWidth="1"/>
    <col min="15865" max="15865" width="19.140625" style="608" customWidth="1"/>
    <col min="15866" max="15866" width="8.140625" style="608" customWidth="1"/>
    <col min="15867" max="15867" width="12.140625" style="608" customWidth="1"/>
    <col min="15868" max="15868" width="14.42578125" style="608" customWidth="1"/>
    <col min="15869" max="15869" width="13.5703125" style="608" customWidth="1"/>
    <col min="15870" max="16113" width="9.140625" style="608"/>
    <col min="16114" max="16114" width="5.5703125" style="608" customWidth="1"/>
    <col min="16115" max="16115" width="11.5703125" style="608" customWidth="1"/>
    <col min="16116" max="16116" width="35.7109375" style="608" customWidth="1"/>
    <col min="16117" max="16117" width="9.140625" style="608" customWidth="1"/>
    <col min="16118" max="16118" width="11.5703125" style="608" customWidth="1"/>
    <col min="16119" max="16119" width="15.7109375" style="608" customWidth="1"/>
    <col min="16120" max="16120" width="13.42578125" style="608" customWidth="1"/>
    <col min="16121" max="16121" width="19.140625" style="608" customWidth="1"/>
    <col min="16122" max="16122" width="8.140625" style="608" customWidth="1"/>
    <col min="16123" max="16123" width="12.140625" style="608" customWidth="1"/>
    <col min="16124" max="16124" width="14.42578125" style="608" customWidth="1"/>
    <col min="16125" max="16125" width="13.5703125" style="608" customWidth="1"/>
    <col min="16126" max="16384" width="9.140625" style="608"/>
  </cols>
  <sheetData>
    <row r="1" spans="1:15" ht="20.25" customHeight="1" x14ac:dyDescent="0.2">
      <c r="A1" s="994" t="s">
        <v>549</v>
      </c>
      <c r="B1" s="994"/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</row>
    <row r="2" spans="1:15" ht="20.25" customHeight="1" x14ac:dyDescent="0.2">
      <c r="A2" s="1002" t="s">
        <v>550</v>
      </c>
      <c r="B2" s="1003" t="s">
        <v>1</v>
      </c>
      <c r="C2" s="1003" t="s">
        <v>551</v>
      </c>
      <c r="D2" s="1004" t="s">
        <v>552</v>
      </c>
      <c r="E2" s="997" t="s">
        <v>805</v>
      </c>
      <c r="F2" s="995" t="s">
        <v>4</v>
      </c>
      <c r="G2" s="996"/>
      <c r="H2" s="996"/>
      <c r="I2" s="996"/>
      <c r="J2" s="996"/>
      <c r="K2" s="997" t="s">
        <v>553</v>
      </c>
      <c r="L2" s="619" t="s">
        <v>4</v>
      </c>
      <c r="M2" s="997" t="s">
        <v>806</v>
      </c>
      <c r="N2" s="999" t="s">
        <v>554</v>
      </c>
      <c r="O2" s="997" t="s">
        <v>469</v>
      </c>
    </row>
    <row r="3" spans="1:15" ht="36" customHeight="1" x14ac:dyDescent="0.2">
      <c r="A3" s="1002"/>
      <c r="B3" s="1003"/>
      <c r="C3" s="1003"/>
      <c r="D3" s="1004"/>
      <c r="E3" s="997"/>
      <c r="F3" s="997" t="s">
        <v>555</v>
      </c>
      <c r="G3" s="999" t="s">
        <v>556</v>
      </c>
      <c r="H3" s="619" t="s">
        <v>754</v>
      </c>
      <c r="I3" s="619" t="s">
        <v>755</v>
      </c>
      <c r="J3" s="998" t="s">
        <v>825</v>
      </c>
      <c r="K3" s="997"/>
      <c r="L3" s="997" t="s">
        <v>557</v>
      </c>
      <c r="M3" s="997"/>
      <c r="N3" s="1000"/>
      <c r="O3" s="997"/>
    </row>
    <row r="4" spans="1:15" ht="27" customHeight="1" x14ac:dyDescent="0.2">
      <c r="A4" s="1002"/>
      <c r="B4" s="1003"/>
      <c r="C4" s="1003"/>
      <c r="D4" s="1004"/>
      <c r="E4" s="997"/>
      <c r="F4" s="997"/>
      <c r="G4" s="1001"/>
      <c r="H4" s="619" t="s">
        <v>756</v>
      </c>
      <c r="I4" s="619" t="s">
        <v>757</v>
      </c>
      <c r="J4" s="998"/>
      <c r="K4" s="997"/>
      <c r="L4" s="997"/>
      <c r="M4" s="997"/>
      <c r="N4" s="1001"/>
      <c r="O4" s="997"/>
    </row>
    <row r="5" spans="1:15" x14ac:dyDescent="0.2">
      <c r="A5" s="605">
        <v>1</v>
      </c>
      <c r="B5" s="160" t="s">
        <v>44</v>
      </c>
      <c r="C5" s="606" t="s">
        <v>45</v>
      </c>
      <c r="D5" s="607" t="s">
        <v>558</v>
      </c>
      <c r="E5" s="604">
        <v>3022</v>
      </c>
      <c r="F5" s="604">
        <v>0</v>
      </c>
      <c r="G5" s="604">
        <v>0</v>
      </c>
      <c r="H5" s="604">
        <v>80</v>
      </c>
      <c r="I5" s="604">
        <v>0</v>
      </c>
      <c r="J5" s="604">
        <v>2942</v>
      </c>
      <c r="K5" s="607"/>
      <c r="L5" s="607"/>
      <c r="M5" s="604">
        <v>3022</v>
      </c>
      <c r="N5" s="604">
        <v>0</v>
      </c>
      <c r="O5" s="604">
        <f>M5+N5</f>
        <v>3022</v>
      </c>
    </row>
    <row r="6" spans="1:15" ht="11.25" customHeight="1" x14ac:dyDescent="0.2">
      <c r="A6" s="605">
        <v>2</v>
      </c>
      <c r="B6" s="75" t="s">
        <v>187</v>
      </c>
      <c r="C6" s="606" t="s">
        <v>188</v>
      </c>
      <c r="D6" s="607" t="s">
        <v>558</v>
      </c>
      <c r="E6" s="604">
        <v>1859</v>
      </c>
      <c r="F6" s="604">
        <v>0</v>
      </c>
      <c r="G6" s="604">
        <v>0</v>
      </c>
      <c r="H6" s="604"/>
      <c r="I6" s="604"/>
      <c r="J6" s="604">
        <v>1859</v>
      </c>
      <c r="K6" s="607"/>
      <c r="L6" s="607"/>
      <c r="M6" s="604">
        <v>1859</v>
      </c>
      <c r="N6" s="604">
        <v>0</v>
      </c>
      <c r="O6" s="604">
        <f t="shared" ref="O6:O65" si="0">M6+N6</f>
        <v>1859</v>
      </c>
    </row>
    <row r="7" spans="1:15" x14ac:dyDescent="0.2">
      <c r="A7" s="605">
        <v>3</v>
      </c>
      <c r="B7" s="160" t="s">
        <v>46</v>
      </c>
      <c r="C7" s="606" t="s">
        <v>47</v>
      </c>
      <c r="D7" s="607" t="s">
        <v>558</v>
      </c>
      <c r="E7" s="604">
        <v>3983</v>
      </c>
      <c r="F7" s="604">
        <v>0</v>
      </c>
      <c r="G7" s="604">
        <v>0</v>
      </c>
      <c r="H7" s="604"/>
      <c r="I7" s="604"/>
      <c r="J7" s="604">
        <v>3983</v>
      </c>
      <c r="K7" s="607"/>
      <c r="L7" s="607"/>
      <c r="M7" s="604">
        <v>3983</v>
      </c>
      <c r="N7" s="604">
        <v>0</v>
      </c>
      <c r="O7" s="604">
        <f t="shared" si="0"/>
        <v>3983</v>
      </c>
    </row>
    <row r="8" spans="1:15" x14ac:dyDescent="0.2">
      <c r="A8" s="605">
        <v>4</v>
      </c>
      <c r="B8" s="76" t="s">
        <v>16</v>
      </c>
      <c r="C8" s="606" t="s">
        <v>17</v>
      </c>
      <c r="D8" s="607" t="s">
        <v>558</v>
      </c>
      <c r="E8" s="604">
        <v>2183</v>
      </c>
      <c r="F8" s="604">
        <v>0</v>
      </c>
      <c r="G8" s="604">
        <v>0</v>
      </c>
      <c r="H8" s="604">
        <v>1</v>
      </c>
      <c r="I8" s="604">
        <v>0</v>
      </c>
      <c r="J8" s="604">
        <v>2182</v>
      </c>
      <c r="K8" s="607"/>
      <c r="L8" s="607"/>
      <c r="M8" s="604">
        <v>2183</v>
      </c>
      <c r="N8" s="604">
        <v>0</v>
      </c>
      <c r="O8" s="604">
        <f t="shared" si="0"/>
        <v>2183</v>
      </c>
    </row>
    <row r="9" spans="1:15" x14ac:dyDescent="0.2">
      <c r="A9" s="605">
        <v>5</v>
      </c>
      <c r="B9" s="160" t="s">
        <v>48</v>
      </c>
      <c r="C9" s="606" t="s">
        <v>49</v>
      </c>
      <c r="D9" s="607" t="s">
        <v>558</v>
      </c>
      <c r="E9" s="604">
        <v>6424</v>
      </c>
      <c r="F9" s="604">
        <v>0</v>
      </c>
      <c r="G9" s="604">
        <v>0</v>
      </c>
      <c r="H9" s="604">
        <v>250</v>
      </c>
      <c r="I9" s="604">
        <v>35</v>
      </c>
      <c r="J9" s="604">
        <v>6139</v>
      </c>
      <c r="K9" s="607"/>
      <c r="L9" s="607"/>
      <c r="M9" s="604">
        <v>6424</v>
      </c>
      <c r="N9" s="604">
        <v>0</v>
      </c>
      <c r="O9" s="604">
        <f t="shared" si="0"/>
        <v>6424</v>
      </c>
    </row>
    <row r="10" spans="1:15" x14ac:dyDescent="0.2">
      <c r="A10" s="605">
        <v>6</v>
      </c>
      <c r="B10" s="76" t="s">
        <v>101</v>
      </c>
      <c r="C10" s="606" t="s">
        <v>102</v>
      </c>
      <c r="D10" s="607" t="s">
        <v>558</v>
      </c>
      <c r="E10" s="604">
        <v>2915</v>
      </c>
      <c r="F10" s="604">
        <v>1</v>
      </c>
      <c r="G10" s="604">
        <v>0</v>
      </c>
      <c r="H10" s="604">
        <v>5</v>
      </c>
      <c r="I10" s="604">
        <v>0</v>
      </c>
      <c r="J10" s="604">
        <v>2909</v>
      </c>
      <c r="K10" s="607"/>
      <c r="L10" s="607"/>
      <c r="M10" s="604">
        <v>2915</v>
      </c>
      <c r="N10" s="604">
        <v>0</v>
      </c>
      <c r="O10" s="604">
        <f t="shared" si="0"/>
        <v>2915</v>
      </c>
    </row>
    <row r="11" spans="1:15" x14ac:dyDescent="0.2">
      <c r="A11" s="605">
        <v>7</v>
      </c>
      <c r="B11" s="75" t="s">
        <v>18</v>
      </c>
      <c r="C11" s="606" t="s">
        <v>19</v>
      </c>
      <c r="D11" s="607" t="s">
        <v>558</v>
      </c>
      <c r="E11" s="604">
        <v>1780</v>
      </c>
      <c r="F11" s="604">
        <v>3</v>
      </c>
      <c r="G11" s="604">
        <v>0</v>
      </c>
      <c r="H11" s="604"/>
      <c r="I11" s="604"/>
      <c r="J11" s="604">
        <v>1777</v>
      </c>
      <c r="K11" s="607"/>
      <c r="L11" s="607"/>
      <c r="M11" s="604">
        <v>1780</v>
      </c>
      <c r="N11" s="604">
        <v>0</v>
      </c>
      <c r="O11" s="604">
        <f t="shared" si="0"/>
        <v>1780</v>
      </c>
    </row>
    <row r="12" spans="1:15" x14ac:dyDescent="0.2">
      <c r="A12" s="605">
        <v>8</v>
      </c>
      <c r="B12" s="160" t="s">
        <v>189</v>
      </c>
      <c r="C12" s="606" t="s">
        <v>190</v>
      </c>
      <c r="D12" s="607" t="s">
        <v>558</v>
      </c>
      <c r="E12" s="604">
        <v>2100</v>
      </c>
      <c r="F12" s="604">
        <v>0</v>
      </c>
      <c r="G12" s="604">
        <v>0</v>
      </c>
      <c r="H12" s="604"/>
      <c r="I12" s="604"/>
      <c r="J12" s="604">
        <v>2100</v>
      </c>
      <c r="K12" s="607"/>
      <c r="L12" s="607"/>
      <c r="M12" s="604">
        <v>2100</v>
      </c>
      <c r="N12" s="604">
        <v>0</v>
      </c>
      <c r="O12" s="604">
        <f t="shared" si="0"/>
        <v>2100</v>
      </c>
    </row>
    <row r="13" spans="1:15" ht="12" customHeight="1" x14ac:dyDescent="0.2">
      <c r="A13" s="605">
        <v>9</v>
      </c>
      <c r="B13" s="620" t="s">
        <v>105</v>
      </c>
      <c r="C13" s="606" t="s">
        <v>106</v>
      </c>
      <c r="D13" s="607" t="s">
        <v>558</v>
      </c>
      <c r="E13" s="604">
        <v>2256</v>
      </c>
      <c r="F13" s="604">
        <v>0</v>
      </c>
      <c r="G13" s="604">
        <v>0</v>
      </c>
      <c r="H13" s="604"/>
      <c r="I13" s="604"/>
      <c r="J13" s="604">
        <v>2256</v>
      </c>
      <c r="K13" s="607"/>
      <c r="L13" s="607"/>
      <c r="M13" s="604">
        <v>2256</v>
      </c>
      <c r="N13" s="604">
        <v>0</v>
      </c>
      <c r="O13" s="604">
        <f t="shared" si="0"/>
        <v>2256</v>
      </c>
    </row>
    <row r="14" spans="1:15" x14ac:dyDescent="0.2">
      <c r="A14" s="605">
        <v>10</v>
      </c>
      <c r="B14" s="160" t="s">
        <v>191</v>
      </c>
      <c r="C14" s="606" t="s">
        <v>192</v>
      </c>
      <c r="D14" s="607" t="s">
        <v>558</v>
      </c>
      <c r="E14" s="604">
        <v>5032</v>
      </c>
      <c r="F14" s="604">
        <v>0</v>
      </c>
      <c r="G14" s="604">
        <v>0</v>
      </c>
      <c r="H14" s="604"/>
      <c r="I14" s="604"/>
      <c r="J14" s="604">
        <v>5032</v>
      </c>
      <c r="K14" s="607"/>
      <c r="L14" s="607"/>
      <c r="M14" s="604">
        <v>5032</v>
      </c>
      <c r="N14" s="604">
        <v>0</v>
      </c>
      <c r="O14" s="604">
        <f t="shared" si="0"/>
        <v>5032</v>
      </c>
    </row>
    <row r="15" spans="1:15" x14ac:dyDescent="0.2">
      <c r="A15" s="605">
        <v>11</v>
      </c>
      <c r="B15" s="75" t="s">
        <v>193</v>
      </c>
      <c r="C15" s="606" t="s">
        <v>194</v>
      </c>
      <c r="D15" s="607" t="s">
        <v>558</v>
      </c>
      <c r="E15" s="604">
        <v>2491</v>
      </c>
      <c r="F15" s="604">
        <v>0</v>
      </c>
      <c r="G15" s="604">
        <v>0</v>
      </c>
      <c r="H15" s="604"/>
      <c r="I15" s="604"/>
      <c r="J15" s="604">
        <v>2491</v>
      </c>
      <c r="K15" s="607"/>
      <c r="L15" s="607"/>
      <c r="M15" s="604">
        <v>2491</v>
      </c>
      <c r="N15" s="604">
        <v>0</v>
      </c>
      <c r="O15" s="604">
        <f t="shared" si="0"/>
        <v>2491</v>
      </c>
    </row>
    <row r="16" spans="1:15" x14ac:dyDescent="0.2">
      <c r="A16" s="605">
        <v>12</v>
      </c>
      <c r="B16" s="75" t="s">
        <v>195</v>
      </c>
      <c r="C16" s="606" t="s">
        <v>196</v>
      </c>
      <c r="D16" s="607" t="s">
        <v>558</v>
      </c>
      <c r="E16" s="604">
        <v>3406</v>
      </c>
      <c r="F16" s="604">
        <v>2</v>
      </c>
      <c r="G16" s="604">
        <v>0</v>
      </c>
      <c r="H16" s="604">
        <v>4</v>
      </c>
      <c r="I16" s="604">
        <v>0</v>
      </c>
      <c r="J16" s="604">
        <v>3400</v>
      </c>
      <c r="K16" s="607"/>
      <c r="L16" s="607"/>
      <c r="M16" s="604">
        <v>3406</v>
      </c>
      <c r="N16" s="604">
        <v>0</v>
      </c>
      <c r="O16" s="604">
        <f t="shared" si="0"/>
        <v>3406</v>
      </c>
    </row>
    <row r="17" spans="1:15" x14ac:dyDescent="0.2">
      <c r="A17" s="605">
        <v>13</v>
      </c>
      <c r="B17" s="76" t="s">
        <v>22</v>
      </c>
      <c r="C17" s="606" t="s">
        <v>23</v>
      </c>
      <c r="D17" s="607" t="s">
        <v>558</v>
      </c>
      <c r="E17" s="604">
        <v>1969</v>
      </c>
      <c r="F17" s="604">
        <v>0</v>
      </c>
      <c r="G17" s="604">
        <v>0</v>
      </c>
      <c r="H17" s="604"/>
      <c r="I17" s="604"/>
      <c r="J17" s="604">
        <v>1969</v>
      </c>
      <c r="K17" s="607"/>
      <c r="L17" s="607"/>
      <c r="M17" s="604">
        <v>1969</v>
      </c>
      <c r="N17" s="604">
        <v>0</v>
      </c>
      <c r="O17" s="604">
        <f t="shared" si="0"/>
        <v>1969</v>
      </c>
    </row>
    <row r="18" spans="1:15" x14ac:dyDescent="0.2">
      <c r="A18" s="605">
        <v>14</v>
      </c>
      <c r="B18" s="76" t="s">
        <v>52</v>
      </c>
      <c r="C18" s="606" t="s">
        <v>53</v>
      </c>
      <c r="D18" s="607" t="s">
        <v>558</v>
      </c>
      <c r="E18" s="604">
        <v>1601</v>
      </c>
      <c r="F18" s="604">
        <v>0</v>
      </c>
      <c r="G18" s="604">
        <v>0</v>
      </c>
      <c r="H18" s="604">
        <v>1</v>
      </c>
      <c r="I18" s="604">
        <v>0</v>
      </c>
      <c r="J18" s="604">
        <v>1600</v>
      </c>
      <c r="K18" s="607"/>
      <c r="L18" s="607"/>
      <c r="M18" s="604">
        <v>1601</v>
      </c>
      <c r="N18" s="604">
        <v>0</v>
      </c>
      <c r="O18" s="604">
        <f t="shared" si="0"/>
        <v>1601</v>
      </c>
    </row>
    <row r="19" spans="1:15" x14ac:dyDescent="0.2">
      <c r="A19" s="605">
        <v>15</v>
      </c>
      <c r="B19" s="76" t="s">
        <v>24</v>
      </c>
      <c r="C19" s="606" t="s">
        <v>25</v>
      </c>
      <c r="D19" s="607" t="s">
        <v>558</v>
      </c>
      <c r="E19" s="604">
        <v>2372</v>
      </c>
      <c r="F19" s="604">
        <v>0</v>
      </c>
      <c r="G19" s="604">
        <v>0</v>
      </c>
      <c r="H19" s="604"/>
      <c r="I19" s="604"/>
      <c r="J19" s="604">
        <v>2372</v>
      </c>
      <c r="K19" s="607"/>
      <c r="L19" s="607"/>
      <c r="M19" s="604">
        <v>2372</v>
      </c>
      <c r="N19" s="604">
        <v>0</v>
      </c>
      <c r="O19" s="604">
        <f t="shared" si="0"/>
        <v>2372</v>
      </c>
    </row>
    <row r="20" spans="1:15" x14ac:dyDescent="0.2">
      <c r="A20" s="605">
        <v>16</v>
      </c>
      <c r="B20" s="160" t="s">
        <v>107</v>
      </c>
      <c r="C20" s="606" t="s">
        <v>108</v>
      </c>
      <c r="D20" s="607" t="s">
        <v>558</v>
      </c>
      <c r="E20" s="604">
        <v>3369</v>
      </c>
      <c r="F20" s="604">
        <v>1</v>
      </c>
      <c r="G20" s="604">
        <v>0</v>
      </c>
      <c r="H20" s="604"/>
      <c r="I20" s="604"/>
      <c r="J20" s="604">
        <v>3368</v>
      </c>
      <c r="K20" s="607"/>
      <c r="L20" s="607"/>
      <c r="M20" s="604">
        <v>3369</v>
      </c>
      <c r="N20" s="604">
        <v>0</v>
      </c>
      <c r="O20" s="604">
        <f t="shared" si="0"/>
        <v>3369</v>
      </c>
    </row>
    <row r="21" spans="1:15" x14ac:dyDescent="0.2">
      <c r="A21" s="605">
        <v>17</v>
      </c>
      <c r="B21" s="75" t="s">
        <v>109</v>
      </c>
      <c r="C21" s="606" t="s">
        <v>110</v>
      </c>
      <c r="D21" s="607" t="s">
        <v>558</v>
      </c>
      <c r="E21" s="604">
        <v>4143</v>
      </c>
      <c r="F21" s="604">
        <v>0</v>
      </c>
      <c r="G21" s="604">
        <v>0</v>
      </c>
      <c r="H21" s="604">
        <v>31</v>
      </c>
      <c r="I21" s="604">
        <v>1</v>
      </c>
      <c r="J21" s="604">
        <f>E21-F21-G21-H21-I21</f>
        <v>4111</v>
      </c>
      <c r="K21" s="607"/>
      <c r="L21" s="607"/>
      <c r="M21" s="604">
        <v>4143</v>
      </c>
      <c r="N21" s="604">
        <v>0</v>
      </c>
      <c r="O21" s="604">
        <f t="shared" si="0"/>
        <v>4143</v>
      </c>
    </row>
    <row r="22" spans="1:15" x14ac:dyDescent="0.2">
      <c r="A22" s="605">
        <v>18</v>
      </c>
      <c r="B22" s="160" t="s">
        <v>111</v>
      </c>
      <c r="C22" s="606" t="s">
        <v>112</v>
      </c>
      <c r="D22" s="607" t="s">
        <v>558</v>
      </c>
      <c r="E22" s="604">
        <v>1561</v>
      </c>
      <c r="F22" s="604">
        <v>0</v>
      </c>
      <c r="G22" s="604">
        <v>0</v>
      </c>
      <c r="H22" s="604"/>
      <c r="I22" s="604"/>
      <c r="J22" s="604">
        <v>1561</v>
      </c>
      <c r="K22" s="607"/>
      <c r="L22" s="607"/>
      <c r="M22" s="604">
        <v>1561</v>
      </c>
      <c r="N22" s="604">
        <v>0</v>
      </c>
      <c r="O22" s="604">
        <f t="shared" si="0"/>
        <v>1561</v>
      </c>
    </row>
    <row r="23" spans="1:15" x14ac:dyDescent="0.2">
      <c r="A23" s="605">
        <v>19</v>
      </c>
      <c r="B23" s="76" t="s">
        <v>54</v>
      </c>
      <c r="C23" s="606" t="s">
        <v>55</v>
      </c>
      <c r="D23" s="607" t="s">
        <v>558</v>
      </c>
      <c r="E23" s="604">
        <v>1524</v>
      </c>
      <c r="F23" s="604">
        <v>0</v>
      </c>
      <c r="G23" s="604">
        <v>0</v>
      </c>
      <c r="H23" s="604"/>
      <c r="I23" s="604"/>
      <c r="J23" s="604">
        <v>1524</v>
      </c>
      <c r="K23" s="607"/>
      <c r="L23" s="607"/>
      <c r="M23" s="604">
        <v>1524</v>
      </c>
      <c r="N23" s="604">
        <v>0</v>
      </c>
      <c r="O23" s="604">
        <f t="shared" si="0"/>
        <v>1524</v>
      </c>
    </row>
    <row r="24" spans="1:15" x14ac:dyDescent="0.2">
      <c r="A24" s="605">
        <v>20</v>
      </c>
      <c r="B24" s="76" t="s">
        <v>197</v>
      </c>
      <c r="C24" s="606" t="s">
        <v>198</v>
      </c>
      <c r="D24" s="607" t="s">
        <v>558</v>
      </c>
      <c r="E24" s="604">
        <v>3483</v>
      </c>
      <c r="F24" s="604">
        <v>0</v>
      </c>
      <c r="G24" s="604">
        <v>0</v>
      </c>
      <c r="H24" s="604"/>
      <c r="I24" s="604"/>
      <c r="J24" s="604">
        <v>3483</v>
      </c>
      <c r="K24" s="607"/>
      <c r="L24" s="607"/>
      <c r="M24" s="604">
        <v>3483</v>
      </c>
      <c r="N24" s="604">
        <v>0</v>
      </c>
      <c r="O24" s="604">
        <f t="shared" si="0"/>
        <v>3483</v>
      </c>
    </row>
    <row r="25" spans="1:15" x14ac:dyDescent="0.2">
      <c r="A25" s="605">
        <v>21</v>
      </c>
      <c r="B25" s="75" t="s">
        <v>81</v>
      </c>
      <c r="C25" s="606" t="s">
        <v>82</v>
      </c>
      <c r="D25" s="607" t="s">
        <v>558</v>
      </c>
      <c r="E25" s="604">
        <v>2813</v>
      </c>
      <c r="F25" s="604">
        <v>0</v>
      </c>
      <c r="G25" s="604">
        <v>0</v>
      </c>
      <c r="H25" s="604">
        <v>8</v>
      </c>
      <c r="I25" s="604">
        <v>0</v>
      </c>
      <c r="J25" s="604">
        <v>2805</v>
      </c>
      <c r="K25" s="607"/>
      <c r="L25" s="607"/>
      <c r="M25" s="604">
        <v>2813</v>
      </c>
      <c r="N25" s="604">
        <v>0</v>
      </c>
      <c r="O25" s="604">
        <f t="shared" si="0"/>
        <v>2813</v>
      </c>
    </row>
    <row r="26" spans="1:15" x14ac:dyDescent="0.2">
      <c r="A26" s="605">
        <v>22</v>
      </c>
      <c r="B26" s="160" t="s">
        <v>30</v>
      </c>
      <c r="C26" s="606" t="s">
        <v>31</v>
      </c>
      <c r="D26" s="607" t="s">
        <v>558</v>
      </c>
      <c r="E26" s="604">
        <v>1941</v>
      </c>
      <c r="F26" s="604">
        <v>3</v>
      </c>
      <c r="G26" s="604">
        <v>0</v>
      </c>
      <c r="H26" s="604"/>
      <c r="I26" s="604"/>
      <c r="J26" s="604">
        <v>1938</v>
      </c>
      <c r="K26" s="607"/>
      <c r="L26" s="607"/>
      <c r="M26" s="604">
        <v>1941</v>
      </c>
      <c r="N26" s="604">
        <v>0</v>
      </c>
      <c r="O26" s="604">
        <f t="shared" si="0"/>
        <v>1941</v>
      </c>
    </row>
    <row r="27" spans="1:15" x14ac:dyDescent="0.2">
      <c r="A27" s="605">
        <v>23</v>
      </c>
      <c r="B27" s="160" t="s">
        <v>32</v>
      </c>
      <c r="C27" s="606" t="s">
        <v>33</v>
      </c>
      <c r="D27" s="607" t="s">
        <v>558</v>
      </c>
      <c r="E27" s="604">
        <v>2882</v>
      </c>
      <c r="F27" s="604">
        <v>1</v>
      </c>
      <c r="G27" s="604">
        <v>0</v>
      </c>
      <c r="H27" s="604">
        <v>1</v>
      </c>
      <c r="I27" s="604">
        <v>0</v>
      </c>
      <c r="J27" s="604">
        <v>2880</v>
      </c>
      <c r="K27" s="607"/>
      <c r="L27" s="607"/>
      <c r="M27" s="604">
        <v>2882</v>
      </c>
      <c r="N27" s="604">
        <v>0</v>
      </c>
      <c r="O27" s="604">
        <f t="shared" si="0"/>
        <v>2882</v>
      </c>
    </row>
    <row r="28" spans="1:15" x14ac:dyDescent="0.2">
      <c r="A28" s="605">
        <v>24</v>
      </c>
      <c r="B28" s="76" t="s">
        <v>199</v>
      </c>
      <c r="C28" s="606" t="s">
        <v>200</v>
      </c>
      <c r="D28" s="607" t="s">
        <v>558</v>
      </c>
      <c r="E28" s="604">
        <v>4506</v>
      </c>
      <c r="F28" s="604">
        <v>2</v>
      </c>
      <c r="G28" s="604">
        <v>0</v>
      </c>
      <c r="H28" s="604">
        <v>1</v>
      </c>
      <c r="I28" s="604">
        <v>0</v>
      </c>
      <c r="J28" s="604">
        <v>4503</v>
      </c>
      <c r="K28" s="607"/>
      <c r="L28" s="607"/>
      <c r="M28" s="604">
        <v>4506</v>
      </c>
      <c r="N28" s="604">
        <v>0</v>
      </c>
      <c r="O28" s="604">
        <f t="shared" si="0"/>
        <v>4506</v>
      </c>
    </row>
    <row r="29" spans="1:15" x14ac:dyDescent="0.2">
      <c r="A29" s="605">
        <v>25</v>
      </c>
      <c r="B29" s="160" t="s">
        <v>201</v>
      </c>
      <c r="C29" s="606" t="s">
        <v>202</v>
      </c>
      <c r="D29" s="607" t="s">
        <v>558</v>
      </c>
      <c r="E29" s="604">
        <v>1637</v>
      </c>
      <c r="F29" s="604">
        <v>0</v>
      </c>
      <c r="G29" s="604">
        <v>0</v>
      </c>
      <c r="H29" s="604"/>
      <c r="I29" s="604"/>
      <c r="J29" s="604">
        <v>1637</v>
      </c>
      <c r="K29" s="607"/>
      <c r="L29" s="607"/>
      <c r="M29" s="604">
        <v>1637</v>
      </c>
      <c r="N29" s="604">
        <v>0</v>
      </c>
      <c r="O29" s="604">
        <f t="shared" si="0"/>
        <v>1637</v>
      </c>
    </row>
    <row r="30" spans="1:15" x14ac:dyDescent="0.2">
      <c r="A30" s="605">
        <v>26</v>
      </c>
      <c r="B30" s="160" t="s">
        <v>34</v>
      </c>
      <c r="C30" s="606" t="s">
        <v>35</v>
      </c>
      <c r="D30" s="607" t="s">
        <v>558</v>
      </c>
      <c r="E30" s="604">
        <v>2065</v>
      </c>
      <c r="F30" s="604">
        <v>0</v>
      </c>
      <c r="G30" s="604">
        <v>0</v>
      </c>
      <c r="H30" s="604"/>
      <c r="I30" s="604"/>
      <c r="J30" s="604">
        <v>2065</v>
      </c>
      <c r="K30" s="607"/>
      <c r="L30" s="607"/>
      <c r="M30" s="604">
        <v>2065</v>
      </c>
      <c r="N30" s="604">
        <v>0</v>
      </c>
      <c r="O30" s="604">
        <f t="shared" si="0"/>
        <v>2065</v>
      </c>
    </row>
    <row r="31" spans="1:15" x14ac:dyDescent="0.2">
      <c r="A31" s="605">
        <v>27</v>
      </c>
      <c r="B31" s="75" t="s">
        <v>85</v>
      </c>
      <c r="C31" s="606" t="s">
        <v>86</v>
      </c>
      <c r="D31" s="607" t="s">
        <v>558</v>
      </c>
      <c r="E31" s="604">
        <v>3151</v>
      </c>
      <c r="F31" s="604">
        <v>0</v>
      </c>
      <c r="G31" s="604">
        <v>0</v>
      </c>
      <c r="H31" s="604">
        <v>2</v>
      </c>
      <c r="I31" s="604">
        <v>0</v>
      </c>
      <c r="J31" s="604">
        <v>3149</v>
      </c>
      <c r="K31" s="607"/>
      <c r="L31" s="607"/>
      <c r="M31" s="604">
        <v>3151</v>
      </c>
      <c r="N31" s="604">
        <v>0</v>
      </c>
      <c r="O31" s="604">
        <f t="shared" si="0"/>
        <v>3151</v>
      </c>
    </row>
    <row r="32" spans="1:15" x14ac:dyDescent="0.2">
      <c r="A32" s="605">
        <v>28</v>
      </c>
      <c r="B32" s="76" t="s">
        <v>203</v>
      </c>
      <c r="C32" s="606" t="s">
        <v>204</v>
      </c>
      <c r="D32" s="607" t="s">
        <v>558</v>
      </c>
      <c r="E32" s="604">
        <v>2485</v>
      </c>
      <c r="F32" s="604">
        <v>0</v>
      </c>
      <c r="G32" s="604">
        <v>0</v>
      </c>
      <c r="H32" s="604"/>
      <c r="I32" s="604"/>
      <c r="J32" s="604">
        <v>2485</v>
      </c>
      <c r="K32" s="607"/>
      <c r="L32" s="607"/>
      <c r="M32" s="604">
        <v>2485</v>
      </c>
      <c r="N32" s="604">
        <v>0</v>
      </c>
      <c r="O32" s="604">
        <f t="shared" si="0"/>
        <v>2485</v>
      </c>
    </row>
    <row r="33" spans="1:15" x14ac:dyDescent="0.2">
      <c r="A33" s="605">
        <v>29</v>
      </c>
      <c r="B33" s="160" t="s">
        <v>36</v>
      </c>
      <c r="C33" s="606" t="s">
        <v>37</v>
      </c>
      <c r="D33" s="607" t="s">
        <v>558</v>
      </c>
      <c r="E33" s="604">
        <v>2610</v>
      </c>
      <c r="F33" s="604">
        <v>0</v>
      </c>
      <c r="G33" s="604">
        <v>0</v>
      </c>
      <c r="H33" s="604"/>
      <c r="I33" s="604"/>
      <c r="J33" s="604">
        <v>2610</v>
      </c>
      <c r="K33" s="607"/>
      <c r="L33" s="607"/>
      <c r="M33" s="604">
        <v>2610</v>
      </c>
      <c r="N33" s="604">
        <v>0</v>
      </c>
      <c r="O33" s="604">
        <f t="shared" si="0"/>
        <v>2610</v>
      </c>
    </row>
    <row r="34" spans="1:15" x14ac:dyDescent="0.2">
      <c r="A34" s="605">
        <v>30</v>
      </c>
      <c r="B34" s="75" t="s">
        <v>113</v>
      </c>
      <c r="C34" s="606" t="s">
        <v>114</v>
      </c>
      <c r="D34" s="607" t="s">
        <v>558</v>
      </c>
      <c r="E34" s="604">
        <v>2983</v>
      </c>
      <c r="F34" s="604">
        <v>0</v>
      </c>
      <c r="G34" s="604">
        <v>0</v>
      </c>
      <c r="H34" s="604">
        <v>3</v>
      </c>
      <c r="I34" s="604">
        <v>0</v>
      </c>
      <c r="J34" s="604">
        <v>2980</v>
      </c>
      <c r="K34" s="607"/>
      <c r="L34" s="607"/>
      <c r="M34" s="604">
        <v>2983</v>
      </c>
      <c r="N34" s="604">
        <v>0</v>
      </c>
      <c r="O34" s="604">
        <f t="shared" si="0"/>
        <v>2983</v>
      </c>
    </row>
    <row r="35" spans="1:15" x14ac:dyDescent="0.2">
      <c r="A35" s="605">
        <v>31</v>
      </c>
      <c r="B35" s="621" t="s">
        <v>89</v>
      </c>
      <c r="C35" s="606" t="s">
        <v>90</v>
      </c>
      <c r="D35" s="607" t="s">
        <v>558</v>
      </c>
      <c r="E35" s="604">
        <v>3220</v>
      </c>
      <c r="F35" s="604">
        <v>0</v>
      </c>
      <c r="G35" s="604">
        <v>0</v>
      </c>
      <c r="H35" s="604">
        <v>4</v>
      </c>
      <c r="I35" s="604">
        <v>0</v>
      </c>
      <c r="J35" s="604">
        <v>3216</v>
      </c>
      <c r="K35" s="607"/>
      <c r="L35" s="607"/>
      <c r="M35" s="604">
        <v>3220</v>
      </c>
      <c r="N35" s="604">
        <v>0</v>
      </c>
      <c r="O35" s="604">
        <f t="shared" si="0"/>
        <v>3220</v>
      </c>
    </row>
    <row r="36" spans="1:15" x14ac:dyDescent="0.2">
      <c r="A36" s="605">
        <v>32</v>
      </c>
      <c r="B36" s="160" t="s">
        <v>209</v>
      </c>
      <c r="C36" s="606" t="s">
        <v>210</v>
      </c>
      <c r="D36" s="607" t="s">
        <v>558</v>
      </c>
      <c r="E36" s="604">
        <v>1934</v>
      </c>
      <c r="F36" s="604">
        <v>0</v>
      </c>
      <c r="G36" s="604">
        <v>0</v>
      </c>
      <c r="H36" s="604">
        <v>3</v>
      </c>
      <c r="I36" s="604">
        <v>0</v>
      </c>
      <c r="J36" s="604">
        <v>1931</v>
      </c>
      <c r="K36" s="607"/>
      <c r="L36" s="607"/>
      <c r="M36" s="604">
        <v>1934</v>
      </c>
      <c r="N36" s="604">
        <v>0</v>
      </c>
      <c r="O36" s="604">
        <f t="shared" si="0"/>
        <v>1934</v>
      </c>
    </row>
    <row r="37" spans="1:15" x14ac:dyDescent="0.2">
      <c r="A37" s="605">
        <v>33</v>
      </c>
      <c r="B37" s="160" t="s">
        <v>115</v>
      </c>
      <c r="C37" s="606" t="s">
        <v>116</v>
      </c>
      <c r="D37" s="607" t="s">
        <v>558</v>
      </c>
      <c r="E37" s="604">
        <v>4229</v>
      </c>
      <c r="F37" s="604">
        <v>0</v>
      </c>
      <c r="G37" s="604">
        <v>0</v>
      </c>
      <c r="H37" s="604">
        <v>7</v>
      </c>
      <c r="I37" s="604">
        <v>0</v>
      </c>
      <c r="J37" s="604">
        <v>4222</v>
      </c>
      <c r="K37" s="607"/>
      <c r="L37" s="607"/>
      <c r="M37" s="604">
        <v>4229</v>
      </c>
      <c r="N37" s="604">
        <v>0</v>
      </c>
      <c r="O37" s="604">
        <f t="shared" si="0"/>
        <v>4229</v>
      </c>
    </row>
    <row r="38" spans="1:15" x14ac:dyDescent="0.2">
      <c r="A38" s="605">
        <v>34</v>
      </c>
      <c r="B38" s="76" t="s">
        <v>91</v>
      </c>
      <c r="C38" s="606" t="s">
        <v>92</v>
      </c>
      <c r="D38" s="607" t="s">
        <v>558</v>
      </c>
      <c r="E38" s="604">
        <v>1971</v>
      </c>
      <c r="F38" s="604">
        <v>0</v>
      </c>
      <c r="G38" s="604">
        <v>0</v>
      </c>
      <c r="H38" s="604"/>
      <c r="I38" s="604"/>
      <c r="J38" s="604">
        <v>1971</v>
      </c>
      <c r="K38" s="607"/>
      <c r="L38" s="607"/>
      <c r="M38" s="604">
        <v>1971</v>
      </c>
      <c r="N38" s="604">
        <v>0</v>
      </c>
      <c r="O38" s="604">
        <f t="shared" si="0"/>
        <v>1971</v>
      </c>
    </row>
    <row r="39" spans="1:15" x14ac:dyDescent="0.2">
      <c r="A39" s="605">
        <v>35</v>
      </c>
      <c r="B39" s="76" t="s">
        <v>93</v>
      </c>
      <c r="C39" s="606" t="s">
        <v>94</v>
      </c>
      <c r="D39" s="607" t="s">
        <v>558</v>
      </c>
      <c r="E39" s="604">
        <v>2741</v>
      </c>
      <c r="F39" s="604">
        <v>0</v>
      </c>
      <c r="G39" s="604">
        <v>0</v>
      </c>
      <c r="H39" s="604"/>
      <c r="I39" s="604"/>
      <c r="J39" s="604">
        <v>2741</v>
      </c>
      <c r="K39" s="607"/>
      <c r="L39" s="607"/>
      <c r="M39" s="604">
        <v>2741</v>
      </c>
      <c r="N39" s="604">
        <v>0</v>
      </c>
      <c r="O39" s="604">
        <f t="shared" si="0"/>
        <v>2741</v>
      </c>
    </row>
    <row r="40" spans="1:15" x14ac:dyDescent="0.2">
      <c r="A40" s="605">
        <v>36</v>
      </c>
      <c r="B40" s="160" t="s">
        <v>95</v>
      </c>
      <c r="C40" s="606" t="s">
        <v>96</v>
      </c>
      <c r="D40" s="607" t="s">
        <v>558</v>
      </c>
      <c r="E40" s="604">
        <v>1551</v>
      </c>
      <c r="F40" s="604">
        <v>0</v>
      </c>
      <c r="G40" s="604">
        <v>0</v>
      </c>
      <c r="H40" s="604"/>
      <c r="I40" s="604"/>
      <c r="J40" s="604">
        <v>1551</v>
      </c>
      <c r="K40" s="607"/>
      <c r="L40" s="607"/>
      <c r="M40" s="604">
        <v>1551</v>
      </c>
      <c r="N40" s="604">
        <v>0</v>
      </c>
      <c r="O40" s="604">
        <f t="shared" si="0"/>
        <v>1551</v>
      </c>
    </row>
    <row r="41" spans="1:15" x14ac:dyDescent="0.2">
      <c r="A41" s="605">
        <v>37</v>
      </c>
      <c r="B41" s="160" t="s">
        <v>211</v>
      </c>
      <c r="C41" s="606" t="s">
        <v>212</v>
      </c>
      <c r="D41" s="607" t="s">
        <v>558</v>
      </c>
      <c r="E41" s="604">
        <v>2751</v>
      </c>
      <c r="F41" s="604">
        <v>0</v>
      </c>
      <c r="G41" s="604">
        <v>0</v>
      </c>
      <c r="H41" s="604"/>
      <c r="I41" s="604"/>
      <c r="J41" s="604">
        <v>2751</v>
      </c>
      <c r="K41" s="607"/>
      <c r="L41" s="607"/>
      <c r="M41" s="604">
        <v>2751</v>
      </c>
      <c r="N41" s="604">
        <v>0</v>
      </c>
      <c r="O41" s="604">
        <f t="shared" si="0"/>
        <v>2751</v>
      </c>
    </row>
    <row r="42" spans="1:15" x14ac:dyDescent="0.2">
      <c r="A42" s="605">
        <v>38</v>
      </c>
      <c r="B42" s="76" t="s">
        <v>213</v>
      </c>
      <c r="C42" s="606" t="s">
        <v>214</v>
      </c>
      <c r="D42" s="607" t="s">
        <v>558</v>
      </c>
      <c r="E42" s="604">
        <v>4091</v>
      </c>
      <c r="F42" s="604">
        <v>0</v>
      </c>
      <c r="G42" s="604">
        <v>0</v>
      </c>
      <c r="H42" s="604">
        <v>5</v>
      </c>
      <c r="I42" s="604">
        <v>0</v>
      </c>
      <c r="J42" s="604">
        <v>4086</v>
      </c>
      <c r="K42" s="607"/>
      <c r="L42" s="607"/>
      <c r="M42" s="604">
        <v>4091</v>
      </c>
      <c r="N42" s="604">
        <v>0</v>
      </c>
      <c r="O42" s="604">
        <f t="shared" si="0"/>
        <v>4091</v>
      </c>
    </row>
    <row r="43" spans="1:15" x14ac:dyDescent="0.2">
      <c r="A43" s="605">
        <v>39</v>
      </c>
      <c r="B43" s="160" t="s">
        <v>119</v>
      </c>
      <c r="C43" s="606" t="s">
        <v>120</v>
      </c>
      <c r="D43" s="607" t="s">
        <v>558</v>
      </c>
      <c r="E43" s="604">
        <v>2501</v>
      </c>
      <c r="F43" s="604">
        <v>0</v>
      </c>
      <c r="G43" s="604">
        <v>0</v>
      </c>
      <c r="H43" s="604"/>
      <c r="I43" s="604"/>
      <c r="J43" s="604">
        <v>2501</v>
      </c>
      <c r="K43" s="607"/>
      <c r="L43" s="607"/>
      <c r="M43" s="604">
        <v>2501</v>
      </c>
      <c r="N43" s="604">
        <v>0</v>
      </c>
      <c r="O43" s="604">
        <f t="shared" si="0"/>
        <v>2501</v>
      </c>
    </row>
    <row r="44" spans="1:15" x14ac:dyDescent="0.2">
      <c r="A44" s="605">
        <v>40</v>
      </c>
      <c r="B44" s="75" t="s">
        <v>215</v>
      </c>
      <c r="C44" s="606" t="s">
        <v>216</v>
      </c>
      <c r="D44" s="607" t="s">
        <v>558</v>
      </c>
      <c r="E44" s="604">
        <v>2059</v>
      </c>
      <c r="F44" s="604">
        <v>0</v>
      </c>
      <c r="G44" s="604">
        <v>0</v>
      </c>
      <c r="H44" s="604"/>
      <c r="I44" s="604"/>
      <c r="J44" s="604">
        <v>2059</v>
      </c>
      <c r="K44" s="607"/>
      <c r="L44" s="607"/>
      <c r="M44" s="604">
        <v>2059</v>
      </c>
      <c r="N44" s="604">
        <v>0</v>
      </c>
      <c r="O44" s="604">
        <f t="shared" si="0"/>
        <v>2059</v>
      </c>
    </row>
    <row r="45" spans="1:15" x14ac:dyDescent="0.2">
      <c r="A45" s="605">
        <v>41</v>
      </c>
      <c r="B45" s="160" t="s">
        <v>38</v>
      </c>
      <c r="C45" s="606" t="s">
        <v>39</v>
      </c>
      <c r="D45" s="607" t="s">
        <v>558</v>
      </c>
      <c r="E45" s="604">
        <v>5154</v>
      </c>
      <c r="F45" s="604">
        <v>0</v>
      </c>
      <c r="G45" s="604">
        <v>0</v>
      </c>
      <c r="H45" s="604">
        <v>17</v>
      </c>
      <c r="I45" s="604">
        <v>0</v>
      </c>
      <c r="J45" s="604">
        <v>5137</v>
      </c>
      <c r="K45" s="607"/>
      <c r="L45" s="607"/>
      <c r="M45" s="604">
        <v>5154</v>
      </c>
      <c r="N45" s="604">
        <v>0</v>
      </c>
      <c r="O45" s="604">
        <f t="shared" si="0"/>
        <v>5154</v>
      </c>
    </row>
    <row r="46" spans="1:15" x14ac:dyDescent="0.2">
      <c r="A46" s="605">
        <v>42</v>
      </c>
      <c r="B46" s="76" t="s">
        <v>167</v>
      </c>
      <c r="C46" s="606" t="s">
        <v>559</v>
      </c>
      <c r="D46" s="607" t="s">
        <v>558</v>
      </c>
      <c r="E46" s="604">
        <v>914</v>
      </c>
      <c r="F46" s="604">
        <v>0</v>
      </c>
      <c r="G46" s="604">
        <v>0</v>
      </c>
      <c r="H46" s="604"/>
      <c r="I46" s="604"/>
      <c r="J46" s="604">
        <v>914</v>
      </c>
      <c r="K46" s="607"/>
      <c r="L46" s="607"/>
      <c r="M46" s="604">
        <v>914</v>
      </c>
      <c r="N46" s="604">
        <v>0</v>
      </c>
      <c r="O46" s="604">
        <f t="shared" si="0"/>
        <v>914</v>
      </c>
    </row>
    <row r="47" spans="1:15" x14ac:dyDescent="0.2">
      <c r="A47" s="605">
        <v>43</v>
      </c>
      <c r="B47" s="76" t="s">
        <v>163</v>
      </c>
      <c r="C47" s="606" t="s">
        <v>560</v>
      </c>
      <c r="D47" s="607" t="s">
        <v>561</v>
      </c>
      <c r="E47" s="604">
        <v>2823</v>
      </c>
      <c r="F47" s="604">
        <v>0</v>
      </c>
      <c r="G47" s="604">
        <v>0</v>
      </c>
      <c r="H47" s="604"/>
      <c r="I47" s="604"/>
      <c r="J47" s="604">
        <v>2823</v>
      </c>
      <c r="K47" s="607"/>
      <c r="L47" s="607"/>
      <c r="M47" s="604">
        <v>2823</v>
      </c>
      <c r="N47" s="604">
        <v>900</v>
      </c>
      <c r="O47" s="604">
        <f t="shared" si="0"/>
        <v>3723</v>
      </c>
    </row>
    <row r="48" spans="1:15" x14ac:dyDescent="0.2">
      <c r="A48" s="605">
        <v>44</v>
      </c>
      <c r="B48" s="160" t="s">
        <v>70</v>
      </c>
      <c r="C48" s="606" t="s">
        <v>562</v>
      </c>
      <c r="D48" s="607" t="s">
        <v>561</v>
      </c>
      <c r="E48" s="604">
        <v>4773</v>
      </c>
      <c r="F48" s="604">
        <v>0</v>
      </c>
      <c r="G48" s="604">
        <v>0</v>
      </c>
      <c r="H48" s="604"/>
      <c r="I48" s="604"/>
      <c r="J48" s="604">
        <v>4773</v>
      </c>
      <c r="K48" s="607"/>
      <c r="L48" s="607"/>
      <c r="M48" s="604">
        <v>4773</v>
      </c>
      <c r="N48" s="604">
        <v>685</v>
      </c>
      <c r="O48" s="604">
        <f t="shared" si="0"/>
        <v>5458</v>
      </c>
    </row>
    <row r="49" spans="1:15" x14ac:dyDescent="0.2">
      <c r="A49" s="605">
        <v>45</v>
      </c>
      <c r="B49" s="160" t="s">
        <v>280</v>
      </c>
      <c r="C49" s="606" t="s">
        <v>281</v>
      </c>
      <c r="D49" s="607" t="s">
        <v>561</v>
      </c>
      <c r="E49" s="604">
        <v>21976</v>
      </c>
      <c r="F49" s="604">
        <v>0</v>
      </c>
      <c r="G49" s="604">
        <v>3914</v>
      </c>
      <c r="H49" s="604"/>
      <c r="I49" s="604"/>
      <c r="J49" s="604">
        <v>18062</v>
      </c>
      <c r="K49" s="607"/>
      <c r="L49" s="607"/>
      <c r="M49" s="604">
        <v>21976</v>
      </c>
      <c r="N49" s="604">
        <v>0</v>
      </c>
      <c r="O49" s="604">
        <f t="shared" si="0"/>
        <v>21976</v>
      </c>
    </row>
    <row r="50" spans="1:15" x14ac:dyDescent="0.2">
      <c r="A50" s="605">
        <v>46</v>
      </c>
      <c r="B50" s="76" t="s">
        <v>103</v>
      </c>
      <c r="C50" s="606" t="s">
        <v>104</v>
      </c>
      <c r="D50" s="607" t="s">
        <v>563</v>
      </c>
      <c r="E50" s="604">
        <v>12932</v>
      </c>
      <c r="F50" s="604">
        <v>6</v>
      </c>
      <c r="G50" s="604">
        <v>0</v>
      </c>
      <c r="H50" s="604">
        <v>361</v>
      </c>
      <c r="I50" s="604">
        <v>91</v>
      </c>
      <c r="J50" s="604">
        <v>12474</v>
      </c>
      <c r="K50" s="607"/>
      <c r="L50" s="607"/>
      <c r="M50" s="604">
        <v>12932</v>
      </c>
      <c r="N50" s="604">
        <v>0</v>
      </c>
      <c r="O50" s="604">
        <f t="shared" si="0"/>
        <v>12932</v>
      </c>
    </row>
    <row r="51" spans="1:15" x14ac:dyDescent="0.2">
      <c r="A51" s="605">
        <v>47</v>
      </c>
      <c r="B51" s="160" t="s">
        <v>20</v>
      </c>
      <c r="C51" s="606" t="s">
        <v>21</v>
      </c>
      <c r="D51" s="607" t="s">
        <v>563</v>
      </c>
      <c r="E51" s="604">
        <v>8803</v>
      </c>
      <c r="F51" s="604">
        <v>0</v>
      </c>
      <c r="G51" s="604">
        <v>0</v>
      </c>
      <c r="H51" s="604">
        <v>550</v>
      </c>
      <c r="I51" s="604">
        <v>160</v>
      </c>
      <c r="J51" s="604">
        <v>8093</v>
      </c>
      <c r="K51" s="607"/>
      <c r="L51" s="607"/>
      <c r="M51" s="604">
        <v>8803</v>
      </c>
      <c r="N51" s="604">
        <v>0</v>
      </c>
      <c r="O51" s="604">
        <f t="shared" si="0"/>
        <v>8803</v>
      </c>
    </row>
    <row r="52" spans="1:15" x14ac:dyDescent="0.2">
      <c r="A52" s="605">
        <v>48</v>
      </c>
      <c r="B52" s="160" t="s">
        <v>161</v>
      </c>
      <c r="C52" s="606" t="s">
        <v>564</v>
      </c>
      <c r="D52" s="607" t="s">
        <v>563</v>
      </c>
      <c r="E52" s="604">
        <v>10192</v>
      </c>
      <c r="F52" s="604">
        <v>1</v>
      </c>
      <c r="G52" s="604">
        <v>964</v>
      </c>
      <c r="H52" s="604">
        <v>636</v>
      </c>
      <c r="I52" s="604">
        <v>570</v>
      </c>
      <c r="J52" s="604">
        <v>8021</v>
      </c>
      <c r="K52" s="607"/>
      <c r="L52" s="607"/>
      <c r="M52" s="604">
        <v>10192</v>
      </c>
      <c r="N52" s="604">
        <v>400</v>
      </c>
      <c r="O52" s="604">
        <f t="shared" si="0"/>
        <v>10592</v>
      </c>
    </row>
    <row r="53" spans="1:15" x14ac:dyDescent="0.2">
      <c r="A53" s="605">
        <v>49</v>
      </c>
      <c r="B53" s="76" t="s">
        <v>28</v>
      </c>
      <c r="C53" s="606" t="s">
        <v>29</v>
      </c>
      <c r="D53" s="607" t="s">
        <v>563</v>
      </c>
      <c r="E53" s="604">
        <v>7908</v>
      </c>
      <c r="F53" s="604">
        <v>0</v>
      </c>
      <c r="G53" s="604">
        <v>0</v>
      </c>
      <c r="H53" s="604">
        <v>140</v>
      </c>
      <c r="I53" s="604">
        <v>20</v>
      </c>
      <c r="J53" s="604">
        <v>7748</v>
      </c>
      <c r="K53" s="607"/>
      <c r="L53" s="607"/>
      <c r="M53" s="604">
        <v>7908</v>
      </c>
      <c r="N53" s="604">
        <v>0</v>
      </c>
      <c r="O53" s="604">
        <f t="shared" si="0"/>
        <v>7908</v>
      </c>
    </row>
    <row r="54" spans="1:15" x14ac:dyDescent="0.2">
      <c r="A54" s="605">
        <v>50</v>
      </c>
      <c r="B54" s="76" t="s">
        <v>87</v>
      </c>
      <c r="C54" s="606" t="s">
        <v>88</v>
      </c>
      <c r="D54" s="607" t="s">
        <v>563</v>
      </c>
      <c r="E54" s="604">
        <v>9881</v>
      </c>
      <c r="F54" s="604">
        <v>3</v>
      </c>
      <c r="G54" s="604">
        <v>0</v>
      </c>
      <c r="H54" s="604">
        <v>229</v>
      </c>
      <c r="I54" s="604">
        <v>110</v>
      </c>
      <c r="J54" s="604">
        <v>9539</v>
      </c>
      <c r="K54" s="607"/>
      <c r="L54" s="607"/>
      <c r="M54" s="604">
        <v>9881</v>
      </c>
      <c r="N54" s="604">
        <v>0</v>
      </c>
      <c r="O54" s="604">
        <f t="shared" si="0"/>
        <v>9881</v>
      </c>
    </row>
    <row r="55" spans="1:15" x14ac:dyDescent="0.2">
      <c r="A55" s="605">
        <v>51</v>
      </c>
      <c r="B55" s="160" t="s">
        <v>117</v>
      </c>
      <c r="C55" s="606" t="s">
        <v>118</v>
      </c>
      <c r="D55" s="607" t="s">
        <v>563</v>
      </c>
      <c r="E55" s="604">
        <v>18774</v>
      </c>
      <c r="F55" s="604">
        <v>15</v>
      </c>
      <c r="G55" s="604">
        <v>1117</v>
      </c>
      <c r="H55" s="604">
        <v>600</v>
      </c>
      <c r="I55" s="604">
        <v>250</v>
      </c>
      <c r="J55" s="604">
        <v>16792</v>
      </c>
      <c r="K55" s="607"/>
      <c r="L55" s="607"/>
      <c r="M55" s="604">
        <v>18774</v>
      </c>
      <c r="N55" s="604">
        <v>0</v>
      </c>
      <c r="O55" s="604">
        <f t="shared" si="0"/>
        <v>18774</v>
      </c>
    </row>
    <row r="56" spans="1:15" x14ac:dyDescent="0.2">
      <c r="A56" s="605">
        <v>52</v>
      </c>
      <c r="B56" s="76" t="s">
        <v>56</v>
      </c>
      <c r="C56" s="622" t="s">
        <v>57</v>
      </c>
      <c r="D56" s="607" t="s">
        <v>563</v>
      </c>
      <c r="E56" s="604">
        <v>8944</v>
      </c>
      <c r="F56" s="604">
        <v>22</v>
      </c>
      <c r="G56" s="604">
        <v>0</v>
      </c>
      <c r="H56" s="604">
        <v>230</v>
      </c>
      <c r="I56" s="604">
        <v>93</v>
      </c>
      <c r="J56" s="604">
        <v>8599</v>
      </c>
      <c r="K56" s="607"/>
      <c r="L56" s="607"/>
      <c r="M56" s="604">
        <v>8944</v>
      </c>
      <c r="N56" s="604">
        <v>416</v>
      </c>
      <c r="O56" s="604">
        <f t="shared" si="0"/>
        <v>9360</v>
      </c>
    </row>
    <row r="57" spans="1:15" x14ac:dyDescent="0.2">
      <c r="A57" s="605">
        <v>53</v>
      </c>
      <c r="B57" s="160" t="s">
        <v>185</v>
      </c>
      <c r="C57" s="606" t="s">
        <v>567</v>
      </c>
      <c r="D57" s="607" t="s">
        <v>563</v>
      </c>
      <c r="E57" s="604">
        <v>6303</v>
      </c>
      <c r="F57" s="604">
        <v>0</v>
      </c>
      <c r="G57" s="604">
        <v>0</v>
      </c>
      <c r="H57" s="604"/>
      <c r="I57" s="604"/>
      <c r="J57" s="604">
        <v>6303</v>
      </c>
      <c r="K57" s="607"/>
      <c r="L57" s="607"/>
      <c r="M57" s="604">
        <v>6303</v>
      </c>
      <c r="N57" s="604">
        <v>710</v>
      </c>
      <c r="O57" s="604">
        <f t="shared" si="0"/>
        <v>7013</v>
      </c>
    </row>
    <row r="58" spans="1:15" x14ac:dyDescent="0.2">
      <c r="A58" s="605">
        <v>54</v>
      </c>
      <c r="B58" s="160" t="s">
        <v>393</v>
      </c>
      <c r="C58" s="606" t="s">
        <v>394</v>
      </c>
      <c r="D58" s="607" t="s">
        <v>563</v>
      </c>
      <c r="E58" s="604">
        <v>0</v>
      </c>
      <c r="F58" s="604">
        <v>0</v>
      </c>
      <c r="G58" s="604">
        <v>0</v>
      </c>
      <c r="H58" s="604"/>
      <c r="I58" s="604"/>
      <c r="J58" s="604">
        <v>0</v>
      </c>
      <c r="K58" s="607"/>
      <c r="L58" s="607"/>
      <c r="M58" s="604">
        <v>0</v>
      </c>
      <c r="N58" s="604">
        <v>300</v>
      </c>
      <c r="O58" s="604">
        <f t="shared" si="0"/>
        <v>300</v>
      </c>
    </row>
    <row r="59" spans="1:15" x14ac:dyDescent="0.2">
      <c r="A59" s="605">
        <v>55</v>
      </c>
      <c r="B59" s="160" t="s">
        <v>243</v>
      </c>
      <c r="C59" s="606" t="s">
        <v>385</v>
      </c>
      <c r="D59" s="607" t="s">
        <v>563</v>
      </c>
      <c r="E59" s="604">
        <v>314</v>
      </c>
      <c r="F59" s="604">
        <v>0</v>
      </c>
      <c r="G59" s="604">
        <v>0</v>
      </c>
      <c r="H59" s="604"/>
      <c r="I59" s="604"/>
      <c r="J59" s="604">
        <v>314</v>
      </c>
      <c r="K59" s="607"/>
      <c r="L59" s="607"/>
      <c r="M59" s="604">
        <v>314</v>
      </c>
      <c r="N59" s="604">
        <v>0</v>
      </c>
      <c r="O59" s="604">
        <f t="shared" si="0"/>
        <v>314</v>
      </c>
    </row>
    <row r="60" spans="1:15" x14ac:dyDescent="0.2">
      <c r="A60" s="605">
        <v>56</v>
      </c>
      <c r="B60" s="160" t="s">
        <v>123</v>
      </c>
      <c r="C60" s="606" t="s">
        <v>568</v>
      </c>
      <c r="D60" s="607" t="s">
        <v>569</v>
      </c>
      <c r="E60" s="604">
        <v>590</v>
      </c>
      <c r="F60" s="604">
        <v>0</v>
      </c>
      <c r="G60" s="604">
        <v>0</v>
      </c>
      <c r="H60" s="604"/>
      <c r="I60" s="604"/>
      <c r="J60" s="604">
        <v>590</v>
      </c>
      <c r="K60" s="604">
        <v>487</v>
      </c>
      <c r="L60" s="604">
        <v>0</v>
      </c>
      <c r="M60" s="604">
        <v>1077</v>
      </c>
      <c r="N60" s="604">
        <v>0</v>
      </c>
      <c r="O60" s="604">
        <f t="shared" si="0"/>
        <v>1077</v>
      </c>
    </row>
    <row r="61" spans="1:15" x14ac:dyDescent="0.2">
      <c r="A61" s="623">
        <v>57</v>
      </c>
      <c r="B61" s="78" t="s">
        <v>205</v>
      </c>
      <c r="C61" s="611" t="s">
        <v>206</v>
      </c>
      <c r="D61" s="614" t="s">
        <v>569</v>
      </c>
      <c r="E61" s="609">
        <v>3305</v>
      </c>
      <c r="F61" s="609">
        <v>0</v>
      </c>
      <c r="G61" s="609">
        <v>0</v>
      </c>
      <c r="H61" s="609">
        <v>3</v>
      </c>
      <c r="I61" s="609"/>
      <c r="J61" s="609">
        <v>3302</v>
      </c>
      <c r="K61" s="609">
        <v>94</v>
      </c>
      <c r="L61" s="609">
        <v>0</v>
      </c>
      <c r="M61" s="609">
        <v>3399</v>
      </c>
      <c r="N61" s="609">
        <v>0</v>
      </c>
      <c r="O61" s="609">
        <f t="shared" ref="O61" si="1">O62+O63</f>
        <v>3399</v>
      </c>
    </row>
    <row r="62" spans="1:15" x14ac:dyDescent="0.2">
      <c r="A62" s="616"/>
      <c r="B62" s="160"/>
      <c r="C62" s="610" t="s">
        <v>572</v>
      </c>
      <c r="D62" s="607" t="s">
        <v>795</v>
      </c>
      <c r="E62" s="604">
        <v>2906</v>
      </c>
      <c r="F62" s="604">
        <v>0</v>
      </c>
      <c r="G62" s="604">
        <v>0</v>
      </c>
      <c r="H62" s="604">
        <v>3</v>
      </c>
      <c r="I62" s="604">
        <v>0</v>
      </c>
      <c r="J62" s="604">
        <v>2903</v>
      </c>
      <c r="K62" s="604"/>
      <c r="L62" s="604"/>
      <c r="M62" s="604">
        <v>2906</v>
      </c>
      <c r="N62" s="604">
        <v>0</v>
      </c>
      <c r="O62" s="604">
        <f t="shared" si="0"/>
        <v>2906</v>
      </c>
    </row>
    <row r="63" spans="1:15" x14ac:dyDescent="0.2">
      <c r="A63" s="616"/>
      <c r="B63" s="160"/>
      <c r="C63" s="610" t="s">
        <v>572</v>
      </c>
      <c r="D63" s="607" t="s">
        <v>571</v>
      </c>
      <c r="E63" s="604">
        <v>399</v>
      </c>
      <c r="F63" s="604">
        <v>0</v>
      </c>
      <c r="G63" s="604">
        <v>0</v>
      </c>
      <c r="H63" s="604"/>
      <c r="I63" s="604"/>
      <c r="J63" s="604">
        <v>399</v>
      </c>
      <c r="K63" s="604">
        <v>94</v>
      </c>
      <c r="L63" s="604">
        <v>0</v>
      </c>
      <c r="M63" s="604">
        <v>493</v>
      </c>
      <c r="N63" s="604">
        <v>0</v>
      </c>
      <c r="O63" s="604">
        <f t="shared" si="0"/>
        <v>493</v>
      </c>
    </row>
    <row r="64" spans="1:15" x14ac:dyDescent="0.2">
      <c r="A64" s="623">
        <v>58</v>
      </c>
      <c r="B64" s="78" t="s">
        <v>97</v>
      </c>
      <c r="C64" s="611" t="s">
        <v>565</v>
      </c>
      <c r="D64" s="614" t="s">
        <v>569</v>
      </c>
      <c r="E64" s="609">
        <v>585</v>
      </c>
      <c r="F64" s="609">
        <v>3</v>
      </c>
      <c r="G64" s="609">
        <v>0</v>
      </c>
      <c r="H64" s="609"/>
      <c r="I64" s="609"/>
      <c r="J64" s="609">
        <v>582</v>
      </c>
      <c r="K64" s="609">
        <v>150</v>
      </c>
      <c r="L64" s="609">
        <v>5</v>
      </c>
      <c r="M64" s="609">
        <v>735</v>
      </c>
      <c r="N64" s="604">
        <v>0</v>
      </c>
      <c r="O64" s="609">
        <f t="shared" ref="O64" si="2">SUM(O65:O66)</f>
        <v>735</v>
      </c>
    </row>
    <row r="65" spans="1:15" x14ac:dyDescent="0.2">
      <c r="A65" s="616"/>
      <c r="B65" s="160"/>
      <c r="C65" s="610" t="s">
        <v>572</v>
      </c>
      <c r="D65" s="607" t="s">
        <v>563</v>
      </c>
      <c r="E65" s="604">
        <v>368</v>
      </c>
      <c r="F65" s="604">
        <v>3</v>
      </c>
      <c r="G65" s="604">
        <v>0</v>
      </c>
      <c r="H65" s="604"/>
      <c r="I65" s="604"/>
      <c r="J65" s="604">
        <v>365</v>
      </c>
      <c r="K65" s="604"/>
      <c r="L65" s="604"/>
      <c r="M65" s="604">
        <v>368</v>
      </c>
      <c r="N65" s="604">
        <v>0</v>
      </c>
      <c r="O65" s="604">
        <f t="shared" si="0"/>
        <v>368</v>
      </c>
    </row>
    <row r="66" spans="1:15" x14ac:dyDescent="0.2">
      <c r="A66" s="616"/>
      <c r="B66" s="160"/>
      <c r="C66" s="610" t="s">
        <v>572</v>
      </c>
      <c r="D66" s="607" t="s">
        <v>571</v>
      </c>
      <c r="E66" s="604">
        <v>217</v>
      </c>
      <c r="F66" s="604">
        <v>0</v>
      </c>
      <c r="G66" s="604">
        <v>0</v>
      </c>
      <c r="H66" s="604"/>
      <c r="I66" s="604"/>
      <c r="J66" s="604">
        <v>217</v>
      </c>
      <c r="K66" s="604">
        <v>150</v>
      </c>
      <c r="L66" s="604">
        <v>5</v>
      </c>
      <c r="M66" s="604">
        <v>367</v>
      </c>
      <c r="N66" s="604">
        <v>0</v>
      </c>
      <c r="O66" s="604">
        <f>M66+N66</f>
        <v>367</v>
      </c>
    </row>
    <row r="67" spans="1:15" x14ac:dyDescent="0.2">
      <c r="A67" s="623">
        <v>59</v>
      </c>
      <c r="B67" s="78" t="s">
        <v>83</v>
      </c>
      <c r="C67" s="611" t="s">
        <v>84</v>
      </c>
      <c r="D67" s="614" t="s">
        <v>569</v>
      </c>
      <c r="E67" s="609">
        <v>11065</v>
      </c>
      <c r="F67" s="609">
        <v>30</v>
      </c>
      <c r="G67" s="609">
        <v>0</v>
      </c>
      <c r="H67" s="609">
        <v>400</v>
      </c>
      <c r="I67" s="609">
        <v>164</v>
      </c>
      <c r="J67" s="609">
        <v>10471</v>
      </c>
      <c r="K67" s="609">
        <v>130</v>
      </c>
      <c r="L67" s="609">
        <v>0</v>
      </c>
      <c r="M67" s="609">
        <v>11195</v>
      </c>
      <c r="N67" s="604">
        <v>0</v>
      </c>
      <c r="O67" s="609">
        <f t="shared" ref="O67" si="3">SUM(O68:O69)</f>
        <v>11195</v>
      </c>
    </row>
    <row r="68" spans="1:15" x14ac:dyDescent="0.2">
      <c r="A68" s="616"/>
      <c r="B68" s="160"/>
      <c r="C68" s="610" t="s">
        <v>572</v>
      </c>
      <c r="D68" s="607" t="s">
        <v>563</v>
      </c>
      <c r="E68" s="604">
        <v>8591</v>
      </c>
      <c r="F68" s="604">
        <v>30</v>
      </c>
      <c r="G68" s="604">
        <v>0</v>
      </c>
      <c r="H68" s="604">
        <v>400</v>
      </c>
      <c r="I68" s="604">
        <v>164</v>
      </c>
      <c r="J68" s="604">
        <v>7997</v>
      </c>
      <c r="K68" s="604"/>
      <c r="L68" s="604"/>
      <c r="M68" s="604">
        <v>8591</v>
      </c>
      <c r="N68" s="604">
        <v>0</v>
      </c>
      <c r="O68" s="604">
        <f t="shared" ref="O68:O72" si="4">M68+N68</f>
        <v>8591</v>
      </c>
    </row>
    <row r="69" spans="1:15" x14ac:dyDescent="0.2">
      <c r="A69" s="616"/>
      <c r="B69" s="160"/>
      <c r="C69" s="610" t="s">
        <v>572</v>
      </c>
      <c r="D69" s="607" t="s">
        <v>571</v>
      </c>
      <c r="E69" s="604">
        <v>2474</v>
      </c>
      <c r="F69" s="604">
        <v>0</v>
      </c>
      <c r="G69" s="604">
        <v>0</v>
      </c>
      <c r="H69" s="604"/>
      <c r="I69" s="604"/>
      <c r="J69" s="604">
        <v>2474</v>
      </c>
      <c r="K69" s="604">
        <v>130</v>
      </c>
      <c r="L69" s="604">
        <v>0</v>
      </c>
      <c r="M69" s="604">
        <v>2604</v>
      </c>
      <c r="N69" s="604">
        <v>0</v>
      </c>
      <c r="O69" s="604">
        <f t="shared" si="4"/>
        <v>2604</v>
      </c>
    </row>
    <row r="70" spans="1:15" x14ac:dyDescent="0.2">
      <c r="A70" s="623">
        <v>60</v>
      </c>
      <c r="B70" s="78" t="s">
        <v>68</v>
      </c>
      <c r="C70" s="611" t="s">
        <v>566</v>
      </c>
      <c r="D70" s="607" t="s">
        <v>569</v>
      </c>
      <c r="E70" s="609">
        <v>7161</v>
      </c>
      <c r="F70" s="609">
        <v>7</v>
      </c>
      <c r="G70" s="609">
        <v>0</v>
      </c>
      <c r="H70" s="609"/>
      <c r="I70" s="609"/>
      <c r="J70" s="609">
        <v>7154</v>
      </c>
      <c r="K70" s="609">
        <v>0</v>
      </c>
      <c r="L70" s="609">
        <v>0</v>
      </c>
      <c r="M70" s="609">
        <v>7161</v>
      </c>
      <c r="N70" s="604">
        <v>0</v>
      </c>
      <c r="O70" s="609">
        <f t="shared" ref="O70" si="5">O71+O72</f>
        <v>7161</v>
      </c>
    </row>
    <row r="71" spans="1:15" x14ac:dyDescent="0.2">
      <c r="A71" s="616"/>
      <c r="B71" s="160"/>
      <c r="C71" s="610" t="s">
        <v>572</v>
      </c>
      <c r="D71" s="607" t="s">
        <v>563</v>
      </c>
      <c r="E71" s="604">
        <v>6071</v>
      </c>
      <c r="F71" s="604">
        <v>7</v>
      </c>
      <c r="G71" s="604">
        <v>0</v>
      </c>
      <c r="H71" s="604"/>
      <c r="I71" s="604"/>
      <c r="J71" s="604">
        <v>6064</v>
      </c>
      <c r="K71" s="604"/>
      <c r="L71" s="604"/>
      <c r="M71" s="604">
        <v>6071</v>
      </c>
      <c r="N71" s="604">
        <v>0</v>
      </c>
      <c r="O71" s="604">
        <f t="shared" si="4"/>
        <v>6071</v>
      </c>
    </row>
    <row r="72" spans="1:15" x14ac:dyDescent="0.2">
      <c r="A72" s="616"/>
      <c r="B72" s="160"/>
      <c r="C72" s="610" t="s">
        <v>572</v>
      </c>
      <c r="D72" s="607" t="s">
        <v>571</v>
      </c>
      <c r="E72" s="604">
        <v>1090</v>
      </c>
      <c r="F72" s="604">
        <v>0</v>
      </c>
      <c r="G72" s="604">
        <v>0</v>
      </c>
      <c r="H72" s="604"/>
      <c r="I72" s="604"/>
      <c r="J72" s="604">
        <v>1090</v>
      </c>
      <c r="K72" s="604">
        <v>0</v>
      </c>
      <c r="L72" s="604">
        <v>0</v>
      </c>
      <c r="M72" s="604">
        <v>1090</v>
      </c>
      <c r="N72" s="604">
        <v>0</v>
      </c>
      <c r="O72" s="604">
        <f t="shared" si="4"/>
        <v>1090</v>
      </c>
    </row>
    <row r="73" spans="1:15" s="615" customFormat="1" x14ac:dyDescent="0.2">
      <c r="A73" s="623">
        <v>61</v>
      </c>
      <c r="B73" s="77" t="s">
        <v>77</v>
      </c>
      <c r="C73" s="611" t="s">
        <v>570</v>
      </c>
      <c r="D73" s="614" t="s">
        <v>571</v>
      </c>
      <c r="E73" s="609">
        <v>11030</v>
      </c>
      <c r="F73" s="609">
        <v>203</v>
      </c>
      <c r="G73" s="609">
        <v>0</v>
      </c>
      <c r="H73" s="609">
        <v>470</v>
      </c>
      <c r="I73" s="609">
        <v>400</v>
      </c>
      <c r="J73" s="609">
        <v>9957</v>
      </c>
      <c r="K73" s="609">
        <v>125</v>
      </c>
      <c r="L73" s="609">
        <v>0</v>
      </c>
      <c r="M73" s="609">
        <v>11155</v>
      </c>
      <c r="N73" s="604">
        <v>412</v>
      </c>
      <c r="O73" s="609">
        <f>SUM(O74:O75)</f>
        <v>11567</v>
      </c>
    </row>
    <row r="74" spans="1:15" x14ac:dyDescent="0.2">
      <c r="A74" s="616"/>
      <c r="B74" s="605"/>
      <c r="C74" s="610" t="s">
        <v>572</v>
      </c>
      <c r="D74" s="607" t="s">
        <v>561</v>
      </c>
      <c r="E74" s="604">
        <v>10010</v>
      </c>
      <c r="F74" s="604">
        <v>203</v>
      </c>
      <c r="G74" s="604">
        <v>0</v>
      </c>
      <c r="H74" s="604">
        <v>470</v>
      </c>
      <c r="I74" s="604">
        <v>400</v>
      </c>
      <c r="J74" s="604">
        <v>8937</v>
      </c>
      <c r="K74" s="607"/>
      <c r="L74" s="607"/>
      <c r="M74" s="604">
        <v>10010</v>
      </c>
      <c r="N74" s="604">
        <v>412</v>
      </c>
      <c r="O74" s="604">
        <f t="shared" ref="O74:O75" si="6">M74+N74</f>
        <v>10422</v>
      </c>
    </row>
    <row r="75" spans="1:15" x14ac:dyDescent="0.2">
      <c r="A75" s="616"/>
      <c r="B75" s="605"/>
      <c r="C75" s="610" t="s">
        <v>572</v>
      </c>
      <c r="D75" s="607" t="s">
        <v>571</v>
      </c>
      <c r="E75" s="604">
        <v>1020</v>
      </c>
      <c r="F75" s="604">
        <v>0</v>
      </c>
      <c r="G75" s="604">
        <v>0</v>
      </c>
      <c r="H75" s="604"/>
      <c r="I75" s="604"/>
      <c r="J75" s="604">
        <v>1020</v>
      </c>
      <c r="K75" s="604">
        <v>125</v>
      </c>
      <c r="L75" s="604">
        <v>0</v>
      </c>
      <c r="M75" s="604">
        <v>1145</v>
      </c>
      <c r="N75" s="604">
        <v>0</v>
      </c>
      <c r="O75" s="604">
        <f t="shared" si="6"/>
        <v>1145</v>
      </c>
    </row>
    <row r="76" spans="1:15" s="615" customFormat="1" x14ac:dyDescent="0.2">
      <c r="A76" s="623">
        <v>62</v>
      </c>
      <c r="B76" s="77" t="s">
        <v>207</v>
      </c>
      <c r="C76" s="611" t="s">
        <v>208</v>
      </c>
      <c r="D76" s="614" t="s">
        <v>571</v>
      </c>
      <c r="E76" s="609">
        <v>4657</v>
      </c>
      <c r="F76" s="609">
        <v>105</v>
      </c>
      <c r="G76" s="609">
        <v>0</v>
      </c>
      <c r="H76" s="609">
        <v>560</v>
      </c>
      <c r="I76" s="609">
        <v>170</v>
      </c>
      <c r="J76" s="609">
        <v>3822</v>
      </c>
      <c r="K76" s="609">
        <v>253</v>
      </c>
      <c r="L76" s="609">
        <v>0</v>
      </c>
      <c r="M76" s="609">
        <v>4910</v>
      </c>
      <c r="N76" s="604">
        <v>422</v>
      </c>
      <c r="O76" s="609">
        <f>SUM(O77:O78)</f>
        <v>5332</v>
      </c>
    </row>
    <row r="77" spans="1:15" x14ac:dyDescent="0.2">
      <c r="A77" s="616"/>
      <c r="B77" s="605"/>
      <c r="C77" s="610" t="s">
        <v>572</v>
      </c>
      <c r="D77" s="607" t="s">
        <v>561</v>
      </c>
      <c r="E77" s="604">
        <v>3641</v>
      </c>
      <c r="F77" s="604">
        <v>105</v>
      </c>
      <c r="G77" s="604">
        <v>0</v>
      </c>
      <c r="H77" s="604">
        <v>560</v>
      </c>
      <c r="I77" s="604">
        <v>170</v>
      </c>
      <c r="J77" s="604">
        <v>2806</v>
      </c>
      <c r="K77" s="607"/>
      <c r="L77" s="607"/>
      <c r="M77" s="604">
        <v>3641</v>
      </c>
      <c r="N77" s="604">
        <v>422</v>
      </c>
      <c r="O77" s="604">
        <f t="shared" ref="O77:O78" si="7">M77+N77</f>
        <v>4063</v>
      </c>
    </row>
    <row r="78" spans="1:15" x14ac:dyDescent="0.2">
      <c r="A78" s="616"/>
      <c r="B78" s="605"/>
      <c r="C78" s="610" t="s">
        <v>572</v>
      </c>
      <c r="D78" s="616" t="s">
        <v>571</v>
      </c>
      <c r="E78" s="613">
        <v>1016</v>
      </c>
      <c r="F78" s="612">
        <v>0</v>
      </c>
      <c r="G78" s="613">
        <v>0</v>
      </c>
      <c r="H78" s="613"/>
      <c r="I78" s="613"/>
      <c r="J78" s="613">
        <v>1016</v>
      </c>
      <c r="K78" s="617">
        <v>253</v>
      </c>
      <c r="L78" s="617">
        <v>0</v>
      </c>
      <c r="M78" s="604">
        <v>1269</v>
      </c>
      <c r="N78" s="604">
        <v>0</v>
      </c>
      <c r="O78" s="604">
        <f t="shared" si="7"/>
        <v>1269</v>
      </c>
    </row>
    <row r="79" spans="1:15" s="615" customFormat="1" x14ac:dyDescent="0.2">
      <c r="A79" s="623">
        <v>63</v>
      </c>
      <c r="B79" s="78" t="s">
        <v>50</v>
      </c>
      <c r="C79" s="611" t="s">
        <v>51</v>
      </c>
      <c r="D79" s="614" t="s">
        <v>571</v>
      </c>
      <c r="E79" s="609">
        <v>17366</v>
      </c>
      <c r="F79" s="609">
        <v>137</v>
      </c>
      <c r="G79" s="609">
        <v>0</v>
      </c>
      <c r="H79" s="609">
        <v>1200</v>
      </c>
      <c r="I79" s="609">
        <v>488</v>
      </c>
      <c r="J79" s="609">
        <v>15541</v>
      </c>
      <c r="K79" s="609">
        <v>203</v>
      </c>
      <c r="L79" s="609">
        <v>0</v>
      </c>
      <c r="M79" s="609">
        <v>17569</v>
      </c>
      <c r="N79" s="604">
        <v>375</v>
      </c>
      <c r="O79" s="609">
        <f>SUM(O80:O81)</f>
        <v>17944</v>
      </c>
    </row>
    <row r="80" spans="1:15" x14ac:dyDescent="0.2">
      <c r="A80" s="616"/>
      <c r="B80" s="605"/>
      <c r="C80" s="610" t="s">
        <v>572</v>
      </c>
      <c r="D80" s="607" t="s">
        <v>561</v>
      </c>
      <c r="E80" s="604">
        <v>15467</v>
      </c>
      <c r="F80" s="604">
        <v>137</v>
      </c>
      <c r="G80" s="604">
        <v>0</v>
      </c>
      <c r="H80" s="604">
        <v>1200</v>
      </c>
      <c r="I80" s="604">
        <v>488</v>
      </c>
      <c r="J80" s="604">
        <v>13642</v>
      </c>
      <c r="K80" s="607"/>
      <c r="L80" s="607"/>
      <c r="M80" s="604">
        <v>15467</v>
      </c>
      <c r="N80" s="604">
        <v>375</v>
      </c>
      <c r="O80" s="604">
        <f t="shared" ref="O80:O81" si="8">M80+N80</f>
        <v>15842</v>
      </c>
    </row>
    <row r="81" spans="1:15" x14ac:dyDescent="0.2">
      <c r="A81" s="616"/>
      <c r="B81" s="605"/>
      <c r="C81" s="610" t="s">
        <v>572</v>
      </c>
      <c r="D81" s="612" t="s">
        <v>573</v>
      </c>
      <c r="E81" s="613">
        <v>1899</v>
      </c>
      <c r="F81" s="612">
        <v>0</v>
      </c>
      <c r="G81" s="613">
        <v>0</v>
      </c>
      <c r="H81" s="613"/>
      <c r="I81" s="613"/>
      <c r="J81" s="613">
        <v>1899</v>
      </c>
      <c r="K81" s="617">
        <v>203</v>
      </c>
      <c r="L81" s="617">
        <v>0</v>
      </c>
      <c r="M81" s="604">
        <v>2102</v>
      </c>
      <c r="N81" s="604">
        <v>0</v>
      </c>
      <c r="O81" s="604">
        <f t="shared" si="8"/>
        <v>2102</v>
      </c>
    </row>
    <row r="82" spans="1:15" s="615" customFormat="1" x14ac:dyDescent="0.2">
      <c r="A82" s="623">
        <v>64</v>
      </c>
      <c r="B82" s="78" t="s">
        <v>99</v>
      </c>
      <c r="C82" s="611" t="s">
        <v>574</v>
      </c>
      <c r="D82" s="614" t="s">
        <v>571</v>
      </c>
      <c r="E82" s="609">
        <v>15259</v>
      </c>
      <c r="F82" s="609">
        <v>172</v>
      </c>
      <c r="G82" s="609">
        <v>0</v>
      </c>
      <c r="H82" s="609">
        <v>700</v>
      </c>
      <c r="I82" s="609">
        <v>347</v>
      </c>
      <c r="J82" s="609">
        <v>14040</v>
      </c>
      <c r="K82" s="609">
        <v>20</v>
      </c>
      <c r="L82" s="609">
        <v>10</v>
      </c>
      <c r="M82" s="609">
        <v>15279</v>
      </c>
      <c r="N82" s="604">
        <v>721</v>
      </c>
      <c r="O82" s="609">
        <f>SUM(O83:O84)</f>
        <v>16000</v>
      </c>
    </row>
    <row r="83" spans="1:15" x14ac:dyDescent="0.2">
      <c r="A83" s="616"/>
      <c r="B83" s="605"/>
      <c r="C83" s="610" t="s">
        <v>572</v>
      </c>
      <c r="D83" s="607" t="s">
        <v>563</v>
      </c>
      <c r="E83" s="604">
        <v>14300</v>
      </c>
      <c r="F83" s="604">
        <v>27</v>
      </c>
      <c r="G83" s="604">
        <v>0</v>
      </c>
      <c r="H83" s="604">
        <v>700</v>
      </c>
      <c r="I83" s="604">
        <v>347</v>
      </c>
      <c r="J83" s="604">
        <v>13226</v>
      </c>
      <c r="K83" s="607"/>
      <c r="L83" s="607"/>
      <c r="M83" s="604">
        <v>14300</v>
      </c>
      <c r="N83" s="604">
        <v>721</v>
      </c>
      <c r="O83" s="604">
        <f t="shared" ref="O83:O84" si="9">M83+N83</f>
        <v>15021</v>
      </c>
    </row>
    <row r="84" spans="1:15" x14ac:dyDescent="0.2">
      <c r="A84" s="616"/>
      <c r="B84" s="605"/>
      <c r="C84" s="610" t="s">
        <v>572</v>
      </c>
      <c r="D84" s="607" t="s">
        <v>571</v>
      </c>
      <c r="E84" s="613">
        <v>959</v>
      </c>
      <c r="F84" s="613">
        <v>145</v>
      </c>
      <c r="G84" s="613">
        <v>0</v>
      </c>
      <c r="H84" s="613"/>
      <c r="I84" s="613"/>
      <c r="J84" s="613">
        <v>814</v>
      </c>
      <c r="K84" s="617">
        <v>20</v>
      </c>
      <c r="L84" s="617">
        <v>10</v>
      </c>
      <c r="M84" s="604">
        <v>979</v>
      </c>
      <c r="N84" s="604">
        <v>0</v>
      </c>
      <c r="O84" s="604">
        <f t="shared" si="9"/>
        <v>979</v>
      </c>
    </row>
    <row r="85" spans="1:15" s="615" customFormat="1" x14ac:dyDescent="0.2">
      <c r="A85" s="623">
        <v>65</v>
      </c>
      <c r="B85" s="78" t="s">
        <v>26</v>
      </c>
      <c r="C85" s="611" t="s">
        <v>575</v>
      </c>
      <c r="D85" s="614" t="s">
        <v>571</v>
      </c>
      <c r="E85" s="609">
        <v>21176</v>
      </c>
      <c r="F85" s="609">
        <v>141</v>
      </c>
      <c r="G85" s="609">
        <v>0</v>
      </c>
      <c r="H85" s="609">
        <v>620</v>
      </c>
      <c r="I85" s="609">
        <v>350</v>
      </c>
      <c r="J85" s="609">
        <v>20065</v>
      </c>
      <c r="K85" s="609">
        <v>269</v>
      </c>
      <c r="L85" s="609">
        <v>0</v>
      </c>
      <c r="M85" s="609">
        <v>21445</v>
      </c>
      <c r="N85" s="604">
        <v>759</v>
      </c>
      <c r="O85" s="609">
        <f>SUM(O86:O87)</f>
        <v>22204</v>
      </c>
    </row>
    <row r="86" spans="1:15" x14ac:dyDescent="0.2">
      <c r="A86" s="616"/>
      <c r="B86" s="605"/>
      <c r="C86" s="610" t="s">
        <v>572</v>
      </c>
      <c r="D86" s="607" t="s">
        <v>563</v>
      </c>
      <c r="E86" s="604">
        <v>20984</v>
      </c>
      <c r="F86" s="604">
        <v>141</v>
      </c>
      <c r="G86" s="604">
        <v>0</v>
      </c>
      <c r="H86" s="604">
        <v>620</v>
      </c>
      <c r="I86" s="604">
        <v>350</v>
      </c>
      <c r="J86" s="604">
        <v>19873</v>
      </c>
      <c r="K86" s="607"/>
      <c r="L86" s="607"/>
      <c r="M86" s="604">
        <v>20984</v>
      </c>
      <c r="N86" s="604">
        <v>759</v>
      </c>
      <c r="O86" s="604">
        <f t="shared" ref="O86:O87" si="10">M86+N86</f>
        <v>21743</v>
      </c>
    </row>
    <row r="87" spans="1:15" x14ac:dyDescent="0.2">
      <c r="A87" s="616"/>
      <c r="B87" s="605"/>
      <c r="C87" s="610" t="s">
        <v>572</v>
      </c>
      <c r="D87" s="607" t="s">
        <v>571</v>
      </c>
      <c r="E87" s="604">
        <v>192</v>
      </c>
      <c r="F87" s="604">
        <v>0</v>
      </c>
      <c r="G87" s="604">
        <v>0</v>
      </c>
      <c r="H87" s="604"/>
      <c r="I87" s="604"/>
      <c r="J87" s="604">
        <v>192</v>
      </c>
      <c r="K87" s="624">
        <v>269</v>
      </c>
      <c r="L87" s="624">
        <v>0</v>
      </c>
      <c r="M87" s="604">
        <v>461</v>
      </c>
      <c r="N87" s="604">
        <v>0</v>
      </c>
      <c r="O87" s="604">
        <f t="shared" si="10"/>
        <v>461</v>
      </c>
    </row>
    <row r="88" spans="1:15" s="615" customFormat="1" x14ac:dyDescent="0.2">
      <c r="A88" s="623">
        <v>66</v>
      </c>
      <c r="B88" s="625" t="s">
        <v>79</v>
      </c>
      <c r="C88" s="611" t="s">
        <v>576</v>
      </c>
      <c r="D88" s="614" t="s">
        <v>571</v>
      </c>
      <c r="E88" s="609">
        <v>17889</v>
      </c>
      <c r="F88" s="609">
        <v>124</v>
      </c>
      <c r="G88" s="609">
        <v>0</v>
      </c>
      <c r="H88" s="609">
        <v>450</v>
      </c>
      <c r="I88" s="609">
        <v>264</v>
      </c>
      <c r="J88" s="609">
        <v>17051</v>
      </c>
      <c r="K88" s="609">
        <v>467</v>
      </c>
      <c r="L88" s="609">
        <v>0</v>
      </c>
      <c r="M88" s="609">
        <v>18356</v>
      </c>
      <c r="N88" s="604">
        <v>0</v>
      </c>
      <c r="O88" s="609">
        <f>O89+O90</f>
        <v>18356</v>
      </c>
    </row>
    <row r="89" spans="1:15" x14ac:dyDescent="0.2">
      <c r="A89" s="616"/>
      <c r="B89" s="605"/>
      <c r="C89" s="610" t="s">
        <v>572</v>
      </c>
      <c r="D89" s="607" t="s">
        <v>561</v>
      </c>
      <c r="E89" s="604">
        <v>16058</v>
      </c>
      <c r="F89" s="604">
        <v>124</v>
      </c>
      <c r="G89" s="604">
        <v>0</v>
      </c>
      <c r="H89" s="604">
        <v>450</v>
      </c>
      <c r="I89" s="604">
        <v>264</v>
      </c>
      <c r="J89" s="604">
        <v>15220</v>
      </c>
      <c r="K89" s="607"/>
      <c r="L89" s="607"/>
      <c r="M89" s="604">
        <v>16058</v>
      </c>
      <c r="N89" s="604">
        <v>0</v>
      </c>
      <c r="O89" s="604">
        <f t="shared" ref="O89:O90" si="11">M89+N89</f>
        <v>16058</v>
      </c>
    </row>
    <row r="90" spans="1:15" x14ac:dyDescent="0.2">
      <c r="A90" s="616"/>
      <c r="B90" s="605"/>
      <c r="C90" s="610" t="s">
        <v>572</v>
      </c>
      <c r="D90" s="616" t="s">
        <v>571</v>
      </c>
      <c r="E90" s="613">
        <v>1831</v>
      </c>
      <c r="F90" s="613">
        <v>0</v>
      </c>
      <c r="G90" s="613">
        <v>0</v>
      </c>
      <c r="H90" s="604"/>
      <c r="I90" s="604"/>
      <c r="J90" s="613">
        <v>1831</v>
      </c>
      <c r="K90" s="624">
        <v>467</v>
      </c>
      <c r="L90" s="624">
        <v>0</v>
      </c>
      <c r="M90" s="604">
        <v>2298</v>
      </c>
      <c r="N90" s="604">
        <v>0</v>
      </c>
      <c r="O90" s="604">
        <f t="shared" si="11"/>
        <v>2298</v>
      </c>
    </row>
    <row r="91" spans="1:15" s="615" customFormat="1" x14ac:dyDescent="0.2">
      <c r="A91" s="623">
        <v>67</v>
      </c>
      <c r="B91" s="625" t="s">
        <v>66</v>
      </c>
      <c r="C91" s="611" t="s">
        <v>577</v>
      </c>
      <c r="D91" s="614" t="s">
        <v>571</v>
      </c>
      <c r="E91" s="609">
        <v>31890</v>
      </c>
      <c r="F91" s="609">
        <v>651</v>
      </c>
      <c r="G91" s="609">
        <v>0</v>
      </c>
      <c r="H91" s="609">
        <v>1750</v>
      </c>
      <c r="I91" s="609">
        <v>980</v>
      </c>
      <c r="J91" s="609">
        <v>28509</v>
      </c>
      <c r="K91" s="609">
        <v>1218</v>
      </c>
      <c r="L91" s="609">
        <v>145</v>
      </c>
      <c r="M91" s="609">
        <v>33108</v>
      </c>
      <c r="N91" s="604">
        <v>840</v>
      </c>
      <c r="O91" s="609">
        <f>O92+O93</f>
        <v>33948</v>
      </c>
    </row>
    <row r="92" spans="1:15" x14ac:dyDescent="0.2">
      <c r="A92" s="616"/>
      <c r="B92" s="605"/>
      <c r="C92" s="610" t="s">
        <v>572</v>
      </c>
      <c r="D92" s="607" t="s">
        <v>561</v>
      </c>
      <c r="E92" s="604">
        <v>23176</v>
      </c>
      <c r="F92" s="604">
        <v>178</v>
      </c>
      <c r="G92" s="604">
        <v>0</v>
      </c>
      <c r="H92" s="604">
        <v>1750</v>
      </c>
      <c r="I92" s="604">
        <v>980</v>
      </c>
      <c r="J92" s="604">
        <v>20268</v>
      </c>
      <c r="K92" s="607"/>
      <c r="L92" s="607"/>
      <c r="M92" s="604">
        <v>23176</v>
      </c>
      <c r="N92" s="604">
        <v>840</v>
      </c>
      <c r="O92" s="604">
        <f t="shared" ref="O92:O93" si="12">M92+N92</f>
        <v>24016</v>
      </c>
    </row>
    <row r="93" spans="1:15" x14ac:dyDescent="0.2">
      <c r="A93" s="616"/>
      <c r="B93" s="605"/>
      <c r="C93" s="610" t="s">
        <v>572</v>
      </c>
      <c r="D93" s="616" t="s">
        <v>571</v>
      </c>
      <c r="E93" s="613">
        <v>8714</v>
      </c>
      <c r="F93" s="613">
        <v>473</v>
      </c>
      <c r="G93" s="613">
        <v>0</v>
      </c>
      <c r="H93" s="613"/>
      <c r="I93" s="613"/>
      <c r="J93" s="613">
        <v>8241</v>
      </c>
      <c r="K93" s="617">
        <v>1218</v>
      </c>
      <c r="L93" s="617">
        <v>145</v>
      </c>
      <c r="M93" s="604">
        <v>9932</v>
      </c>
      <c r="N93" s="604">
        <v>0</v>
      </c>
      <c r="O93" s="604">
        <f t="shared" si="12"/>
        <v>9932</v>
      </c>
    </row>
    <row r="94" spans="1:15" s="615" customFormat="1" x14ac:dyDescent="0.2">
      <c r="A94" s="623">
        <v>68</v>
      </c>
      <c r="B94" s="625" t="s">
        <v>169</v>
      </c>
      <c r="C94" s="611" t="s">
        <v>402</v>
      </c>
      <c r="D94" s="614" t="s">
        <v>571</v>
      </c>
      <c r="E94" s="609">
        <v>12052</v>
      </c>
      <c r="F94" s="609">
        <v>1042</v>
      </c>
      <c r="G94" s="609">
        <v>0</v>
      </c>
      <c r="H94" s="609"/>
      <c r="I94" s="609"/>
      <c r="J94" s="609">
        <v>11010</v>
      </c>
      <c r="K94" s="609">
        <v>369</v>
      </c>
      <c r="L94" s="609">
        <v>0</v>
      </c>
      <c r="M94" s="609">
        <v>12421</v>
      </c>
      <c r="N94" s="604">
        <v>686</v>
      </c>
      <c r="O94" s="609">
        <f>SUM(O95:O96)</f>
        <v>13107</v>
      </c>
    </row>
    <row r="95" spans="1:15" x14ac:dyDescent="0.2">
      <c r="A95" s="616"/>
      <c r="B95" s="605"/>
      <c r="C95" s="610" t="s">
        <v>572</v>
      </c>
      <c r="D95" s="607" t="s">
        <v>563</v>
      </c>
      <c r="E95" s="604">
        <v>5953</v>
      </c>
      <c r="F95" s="604">
        <v>88</v>
      </c>
      <c r="G95" s="604">
        <v>0</v>
      </c>
      <c r="H95" s="604"/>
      <c r="I95" s="604"/>
      <c r="J95" s="604">
        <v>5865</v>
      </c>
      <c r="K95" s="607"/>
      <c r="L95" s="607"/>
      <c r="M95" s="604">
        <v>5953</v>
      </c>
      <c r="N95" s="604">
        <v>686</v>
      </c>
      <c r="O95" s="604">
        <f t="shared" ref="O95:O96" si="13">M95+N95</f>
        <v>6639</v>
      </c>
    </row>
    <row r="96" spans="1:15" x14ac:dyDescent="0.2">
      <c r="A96" s="616"/>
      <c r="B96" s="605"/>
      <c r="C96" s="610" t="s">
        <v>572</v>
      </c>
      <c r="D96" s="616" t="s">
        <v>571</v>
      </c>
      <c r="E96" s="613">
        <v>6099</v>
      </c>
      <c r="F96" s="613">
        <v>954</v>
      </c>
      <c r="G96" s="613">
        <v>0</v>
      </c>
      <c r="H96" s="613"/>
      <c r="I96" s="613"/>
      <c r="J96" s="613">
        <v>5145</v>
      </c>
      <c r="K96" s="617">
        <v>369</v>
      </c>
      <c r="L96" s="617">
        <v>0</v>
      </c>
      <c r="M96" s="604">
        <v>6468</v>
      </c>
      <c r="N96" s="604">
        <v>0</v>
      </c>
      <c r="O96" s="604">
        <f t="shared" si="13"/>
        <v>6468</v>
      </c>
    </row>
    <row r="97" spans="1:15" s="615" customFormat="1" x14ac:dyDescent="0.2">
      <c r="A97" s="623">
        <v>69</v>
      </c>
      <c r="B97" s="78" t="s">
        <v>165</v>
      </c>
      <c r="C97" s="611" t="s">
        <v>578</v>
      </c>
      <c r="D97" s="614" t="s">
        <v>571</v>
      </c>
      <c r="E97" s="609">
        <v>22405</v>
      </c>
      <c r="F97" s="609">
        <v>2</v>
      </c>
      <c r="G97" s="609">
        <v>0</v>
      </c>
      <c r="H97" s="609">
        <v>1190</v>
      </c>
      <c r="I97" s="609">
        <v>677</v>
      </c>
      <c r="J97" s="609">
        <v>20536</v>
      </c>
      <c r="K97" s="609">
        <v>1265</v>
      </c>
      <c r="L97" s="609">
        <v>0</v>
      </c>
      <c r="M97" s="609">
        <v>23670</v>
      </c>
      <c r="N97" s="604">
        <v>1047</v>
      </c>
      <c r="O97" s="609">
        <f>SUM(O98:O99)</f>
        <v>24717</v>
      </c>
    </row>
    <row r="98" spans="1:15" x14ac:dyDescent="0.2">
      <c r="A98" s="616"/>
      <c r="B98" s="605"/>
      <c r="C98" s="610" t="s">
        <v>572</v>
      </c>
      <c r="D98" s="607" t="s">
        <v>563</v>
      </c>
      <c r="E98" s="604">
        <v>17571</v>
      </c>
      <c r="F98" s="604">
        <v>2</v>
      </c>
      <c r="G98" s="604">
        <v>0</v>
      </c>
      <c r="H98" s="604">
        <v>1190</v>
      </c>
      <c r="I98" s="604">
        <v>677</v>
      </c>
      <c r="J98" s="604">
        <v>15702</v>
      </c>
      <c r="K98" s="607"/>
      <c r="L98" s="607"/>
      <c r="M98" s="604">
        <v>17571</v>
      </c>
      <c r="N98" s="604">
        <v>1047</v>
      </c>
      <c r="O98" s="604">
        <f t="shared" ref="O98:O99" si="14">M98+N98</f>
        <v>18618</v>
      </c>
    </row>
    <row r="99" spans="1:15" x14ac:dyDescent="0.2">
      <c r="A99" s="616"/>
      <c r="B99" s="605"/>
      <c r="C99" s="610" t="s">
        <v>572</v>
      </c>
      <c r="D99" s="607" t="s">
        <v>571</v>
      </c>
      <c r="E99" s="604">
        <v>4834</v>
      </c>
      <c r="F99" s="604">
        <v>0</v>
      </c>
      <c r="G99" s="604">
        <v>0</v>
      </c>
      <c r="H99" s="604"/>
      <c r="I99" s="604"/>
      <c r="J99" s="604">
        <v>4834</v>
      </c>
      <c r="K99" s="624">
        <v>1265</v>
      </c>
      <c r="L99" s="624">
        <v>0</v>
      </c>
      <c r="M99" s="604">
        <v>6099</v>
      </c>
      <c r="N99" s="604">
        <v>0</v>
      </c>
      <c r="O99" s="604">
        <f t="shared" si="14"/>
        <v>6099</v>
      </c>
    </row>
    <row r="100" spans="1:15" s="615" customFormat="1" x14ac:dyDescent="0.2">
      <c r="A100" s="623">
        <v>70</v>
      </c>
      <c r="B100" s="625" t="s">
        <v>175</v>
      </c>
      <c r="C100" s="611" t="s">
        <v>746</v>
      </c>
      <c r="D100" s="614" t="s">
        <v>571</v>
      </c>
      <c r="E100" s="609">
        <v>9724</v>
      </c>
      <c r="F100" s="609">
        <v>0</v>
      </c>
      <c r="G100" s="609">
        <v>0</v>
      </c>
      <c r="H100" s="609">
        <v>1745</v>
      </c>
      <c r="I100" s="609">
        <v>1615</v>
      </c>
      <c r="J100" s="609">
        <v>6364</v>
      </c>
      <c r="K100" s="609">
        <v>120</v>
      </c>
      <c r="L100" s="609">
        <v>0</v>
      </c>
      <c r="M100" s="609">
        <v>9844</v>
      </c>
      <c r="N100" s="604">
        <v>0</v>
      </c>
      <c r="O100" s="609">
        <f>O101+O102</f>
        <v>9844</v>
      </c>
    </row>
    <row r="101" spans="1:15" x14ac:dyDescent="0.2">
      <c r="A101" s="616"/>
      <c r="B101" s="605"/>
      <c r="C101" s="610" t="s">
        <v>572</v>
      </c>
      <c r="D101" s="607" t="s">
        <v>561</v>
      </c>
      <c r="E101" s="604">
        <v>3390</v>
      </c>
      <c r="F101" s="604">
        <v>0</v>
      </c>
      <c r="G101" s="604">
        <v>0</v>
      </c>
      <c r="H101" s="604">
        <v>1745</v>
      </c>
      <c r="I101" s="604">
        <v>1615</v>
      </c>
      <c r="J101" s="604">
        <v>30</v>
      </c>
      <c r="K101" s="607"/>
      <c r="L101" s="607"/>
      <c r="M101" s="604">
        <v>3390</v>
      </c>
      <c r="N101" s="604">
        <v>0</v>
      </c>
      <c r="O101" s="604">
        <f t="shared" ref="O101:O102" si="15">M101+N101</f>
        <v>3390</v>
      </c>
    </row>
    <row r="102" spans="1:15" ht="15.75" customHeight="1" x14ac:dyDescent="0.2">
      <c r="A102" s="616"/>
      <c r="B102" s="605"/>
      <c r="C102" s="610" t="s">
        <v>572</v>
      </c>
      <c r="D102" s="616" t="s">
        <v>571</v>
      </c>
      <c r="E102" s="613">
        <v>6334</v>
      </c>
      <c r="F102" s="613">
        <v>0</v>
      </c>
      <c r="G102" s="613">
        <v>0</v>
      </c>
      <c r="H102" s="613"/>
      <c r="I102" s="613"/>
      <c r="J102" s="613">
        <v>6334</v>
      </c>
      <c r="K102" s="613">
        <v>120</v>
      </c>
      <c r="L102" s="613">
        <v>0</v>
      </c>
      <c r="M102" s="626">
        <v>6454</v>
      </c>
      <c r="N102" s="604">
        <v>0</v>
      </c>
      <c r="O102" s="604">
        <f t="shared" si="15"/>
        <v>6454</v>
      </c>
    </row>
    <row r="103" spans="1:15" s="615" customFormat="1" x14ac:dyDescent="0.2">
      <c r="A103" s="623">
        <v>71</v>
      </c>
      <c r="B103" s="77" t="s">
        <v>58</v>
      </c>
      <c r="C103" s="611" t="s">
        <v>579</v>
      </c>
      <c r="D103" s="614" t="s">
        <v>571</v>
      </c>
      <c r="E103" s="609">
        <v>11079</v>
      </c>
      <c r="F103" s="609">
        <v>2</v>
      </c>
      <c r="G103" s="609">
        <v>287</v>
      </c>
      <c r="H103" s="609">
        <v>540</v>
      </c>
      <c r="I103" s="609">
        <v>223</v>
      </c>
      <c r="J103" s="609">
        <v>10027</v>
      </c>
      <c r="K103" s="609">
        <v>138</v>
      </c>
      <c r="L103" s="609">
        <v>0</v>
      </c>
      <c r="M103" s="609">
        <v>11217</v>
      </c>
      <c r="N103" s="604">
        <v>220</v>
      </c>
      <c r="O103" s="609">
        <f t="shared" ref="O103" si="16">O104+O105</f>
        <v>11437</v>
      </c>
    </row>
    <row r="104" spans="1:15" x14ac:dyDescent="0.2">
      <c r="A104" s="616"/>
      <c r="B104" s="605"/>
      <c r="C104" s="610" t="s">
        <v>572</v>
      </c>
      <c r="D104" s="607" t="s">
        <v>563</v>
      </c>
      <c r="E104" s="604">
        <v>9786</v>
      </c>
      <c r="F104" s="604">
        <v>2</v>
      </c>
      <c r="G104" s="604">
        <v>287</v>
      </c>
      <c r="H104" s="604">
        <v>540</v>
      </c>
      <c r="I104" s="604">
        <v>223</v>
      </c>
      <c r="J104" s="604">
        <v>8734</v>
      </c>
      <c r="K104" s="607"/>
      <c r="L104" s="607"/>
      <c r="M104" s="604">
        <v>9786</v>
      </c>
      <c r="N104" s="604">
        <v>220</v>
      </c>
      <c r="O104" s="604">
        <f t="shared" ref="O104" si="17">M104+N104</f>
        <v>10006</v>
      </c>
    </row>
    <row r="105" spans="1:15" x14ac:dyDescent="0.2">
      <c r="A105" s="616"/>
      <c r="B105" s="605"/>
      <c r="C105" s="610" t="s">
        <v>572</v>
      </c>
      <c r="D105" s="616" t="s">
        <v>571</v>
      </c>
      <c r="E105" s="613">
        <v>1293</v>
      </c>
      <c r="F105" s="613">
        <v>0</v>
      </c>
      <c r="G105" s="613">
        <v>0</v>
      </c>
      <c r="H105" s="613"/>
      <c r="I105" s="613"/>
      <c r="J105" s="613">
        <v>1293</v>
      </c>
      <c r="K105" s="617">
        <v>138</v>
      </c>
      <c r="L105" s="617">
        <v>0</v>
      </c>
      <c r="M105" s="617">
        <v>1431</v>
      </c>
      <c r="N105" s="604">
        <v>0</v>
      </c>
      <c r="O105" s="604">
        <f>M105+N105</f>
        <v>1431</v>
      </c>
    </row>
    <row r="106" spans="1:15" s="615" customFormat="1" x14ac:dyDescent="0.2">
      <c r="A106" s="623">
        <v>72</v>
      </c>
      <c r="B106" s="78" t="s">
        <v>260</v>
      </c>
      <c r="C106" s="611" t="s">
        <v>580</v>
      </c>
      <c r="D106" s="614" t="s">
        <v>581</v>
      </c>
      <c r="E106" s="609">
        <v>25497</v>
      </c>
      <c r="F106" s="609">
        <v>24395</v>
      </c>
      <c r="G106" s="609">
        <v>0</v>
      </c>
      <c r="H106" s="609"/>
      <c r="I106" s="609"/>
      <c r="J106" s="609">
        <v>1102</v>
      </c>
      <c r="K106" s="609">
        <v>1687</v>
      </c>
      <c r="L106" s="609">
        <v>1687</v>
      </c>
      <c r="M106" s="609">
        <v>27184</v>
      </c>
      <c r="N106" s="604">
        <v>0</v>
      </c>
      <c r="O106" s="609">
        <f t="shared" ref="O106" si="18">O107+O108</f>
        <v>27184</v>
      </c>
    </row>
    <row r="107" spans="1:15" x14ac:dyDescent="0.2">
      <c r="A107" s="616"/>
      <c r="B107" s="605"/>
      <c r="C107" s="610" t="s">
        <v>572</v>
      </c>
      <c r="D107" s="607" t="s">
        <v>561</v>
      </c>
      <c r="E107" s="604">
        <v>7306</v>
      </c>
      <c r="F107" s="604">
        <v>6993</v>
      </c>
      <c r="G107" s="604">
        <v>0</v>
      </c>
      <c r="H107" s="604"/>
      <c r="I107" s="604"/>
      <c r="J107" s="604">
        <v>313</v>
      </c>
      <c r="K107" s="607"/>
      <c r="L107" s="607"/>
      <c r="M107" s="604">
        <v>7306</v>
      </c>
      <c r="N107" s="604">
        <v>0</v>
      </c>
      <c r="O107" s="604">
        <f t="shared" ref="O107:O108" si="19">M107+N107</f>
        <v>7306</v>
      </c>
    </row>
    <row r="108" spans="1:15" x14ac:dyDescent="0.2">
      <c r="A108" s="616"/>
      <c r="B108" s="605"/>
      <c r="C108" s="610" t="s">
        <v>572</v>
      </c>
      <c r="D108" s="616" t="s">
        <v>581</v>
      </c>
      <c r="E108" s="613">
        <v>18191</v>
      </c>
      <c r="F108" s="613">
        <v>17402</v>
      </c>
      <c r="G108" s="613">
        <v>0</v>
      </c>
      <c r="H108" s="604"/>
      <c r="I108" s="604"/>
      <c r="J108" s="613">
        <v>789</v>
      </c>
      <c r="K108" s="604">
        <v>1687</v>
      </c>
      <c r="L108" s="604">
        <v>1687</v>
      </c>
      <c r="M108" s="604">
        <v>19878</v>
      </c>
      <c r="N108" s="604">
        <v>0</v>
      </c>
      <c r="O108" s="604">
        <f t="shared" si="19"/>
        <v>19878</v>
      </c>
    </row>
    <row r="109" spans="1:15" s="615" customFormat="1" x14ac:dyDescent="0.2">
      <c r="A109" s="623">
        <v>73</v>
      </c>
      <c r="B109" s="78" t="s">
        <v>262</v>
      </c>
      <c r="C109" s="611" t="s">
        <v>582</v>
      </c>
      <c r="D109" s="614" t="s">
        <v>581</v>
      </c>
      <c r="E109" s="609">
        <v>7460</v>
      </c>
      <c r="F109" s="609">
        <v>0</v>
      </c>
      <c r="G109" s="609">
        <v>0</v>
      </c>
      <c r="H109" s="609"/>
      <c r="I109" s="609"/>
      <c r="J109" s="609">
        <v>7460</v>
      </c>
      <c r="K109" s="609">
        <v>3680</v>
      </c>
      <c r="L109" s="609">
        <v>0</v>
      </c>
      <c r="M109" s="609">
        <v>11140</v>
      </c>
      <c r="N109" s="604">
        <v>844</v>
      </c>
      <c r="O109" s="609">
        <f>O110+O111</f>
        <v>11984</v>
      </c>
    </row>
    <row r="110" spans="1:15" x14ac:dyDescent="0.2">
      <c r="A110" s="616"/>
      <c r="B110" s="605"/>
      <c r="C110" s="610" t="s">
        <v>572</v>
      </c>
      <c r="D110" s="607" t="s">
        <v>561</v>
      </c>
      <c r="E110" s="604">
        <v>152</v>
      </c>
      <c r="F110" s="604">
        <v>0</v>
      </c>
      <c r="G110" s="604">
        <v>0</v>
      </c>
      <c r="H110" s="604"/>
      <c r="I110" s="604"/>
      <c r="J110" s="604">
        <v>152</v>
      </c>
      <c r="K110" s="607"/>
      <c r="L110" s="607"/>
      <c r="M110" s="604">
        <v>152</v>
      </c>
      <c r="N110" s="604">
        <v>844</v>
      </c>
      <c r="O110" s="604">
        <f t="shared" ref="O110:O111" si="20">M110+N110</f>
        <v>996</v>
      </c>
    </row>
    <row r="111" spans="1:15" x14ac:dyDescent="0.2">
      <c r="A111" s="616"/>
      <c r="B111" s="605"/>
      <c r="C111" s="610" t="s">
        <v>572</v>
      </c>
      <c r="D111" s="612" t="s">
        <v>581</v>
      </c>
      <c r="E111" s="613">
        <v>7308</v>
      </c>
      <c r="F111" s="613">
        <v>0</v>
      </c>
      <c r="G111" s="613">
        <v>0</v>
      </c>
      <c r="H111" s="604"/>
      <c r="I111" s="604"/>
      <c r="J111" s="613">
        <v>7308</v>
      </c>
      <c r="K111" s="604">
        <v>3680</v>
      </c>
      <c r="L111" s="604">
        <v>0</v>
      </c>
      <c r="M111" s="604">
        <v>10988</v>
      </c>
      <c r="N111" s="604">
        <v>0</v>
      </c>
      <c r="O111" s="604">
        <f t="shared" si="20"/>
        <v>10988</v>
      </c>
    </row>
    <row r="112" spans="1:15" s="615" customFormat="1" x14ac:dyDescent="0.2">
      <c r="A112" s="623">
        <v>74</v>
      </c>
      <c r="B112" s="625" t="s">
        <v>266</v>
      </c>
      <c r="C112" s="611" t="s">
        <v>267</v>
      </c>
      <c r="D112" s="614" t="s">
        <v>583</v>
      </c>
      <c r="E112" s="609">
        <v>6541</v>
      </c>
      <c r="F112" s="609">
        <v>0</v>
      </c>
      <c r="G112" s="609">
        <v>0</v>
      </c>
      <c r="H112" s="609"/>
      <c r="I112" s="609"/>
      <c r="J112" s="609">
        <v>6541</v>
      </c>
      <c r="K112" s="609">
        <v>48</v>
      </c>
      <c r="L112" s="609">
        <v>0</v>
      </c>
      <c r="M112" s="609">
        <v>6589</v>
      </c>
      <c r="N112" s="604">
        <v>0</v>
      </c>
      <c r="O112" s="609">
        <f>O113+O114</f>
        <v>6589</v>
      </c>
    </row>
    <row r="113" spans="1:15" x14ac:dyDescent="0.2">
      <c r="A113" s="616"/>
      <c r="B113" s="605"/>
      <c r="C113" s="610" t="s">
        <v>572</v>
      </c>
      <c r="D113" s="607" t="s">
        <v>561</v>
      </c>
      <c r="E113" s="604">
        <v>3206</v>
      </c>
      <c r="F113" s="604">
        <v>0</v>
      </c>
      <c r="G113" s="604">
        <v>0</v>
      </c>
      <c r="H113" s="604"/>
      <c r="I113" s="604"/>
      <c r="J113" s="604">
        <v>3206</v>
      </c>
      <c r="K113" s="607"/>
      <c r="L113" s="607"/>
      <c r="M113" s="604">
        <v>3206</v>
      </c>
      <c r="N113" s="604">
        <v>0</v>
      </c>
      <c r="O113" s="604">
        <f t="shared" ref="O113:O114" si="21">M113+N113</f>
        <v>3206</v>
      </c>
    </row>
    <row r="114" spans="1:15" x14ac:dyDescent="0.2">
      <c r="A114" s="616"/>
      <c r="B114" s="605"/>
      <c r="C114" s="610" t="s">
        <v>572</v>
      </c>
      <c r="D114" s="612" t="s">
        <v>581</v>
      </c>
      <c r="E114" s="613">
        <v>3335</v>
      </c>
      <c r="F114" s="613">
        <v>0</v>
      </c>
      <c r="G114" s="613">
        <v>0</v>
      </c>
      <c r="H114" s="604"/>
      <c r="I114" s="604"/>
      <c r="J114" s="613">
        <v>3335</v>
      </c>
      <c r="K114" s="604">
        <v>48</v>
      </c>
      <c r="L114" s="604">
        <v>0</v>
      </c>
      <c r="M114" s="604">
        <v>3383</v>
      </c>
      <c r="N114" s="604">
        <v>0</v>
      </c>
      <c r="O114" s="604">
        <f t="shared" si="21"/>
        <v>3383</v>
      </c>
    </row>
    <row r="115" spans="1:15" s="615" customFormat="1" x14ac:dyDescent="0.2">
      <c r="A115" s="623">
        <v>75</v>
      </c>
      <c r="B115" s="625" t="s">
        <v>268</v>
      </c>
      <c r="C115" s="611" t="s">
        <v>584</v>
      </c>
      <c r="D115" s="614" t="s">
        <v>581</v>
      </c>
      <c r="E115" s="609">
        <v>22251</v>
      </c>
      <c r="F115" s="609">
        <v>0</v>
      </c>
      <c r="G115" s="609">
        <v>0</v>
      </c>
      <c r="H115" s="609">
        <v>5265</v>
      </c>
      <c r="I115" s="609">
        <v>4108</v>
      </c>
      <c r="J115" s="609">
        <v>12878</v>
      </c>
      <c r="K115" s="609">
        <v>871</v>
      </c>
      <c r="L115" s="609">
        <v>0</v>
      </c>
      <c r="M115" s="609">
        <v>23122</v>
      </c>
      <c r="N115" s="604">
        <v>0</v>
      </c>
      <c r="O115" s="609">
        <f>O116+O117</f>
        <v>23122</v>
      </c>
    </row>
    <row r="116" spans="1:15" ht="15" customHeight="1" x14ac:dyDescent="0.2">
      <c r="A116" s="616"/>
      <c r="B116" s="605"/>
      <c r="C116" s="610" t="s">
        <v>572</v>
      </c>
      <c r="D116" s="607" t="s">
        <v>561</v>
      </c>
      <c r="E116" s="604">
        <v>9495</v>
      </c>
      <c r="F116" s="604">
        <v>0</v>
      </c>
      <c r="G116" s="604">
        <v>0</v>
      </c>
      <c r="H116" s="604">
        <v>5265</v>
      </c>
      <c r="I116" s="604">
        <v>4108</v>
      </c>
      <c r="J116" s="604">
        <v>122</v>
      </c>
      <c r="K116" s="607"/>
      <c r="L116" s="607"/>
      <c r="M116" s="604">
        <v>9495</v>
      </c>
      <c r="N116" s="604">
        <v>0</v>
      </c>
      <c r="O116" s="604">
        <f t="shared" ref="O116:O117" si="22">M116+N116</f>
        <v>9495</v>
      </c>
    </row>
    <row r="117" spans="1:15" ht="15" customHeight="1" x14ac:dyDescent="0.2">
      <c r="A117" s="616"/>
      <c r="B117" s="605"/>
      <c r="C117" s="610" t="s">
        <v>572</v>
      </c>
      <c r="D117" s="616" t="s">
        <v>581</v>
      </c>
      <c r="E117" s="613">
        <v>12756</v>
      </c>
      <c r="F117" s="613">
        <v>0</v>
      </c>
      <c r="G117" s="613">
        <v>0</v>
      </c>
      <c r="H117" s="613"/>
      <c r="I117" s="613"/>
      <c r="J117" s="613">
        <v>12756</v>
      </c>
      <c r="K117" s="617">
        <v>871</v>
      </c>
      <c r="L117" s="617">
        <v>0</v>
      </c>
      <c r="M117" s="604">
        <v>13627</v>
      </c>
      <c r="N117" s="604">
        <v>0</v>
      </c>
      <c r="O117" s="604">
        <f t="shared" si="22"/>
        <v>13627</v>
      </c>
    </row>
    <row r="118" spans="1:15" s="615" customFormat="1" x14ac:dyDescent="0.2">
      <c r="A118" s="623">
        <v>76</v>
      </c>
      <c r="B118" s="625" t="s">
        <v>276</v>
      </c>
      <c r="C118" s="611" t="s">
        <v>585</v>
      </c>
      <c r="D118" s="614" t="s">
        <v>581</v>
      </c>
      <c r="E118" s="609">
        <v>21597</v>
      </c>
      <c r="F118" s="609">
        <v>50</v>
      </c>
      <c r="G118" s="609">
        <v>0</v>
      </c>
      <c r="H118" s="609"/>
      <c r="I118" s="609"/>
      <c r="J118" s="609">
        <v>21547</v>
      </c>
      <c r="K118" s="609">
        <v>1118</v>
      </c>
      <c r="L118" s="609">
        <v>0</v>
      </c>
      <c r="M118" s="609">
        <v>22715</v>
      </c>
      <c r="N118" s="604">
        <v>1474</v>
      </c>
      <c r="O118" s="609">
        <f>O119+O120</f>
        <v>24189</v>
      </c>
    </row>
    <row r="119" spans="1:15" x14ac:dyDescent="0.2">
      <c r="A119" s="616"/>
      <c r="B119" s="605"/>
      <c r="C119" s="610" t="s">
        <v>572</v>
      </c>
      <c r="D119" s="607" t="s">
        <v>561</v>
      </c>
      <c r="E119" s="604">
        <v>11779</v>
      </c>
      <c r="F119" s="604">
        <v>50</v>
      </c>
      <c r="G119" s="604">
        <v>0</v>
      </c>
      <c r="H119" s="604"/>
      <c r="I119" s="604"/>
      <c r="J119" s="604">
        <v>11729</v>
      </c>
      <c r="K119" s="607"/>
      <c r="L119" s="607"/>
      <c r="M119" s="604">
        <v>11779</v>
      </c>
      <c r="N119" s="604">
        <v>1474</v>
      </c>
      <c r="O119" s="604">
        <f t="shared" ref="O119:O120" si="23">M119+N119</f>
        <v>13253</v>
      </c>
    </row>
    <row r="120" spans="1:15" ht="15.75" customHeight="1" x14ac:dyDescent="0.2">
      <c r="A120" s="616"/>
      <c r="B120" s="605"/>
      <c r="C120" s="610" t="s">
        <v>572</v>
      </c>
      <c r="D120" s="612" t="s">
        <v>581</v>
      </c>
      <c r="E120" s="613">
        <v>9818</v>
      </c>
      <c r="F120" s="613">
        <v>0</v>
      </c>
      <c r="G120" s="613">
        <v>0</v>
      </c>
      <c r="H120" s="613"/>
      <c r="I120" s="613"/>
      <c r="J120" s="613">
        <v>9818</v>
      </c>
      <c r="K120" s="617">
        <v>1118</v>
      </c>
      <c r="L120" s="617">
        <v>0</v>
      </c>
      <c r="M120" s="604">
        <v>10936</v>
      </c>
      <c r="N120" s="604">
        <v>0</v>
      </c>
      <c r="O120" s="604">
        <f t="shared" si="23"/>
        <v>10936</v>
      </c>
    </row>
    <row r="121" spans="1:15" s="615" customFormat="1" x14ac:dyDescent="0.2">
      <c r="A121" s="623">
        <v>77</v>
      </c>
      <c r="B121" s="625" t="s">
        <v>171</v>
      </c>
      <c r="C121" s="611" t="s">
        <v>586</v>
      </c>
      <c r="D121" s="614" t="s">
        <v>581</v>
      </c>
      <c r="E121" s="609">
        <v>10965</v>
      </c>
      <c r="F121" s="609">
        <v>0</v>
      </c>
      <c r="G121" s="609">
        <v>0</v>
      </c>
      <c r="H121" s="609"/>
      <c r="I121" s="609"/>
      <c r="J121" s="609">
        <v>10965</v>
      </c>
      <c r="K121" s="609">
        <v>401</v>
      </c>
      <c r="L121" s="609">
        <v>0</v>
      </c>
      <c r="M121" s="609">
        <v>11366</v>
      </c>
      <c r="N121" s="604">
        <v>3932</v>
      </c>
      <c r="O121" s="609">
        <f>O122+O123</f>
        <v>15298</v>
      </c>
    </row>
    <row r="122" spans="1:15" x14ac:dyDescent="0.2">
      <c r="A122" s="616"/>
      <c r="B122" s="605"/>
      <c r="C122" s="610" t="s">
        <v>572</v>
      </c>
      <c r="D122" s="607" t="s">
        <v>561</v>
      </c>
      <c r="E122" s="604">
        <v>1769</v>
      </c>
      <c r="F122" s="604">
        <v>0</v>
      </c>
      <c r="G122" s="604">
        <v>0</v>
      </c>
      <c r="H122" s="604"/>
      <c r="I122" s="604"/>
      <c r="J122" s="604">
        <v>1769</v>
      </c>
      <c r="K122" s="607"/>
      <c r="L122" s="607"/>
      <c r="M122" s="604">
        <v>1769</v>
      </c>
      <c r="N122" s="604">
        <v>3932</v>
      </c>
      <c r="O122" s="604">
        <f t="shared" ref="O122:O123" si="24">M122+N122</f>
        <v>5701</v>
      </c>
    </row>
    <row r="123" spans="1:15" x14ac:dyDescent="0.2">
      <c r="A123" s="616"/>
      <c r="B123" s="605"/>
      <c r="C123" s="610" t="s">
        <v>572</v>
      </c>
      <c r="D123" s="616" t="s">
        <v>581</v>
      </c>
      <c r="E123" s="613">
        <v>9196</v>
      </c>
      <c r="F123" s="613">
        <v>0</v>
      </c>
      <c r="G123" s="613">
        <v>0</v>
      </c>
      <c r="H123" s="613"/>
      <c r="I123" s="613"/>
      <c r="J123" s="613">
        <v>9196</v>
      </c>
      <c r="K123" s="617">
        <v>401</v>
      </c>
      <c r="L123" s="617">
        <v>0</v>
      </c>
      <c r="M123" s="604">
        <v>9597</v>
      </c>
      <c r="N123" s="604">
        <v>0</v>
      </c>
      <c r="O123" s="604">
        <f t="shared" si="24"/>
        <v>9597</v>
      </c>
    </row>
    <row r="124" spans="1:15" s="615" customFormat="1" x14ac:dyDescent="0.2">
      <c r="A124" s="623">
        <v>78</v>
      </c>
      <c r="B124" s="625" t="s">
        <v>173</v>
      </c>
      <c r="C124" s="611" t="s">
        <v>508</v>
      </c>
      <c r="D124" s="614" t="s">
        <v>581</v>
      </c>
      <c r="E124" s="609">
        <v>10795</v>
      </c>
      <c r="F124" s="609">
        <v>3</v>
      </c>
      <c r="G124" s="609">
        <v>284</v>
      </c>
      <c r="H124" s="609"/>
      <c r="I124" s="609"/>
      <c r="J124" s="609">
        <v>10508</v>
      </c>
      <c r="K124" s="609">
        <v>786</v>
      </c>
      <c r="L124" s="609">
        <v>0</v>
      </c>
      <c r="M124" s="609">
        <v>11581</v>
      </c>
      <c r="N124" s="604">
        <v>1406</v>
      </c>
      <c r="O124" s="609">
        <f>O125+O126</f>
        <v>12987</v>
      </c>
    </row>
    <row r="125" spans="1:15" x14ac:dyDescent="0.2">
      <c r="A125" s="616"/>
      <c r="B125" s="605"/>
      <c r="C125" s="610" t="s">
        <v>572</v>
      </c>
      <c r="D125" s="607" t="s">
        <v>561</v>
      </c>
      <c r="E125" s="604">
        <v>3792</v>
      </c>
      <c r="F125" s="604">
        <v>3</v>
      </c>
      <c r="G125" s="604">
        <v>284</v>
      </c>
      <c r="H125" s="604"/>
      <c r="I125" s="604"/>
      <c r="J125" s="604">
        <v>3505</v>
      </c>
      <c r="K125" s="604"/>
      <c r="L125" s="604"/>
      <c r="M125" s="604">
        <v>3792</v>
      </c>
      <c r="N125" s="604">
        <v>1406</v>
      </c>
      <c r="O125" s="604">
        <f t="shared" ref="O125:O126" si="25">M125+N125</f>
        <v>5198</v>
      </c>
    </row>
    <row r="126" spans="1:15" x14ac:dyDescent="0.2">
      <c r="A126" s="616"/>
      <c r="B126" s="605"/>
      <c r="C126" s="610" t="s">
        <v>572</v>
      </c>
      <c r="D126" s="607" t="s">
        <v>581</v>
      </c>
      <c r="E126" s="604">
        <v>7003</v>
      </c>
      <c r="F126" s="604">
        <v>0</v>
      </c>
      <c r="G126" s="604">
        <v>0</v>
      </c>
      <c r="H126" s="604"/>
      <c r="I126" s="604"/>
      <c r="J126" s="604">
        <v>7003</v>
      </c>
      <c r="K126" s="604">
        <v>786</v>
      </c>
      <c r="L126" s="604">
        <v>0</v>
      </c>
      <c r="M126" s="604">
        <v>7789</v>
      </c>
      <c r="N126" s="604">
        <v>0</v>
      </c>
      <c r="O126" s="604">
        <f t="shared" si="25"/>
        <v>7789</v>
      </c>
    </row>
    <row r="127" spans="1:15" s="615" customFormat="1" x14ac:dyDescent="0.2">
      <c r="A127" s="623">
        <v>79</v>
      </c>
      <c r="B127" s="77" t="s">
        <v>278</v>
      </c>
      <c r="C127" s="611" t="s">
        <v>587</v>
      </c>
      <c r="D127" s="614" t="s">
        <v>581</v>
      </c>
      <c r="E127" s="609">
        <v>19743</v>
      </c>
      <c r="F127" s="609">
        <v>119</v>
      </c>
      <c r="G127" s="609">
        <v>0</v>
      </c>
      <c r="H127" s="609"/>
      <c r="I127" s="609"/>
      <c r="J127" s="609">
        <v>19624</v>
      </c>
      <c r="K127" s="609">
        <v>1187</v>
      </c>
      <c r="L127" s="609">
        <v>0</v>
      </c>
      <c r="M127" s="609">
        <v>20930</v>
      </c>
      <c r="N127" s="604">
        <v>1010</v>
      </c>
      <c r="O127" s="609">
        <f t="shared" ref="O127" si="26">O128+O129</f>
        <v>21940</v>
      </c>
    </row>
    <row r="128" spans="1:15" x14ac:dyDescent="0.2">
      <c r="A128" s="616"/>
      <c r="B128" s="605"/>
      <c r="C128" s="610" t="s">
        <v>572</v>
      </c>
      <c r="D128" s="607" t="s">
        <v>561</v>
      </c>
      <c r="E128" s="604">
        <v>3827</v>
      </c>
      <c r="F128" s="604">
        <v>20</v>
      </c>
      <c r="G128" s="604">
        <v>0</v>
      </c>
      <c r="H128" s="604"/>
      <c r="I128" s="604"/>
      <c r="J128" s="604">
        <v>3807</v>
      </c>
      <c r="K128" s="604"/>
      <c r="L128" s="604"/>
      <c r="M128" s="604">
        <v>3827</v>
      </c>
      <c r="N128" s="604">
        <v>1010</v>
      </c>
      <c r="O128" s="604">
        <f t="shared" ref="O128:O129" si="27">M128+N128</f>
        <v>4837</v>
      </c>
    </row>
    <row r="129" spans="1:15" x14ac:dyDescent="0.2">
      <c r="A129" s="616"/>
      <c r="B129" s="605"/>
      <c r="C129" s="610" t="s">
        <v>572</v>
      </c>
      <c r="D129" s="604" t="s">
        <v>581</v>
      </c>
      <c r="E129" s="604">
        <v>15916</v>
      </c>
      <c r="F129" s="604">
        <v>99</v>
      </c>
      <c r="G129" s="604">
        <v>0</v>
      </c>
      <c r="H129" s="604"/>
      <c r="I129" s="604"/>
      <c r="J129" s="604">
        <v>15817</v>
      </c>
      <c r="K129" s="604">
        <v>1187</v>
      </c>
      <c r="L129" s="604">
        <v>0</v>
      </c>
      <c r="M129" s="604">
        <v>17103</v>
      </c>
      <c r="N129" s="604">
        <v>0</v>
      </c>
      <c r="O129" s="604">
        <f t="shared" si="27"/>
        <v>17103</v>
      </c>
    </row>
    <row r="130" spans="1:15" s="615" customFormat="1" x14ac:dyDescent="0.2">
      <c r="A130" s="623">
        <v>80</v>
      </c>
      <c r="B130" s="78" t="s">
        <v>258</v>
      </c>
      <c r="C130" s="611" t="s">
        <v>259</v>
      </c>
      <c r="D130" s="614" t="s">
        <v>588</v>
      </c>
      <c r="E130" s="609">
        <v>24471</v>
      </c>
      <c r="F130" s="609">
        <v>2095</v>
      </c>
      <c r="G130" s="609">
        <v>0</v>
      </c>
      <c r="H130" s="609">
        <v>1590</v>
      </c>
      <c r="I130" s="609">
        <v>1532</v>
      </c>
      <c r="J130" s="609">
        <v>19254</v>
      </c>
      <c r="K130" s="609">
        <v>2896</v>
      </c>
      <c r="L130" s="609">
        <v>250</v>
      </c>
      <c r="M130" s="609">
        <v>27367</v>
      </c>
      <c r="N130" s="604">
        <v>1341</v>
      </c>
      <c r="O130" s="609">
        <f t="shared" ref="O130" si="28">O131+O132</f>
        <v>28708</v>
      </c>
    </row>
    <row r="131" spans="1:15" x14ac:dyDescent="0.2">
      <c r="A131" s="616"/>
      <c r="B131" s="627"/>
      <c r="C131" s="610" t="s">
        <v>572</v>
      </c>
      <c r="D131" s="607" t="s">
        <v>561</v>
      </c>
      <c r="E131" s="604">
        <v>5147</v>
      </c>
      <c r="F131" s="604">
        <v>0</v>
      </c>
      <c r="G131" s="604">
        <v>0</v>
      </c>
      <c r="H131" s="604">
        <v>1590</v>
      </c>
      <c r="I131" s="604">
        <v>1532</v>
      </c>
      <c r="J131" s="604">
        <v>2025</v>
      </c>
      <c r="K131" s="607"/>
      <c r="L131" s="607"/>
      <c r="M131" s="604">
        <v>5147</v>
      </c>
      <c r="N131" s="604">
        <v>1341</v>
      </c>
      <c r="O131" s="604">
        <f t="shared" ref="O131:O132" si="29">M131+N131</f>
        <v>6488</v>
      </c>
    </row>
    <row r="132" spans="1:15" ht="15" customHeight="1" x14ac:dyDescent="0.2">
      <c r="A132" s="616"/>
      <c r="B132" s="627"/>
      <c r="C132" s="610" t="s">
        <v>572</v>
      </c>
      <c r="D132" s="604" t="s">
        <v>588</v>
      </c>
      <c r="E132" s="604">
        <v>19324</v>
      </c>
      <c r="F132" s="604">
        <v>2095</v>
      </c>
      <c r="G132" s="604">
        <v>0</v>
      </c>
      <c r="H132" s="604"/>
      <c r="I132" s="604"/>
      <c r="J132" s="604">
        <v>17229</v>
      </c>
      <c r="K132" s="604">
        <v>2896</v>
      </c>
      <c r="L132" s="604">
        <v>250</v>
      </c>
      <c r="M132" s="604">
        <v>22220</v>
      </c>
      <c r="N132" s="604">
        <v>0</v>
      </c>
      <c r="O132" s="604">
        <f t="shared" si="29"/>
        <v>22220</v>
      </c>
    </row>
    <row r="133" spans="1:15" s="615" customFormat="1" ht="19.5" customHeight="1" x14ac:dyDescent="0.2">
      <c r="A133" s="623">
        <v>81</v>
      </c>
      <c r="B133" s="625" t="s">
        <v>264</v>
      </c>
      <c r="C133" s="611" t="s">
        <v>265</v>
      </c>
      <c r="D133" s="614" t="s">
        <v>588</v>
      </c>
      <c r="E133" s="609">
        <v>18092</v>
      </c>
      <c r="F133" s="609">
        <v>815</v>
      </c>
      <c r="G133" s="609">
        <v>0</v>
      </c>
      <c r="H133" s="609"/>
      <c r="I133" s="609"/>
      <c r="J133" s="609">
        <v>17277</v>
      </c>
      <c r="K133" s="609">
        <v>1100</v>
      </c>
      <c r="L133" s="609">
        <v>102</v>
      </c>
      <c r="M133" s="609">
        <v>19192</v>
      </c>
      <c r="N133" s="604">
        <v>720</v>
      </c>
      <c r="O133" s="609">
        <f>O134+O135</f>
        <v>19912</v>
      </c>
    </row>
    <row r="134" spans="1:15" x14ac:dyDescent="0.2">
      <c r="A134" s="616"/>
      <c r="B134" s="605"/>
      <c r="C134" s="610" t="s">
        <v>572</v>
      </c>
      <c r="D134" s="607" t="s">
        <v>561</v>
      </c>
      <c r="E134" s="604">
        <v>1830</v>
      </c>
      <c r="F134" s="604">
        <v>0</v>
      </c>
      <c r="G134" s="604">
        <v>0</v>
      </c>
      <c r="H134" s="604"/>
      <c r="I134" s="604"/>
      <c r="J134" s="604">
        <v>1830</v>
      </c>
      <c r="K134" s="607"/>
      <c r="L134" s="607"/>
      <c r="M134" s="604">
        <v>1830</v>
      </c>
      <c r="N134" s="604">
        <v>720</v>
      </c>
      <c r="O134" s="604">
        <f t="shared" ref="O134:O138" si="30">M134+N134</f>
        <v>2550</v>
      </c>
    </row>
    <row r="135" spans="1:15" x14ac:dyDescent="0.2">
      <c r="A135" s="616"/>
      <c r="B135" s="605"/>
      <c r="C135" s="610" t="s">
        <v>572</v>
      </c>
      <c r="D135" s="607" t="s">
        <v>588</v>
      </c>
      <c r="E135" s="613">
        <v>16262</v>
      </c>
      <c r="F135" s="613">
        <v>815</v>
      </c>
      <c r="G135" s="613">
        <v>0</v>
      </c>
      <c r="H135" s="604"/>
      <c r="I135" s="604"/>
      <c r="J135" s="613">
        <v>15447</v>
      </c>
      <c r="K135" s="604">
        <v>1100</v>
      </c>
      <c r="L135" s="604">
        <v>102</v>
      </c>
      <c r="M135" s="604">
        <v>17362</v>
      </c>
      <c r="N135" s="604">
        <v>0</v>
      </c>
      <c r="O135" s="604">
        <f t="shared" si="30"/>
        <v>17362</v>
      </c>
    </row>
    <row r="136" spans="1:15" s="615" customFormat="1" x14ac:dyDescent="0.2">
      <c r="A136" s="623">
        <v>82</v>
      </c>
      <c r="B136" s="77" t="s">
        <v>237</v>
      </c>
      <c r="C136" s="611" t="s">
        <v>589</v>
      </c>
      <c r="D136" s="614" t="s">
        <v>588</v>
      </c>
      <c r="E136" s="609">
        <v>1108</v>
      </c>
      <c r="F136" s="609">
        <v>1000</v>
      </c>
      <c r="G136" s="609">
        <v>0</v>
      </c>
      <c r="H136" s="609"/>
      <c r="I136" s="609"/>
      <c r="J136" s="609">
        <v>108</v>
      </c>
      <c r="K136" s="609">
        <f>278+25</f>
        <v>303</v>
      </c>
      <c r="L136" s="609">
        <v>0</v>
      </c>
      <c r="M136" s="609">
        <f>1386+25</f>
        <v>1411</v>
      </c>
      <c r="N136" s="604">
        <v>0</v>
      </c>
      <c r="O136" s="609">
        <f t="shared" si="30"/>
        <v>1411</v>
      </c>
    </row>
    <row r="137" spans="1:15" s="615" customFormat="1" x14ac:dyDescent="0.2">
      <c r="A137" s="623">
        <v>83</v>
      </c>
      <c r="B137" s="78" t="s">
        <v>274</v>
      </c>
      <c r="C137" s="611" t="s">
        <v>275</v>
      </c>
      <c r="D137" s="614" t="s">
        <v>588</v>
      </c>
      <c r="E137" s="609">
        <v>4477</v>
      </c>
      <c r="F137" s="609">
        <v>0</v>
      </c>
      <c r="G137" s="609">
        <v>0</v>
      </c>
      <c r="H137" s="609"/>
      <c r="I137" s="609"/>
      <c r="J137" s="609">
        <v>4477</v>
      </c>
      <c r="K137" s="609">
        <v>260</v>
      </c>
      <c r="L137" s="609">
        <v>0</v>
      </c>
      <c r="M137" s="609">
        <v>4737</v>
      </c>
      <c r="N137" s="604">
        <v>2082</v>
      </c>
      <c r="O137" s="609">
        <f t="shared" si="30"/>
        <v>6819</v>
      </c>
    </row>
    <row r="138" spans="1:15" s="615" customFormat="1" x14ac:dyDescent="0.2">
      <c r="A138" s="623">
        <v>84</v>
      </c>
      <c r="B138" s="628" t="s">
        <v>178</v>
      </c>
      <c r="C138" s="611" t="s">
        <v>324</v>
      </c>
      <c r="D138" s="614" t="s">
        <v>588</v>
      </c>
      <c r="E138" s="609">
        <v>7167</v>
      </c>
      <c r="F138" s="609">
        <v>0</v>
      </c>
      <c r="G138" s="609">
        <v>0</v>
      </c>
      <c r="H138" s="609"/>
      <c r="I138" s="609"/>
      <c r="J138" s="609">
        <v>7167</v>
      </c>
      <c r="K138" s="609">
        <v>90</v>
      </c>
      <c r="L138" s="609">
        <v>0</v>
      </c>
      <c r="M138" s="609">
        <v>7257</v>
      </c>
      <c r="N138" s="604">
        <v>0</v>
      </c>
      <c r="O138" s="609">
        <f t="shared" si="30"/>
        <v>7257</v>
      </c>
    </row>
    <row r="139" spans="1:15" s="615" customFormat="1" x14ac:dyDescent="0.2">
      <c r="A139" s="623"/>
      <c r="B139" s="628"/>
      <c r="C139" s="629" t="s">
        <v>15</v>
      </c>
      <c r="D139" s="614"/>
      <c r="E139" s="609">
        <f>SUM(E5:E60)+E61+E73+E76+E79+E82+E85+E88+E91+E94+E97+E100+E103+E106+E109+E112+E115+E118+E121+E124+E127+E130+E133+E136+E137+E138+E64+E67+E70</f>
        <v>608682</v>
      </c>
      <c r="F139" s="609">
        <f t="shared" ref="F139:O139" si="31">SUM(F5:F60)+F61+F73+F76+F79+F82+F85+F88+F91+F94+F97+F100+F103+F106+F109+F112+F115+F118+F121+F124+F127+F130+F133+F136+F137+F138+F64+F67+F70</f>
        <v>31156</v>
      </c>
      <c r="G139" s="609">
        <f t="shared" si="31"/>
        <v>6566</v>
      </c>
      <c r="H139" s="609">
        <f t="shared" si="31"/>
        <v>19652</v>
      </c>
      <c r="I139" s="609">
        <f t="shared" si="31"/>
        <v>12648</v>
      </c>
      <c r="J139" s="609">
        <f t="shared" si="31"/>
        <v>538660</v>
      </c>
      <c r="K139" s="609">
        <f t="shared" si="31"/>
        <v>19735</v>
      </c>
      <c r="L139" s="609">
        <f t="shared" si="31"/>
        <v>2199</v>
      </c>
      <c r="M139" s="609">
        <f t="shared" si="31"/>
        <v>628417</v>
      </c>
      <c r="N139" s="609">
        <f t="shared" si="31"/>
        <v>21702</v>
      </c>
      <c r="O139" s="609">
        <f t="shared" si="31"/>
        <v>650119</v>
      </c>
    </row>
    <row r="140" spans="1:15" ht="25.5" x14ac:dyDescent="0.2">
      <c r="A140" s="605"/>
      <c r="B140" s="605"/>
      <c r="C140" s="606" t="s">
        <v>590</v>
      </c>
      <c r="D140" s="607"/>
      <c r="E140" s="609">
        <v>15674</v>
      </c>
      <c r="F140" s="609">
        <v>730</v>
      </c>
      <c r="G140" s="609"/>
      <c r="H140" s="609"/>
      <c r="I140" s="609"/>
      <c r="J140" s="609">
        <v>14944</v>
      </c>
      <c r="K140" s="609"/>
      <c r="L140" s="609">
        <v>0</v>
      </c>
      <c r="M140" s="609">
        <v>15674</v>
      </c>
      <c r="N140" s="609"/>
      <c r="O140" s="609">
        <f t="shared" ref="O140" si="32">M140+N140</f>
        <v>15674</v>
      </c>
    </row>
    <row r="141" spans="1:15" ht="19.5" customHeight="1" x14ac:dyDescent="0.2">
      <c r="A141" s="630" t="s">
        <v>591</v>
      </c>
      <c r="B141" s="631"/>
      <c r="C141" s="631"/>
      <c r="D141" s="632"/>
      <c r="E141" s="609">
        <f>E139+E140</f>
        <v>624356</v>
      </c>
      <c r="F141" s="609">
        <f t="shared" ref="F141:N141" si="33">F139+F140</f>
        <v>31886</v>
      </c>
      <c r="G141" s="609">
        <f t="shared" si="33"/>
        <v>6566</v>
      </c>
      <c r="H141" s="609">
        <f t="shared" si="33"/>
        <v>19652</v>
      </c>
      <c r="I141" s="609">
        <f t="shared" si="33"/>
        <v>12648</v>
      </c>
      <c r="J141" s="609">
        <f>J139+J140</f>
        <v>553604</v>
      </c>
      <c r="K141" s="609">
        <f>K139+K140</f>
        <v>19735</v>
      </c>
      <c r="L141" s="609">
        <f t="shared" si="33"/>
        <v>2199</v>
      </c>
      <c r="M141" s="609">
        <f>M139+M140</f>
        <v>644091</v>
      </c>
      <c r="N141" s="609">
        <f t="shared" si="33"/>
        <v>21702</v>
      </c>
      <c r="O141" s="609">
        <f>O139+O140</f>
        <v>665793</v>
      </c>
    </row>
    <row r="142" spans="1:15" x14ac:dyDescent="0.2">
      <c r="C142" s="633"/>
      <c r="E142" s="634"/>
    </row>
    <row r="143" spans="1:15" x14ac:dyDescent="0.2">
      <c r="E143" s="618"/>
      <c r="F143" s="618"/>
      <c r="G143" s="618"/>
      <c r="H143" s="618"/>
      <c r="I143" s="618"/>
      <c r="J143" s="618"/>
      <c r="K143" s="618"/>
      <c r="L143" s="618"/>
      <c r="M143" s="618"/>
      <c r="N143" s="618"/>
    </row>
  </sheetData>
  <mergeCells count="15"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  <mergeCell ref="A1:M1"/>
    <mergeCell ref="F2:J2"/>
    <mergeCell ref="M2:M4"/>
    <mergeCell ref="F3:F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50"/>
  <sheetViews>
    <sheetView zoomScale="80" zoomScaleNormal="80" workbookViewId="0">
      <pane xSplit="3" ySplit="7" topLeftCell="D143" activePane="bottomRight" state="frozen"/>
      <selection pane="topRight" activeCell="D1" sqref="D1"/>
      <selection pane="bottomLeft" activeCell="A8" sqref="A8"/>
      <selection pane="bottomRight" sqref="A1:G1"/>
    </sheetView>
  </sheetViews>
  <sheetFormatPr defaultColWidth="10.7109375" defaultRowHeight="15" x14ac:dyDescent="0.25"/>
  <cols>
    <col min="1" max="1" width="8.28515625" style="409" customWidth="1"/>
    <col min="2" max="2" width="10.5703125" style="409" customWidth="1"/>
    <col min="3" max="3" width="44.85546875" style="408" customWidth="1"/>
    <col min="4" max="4" width="14.28515625" style="408" customWidth="1"/>
    <col min="5" max="8" width="15.7109375" style="408" customWidth="1"/>
    <col min="9" max="9" width="10.7109375" style="408"/>
    <col min="10" max="10" width="20.5703125" style="408" customWidth="1"/>
    <col min="11" max="16384" width="10.7109375" style="408"/>
  </cols>
  <sheetData>
    <row r="1" spans="1:11" ht="30" customHeight="1" x14ac:dyDescent="0.25">
      <c r="A1" s="1134" t="s">
        <v>822</v>
      </c>
      <c r="B1" s="1134"/>
      <c r="C1" s="1134"/>
      <c r="D1" s="1134"/>
      <c r="E1" s="1134"/>
      <c r="F1" s="1134"/>
      <c r="G1" s="1134"/>
      <c r="H1" s="983"/>
    </row>
    <row r="2" spans="1:11" ht="9.75" customHeight="1" x14ac:dyDescent="0.25">
      <c r="C2" s="410"/>
    </row>
    <row r="3" spans="1:11" s="411" customFormat="1" ht="39.75" customHeight="1" x14ac:dyDescent="0.2">
      <c r="A3" s="1128" t="s">
        <v>0</v>
      </c>
      <c r="B3" s="1135" t="s">
        <v>302</v>
      </c>
      <c r="C3" s="1138" t="s">
        <v>2</v>
      </c>
      <c r="D3" s="1139" t="s">
        <v>823</v>
      </c>
      <c r="E3" s="1139"/>
      <c r="F3" s="1139"/>
      <c r="G3" s="1139"/>
    </row>
    <row r="4" spans="1:11" s="411" customFormat="1" ht="25.5" customHeight="1" x14ac:dyDescent="0.2">
      <c r="A4" s="1129"/>
      <c r="B4" s="1136"/>
      <c r="C4" s="1138"/>
      <c r="D4" s="1140" t="s">
        <v>773</v>
      </c>
      <c r="E4" s="1142" t="s">
        <v>4</v>
      </c>
      <c r="F4" s="1142"/>
      <c r="G4" s="1142"/>
    </row>
    <row r="5" spans="1:11" s="411" customFormat="1" ht="59.25" customHeight="1" x14ac:dyDescent="0.2">
      <c r="A5" s="1130"/>
      <c r="B5" s="1137"/>
      <c r="C5" s="1138"/>
      <c r="D5" s="1141"/>
      <c r="E5" s="984" t="s">
        <v>774</v>
      </c>
      <c r="F5" s="984" t="s">
        <v>775</v>
      </c>
      <c r="G5" s="984" t="s">
        <v>776</v>
      </c>
    </row>
    <row r="6" spans="1:11" s="411" customFormat="1" ht="12.75" customHeight="1" x14ac:dyDescent="0.2">
      <c r="A6" s="920">
        <v>1</v>
      </c>
      <c r="B6" s="412">
        <v>2</v>
      </c>
      <c r="C6" s="921">
        <v>3</v>
      </c>
      <c r="D6" s="985">
        <v>4</v>
      </c>
      <c r="E6" s="986">
        <v>5</v>
      </c>
      <c r="F6" s="986">
        <v>6</v>
      </c>
      <c r="G6" s="986">
        <v>7</v>
      </c>
    </row>
    <row r="7" spans="1:11" s="411" customFormat="1" ht="21" customHeight="1" x14ac:dyDescent="0.2">
      <c r="A7" s="1127" t="s">
        <v>308</v>
      </c>
      <c r="B7" s="1127"/>
      <c r="C7" s="1127"/>
      <c r="D7" s="987">
        <f>SUM(D8:D145)</f>
        <v>48575</v>
      </c>
      <c r="E7" s="987">
        <f t="shared" ref="E7:G7" si="0">SUM(E8:E145)</f>
        <v>6813</v>
      </c>
      <c r="F7" s="987">
        <f t="shared" si="0"/>
        <v>41162</v>
      </c>
      <c r="G7" s="987">
        <f t="shared" si="0"/>
        <v>600</v>
      </c>
      <c r="I7" s="988"/>
      <c r="J7" s="554"/>
    </row>
    <row r="8" spans="1:11" x14ac:dyDescent="0.25">
      <c r="A8" s="18">
        <v>1</v>
      </c>
      <c r="B8" s="413" t="s">
        <v>16</v>
      </c>
      <c r="C8" s="414" t="s">
        <v>17</v>
      </c>
      <c r="D8" s="415">
        <f>SUM(E8:G8)</f>
        <v>2</v>
      </c>
      <c r="E8" s="415">
        <v>0</v>
      </c>
      <c r="F8" s="415">
        <v>0</v>
      </c>
      <c r="G8" s="415">
        <v>2</v>
      </c>
      <c r="I8" s="988"/>
      <c r="J8" s="416"/>
      <c r="K8" s="416"/>
    </row>
    <row r="9" spans="1:11" x14ac:dyDescent="0.25">
      <c r="A9" s="18">
        <v>2</v>
      </c>
      <c r="B9" s="417" t="s">
        <v>18</v>
      </c>
      <c r="C9" s="414" t="s">
        <v>19</v>
      </c>
      <c r="D9" s="415">
        <f t="shared" ref="D9:D72" si="1">SUM(E9:G9)</f>
        <v>442</v>
      </c>
      <c r="E9" s="415">
        <v>60</v>
      </c>
      <c r="F9" s="415">
        <v>381</v>
      </c>
      <c r="G9" s="415">
        <v>1</v>
      </c>
      <c r="I9" s="988"/>
      <c r="J9" s="416"/>
      <c r="K9" s="416"/>
    </row>
    <row r="10" spans="1:11" x14ac:dyDescent="0.25">
      <c r="A10" s="18">
        <v>3</v>
      </c>
      <c r="B10" s="21" t="s">
        <v>20</v>
      </c>
      <c r="C10" s="418" t="s">
        <v>21</v>
      </c>
      <c r="D10" s="415">
        <f t="shared" si="1"/>
        <v>851</v>
      </c>
      <c r="E10" s="415">
        <v>120</v>
      </c>
      <c r="F10" s="415">
        <v>722</v>
      </c>
      <c r="G10" s="415">
        <v>9</v>
      </c>
      <c r="I10" s="988"/>
      <c r="J10" s="416"/>
      <c r="K10" s="416"/>
    </row>
    <row r="11" spans="1:11" x14ac:dyDescent="0.25">
      <c r="A11" s="18">
        <v>4</v>
      </c>
      <c r="B11" s="413" t="s">
        <v>22</v>
      </c>
      <c r="C11" s="414" t="s">
        <v>23</v>
      </c>
      <c r="D11" s="415">
        <f t="shared" si="1"/>
        <v>3</v>
      </c>
      <c r="E11" s="415">
        <v>0</v>
      </c>
      <c r="F11" s="415">
        <v>0</v>
      </c>
      <c r="G11" s="415">
        <v>3</v>
      </c>
      <c r="I11" s="988"/>
      <c r="J11" s="416"/>
      <c r="K11" s="416"/>
    </row>
    <row r="12" spans="1:11" x14ac:dyDescent="0.25">
      <c r="A12" s="18">
        <v>5</v>
      </c>
      <c r="B12" s="413" t="s">
        <v>24</v>
      </c>
      <c r="C12" s="414" t="s">
        <v>25</v>
      </c>
      <c r="D12" s="415">
        <f t="shared" si="1"/>
        <v>1</v>
      </c>
      <c r="E12" s="415">
        <v>0</v>
      </c>
      <c r="F12" s="415">
        <v>0</v>
      </c>
      <c r="G12" s="415">
        <v>1</v>
      </c>
      <c r="I12" s="988"/>
      <c r="J12" s="416"/>
      <c r="K12" s="416"/>
    </row>
    <row r="13" spans="1:11" x14ac:dyDescent="0.25">
      <c r="A13" s="18">
        <v>6</v>
      </c>
      <c r="B13" s="21" t="s">
        <v>26</v>
      </c>
      <c r="C13" s="418" t="s">
        <v>27</v>
      </c>
      <c r="D13" s="415">
        <f t="shared" si="1"/>
        <v>2555</v>
      </c>
      <c r="E13" s="415">
        <f>240-44</f>
        <v>196</v>
      </c>
      <c r="F13" s="415">
        <f>2289+44</f>
        <v>2333</v>
      </c>
      <c r="G13" s="415">
        <v>26</v>
      </c>
      <c r="I13" s="988"/>
      <c r="J13" s="416"/>
      <c r="K13" s="416"/>
    </row>
    <row r="14" spans="1:11" x14ac:dyDescent="0.25">
      <c r="A14" s="18">
        <v>7</v>
      </c>
      <c r="B14" s="419" t="s">
        <v>28</v>
      </c>
      <c r="C14" s="22" t="s">
        <v>29</v>
      </c>
      <c r="D14" s="415">
        <f t="shared" si="1"/>
        <v>1110</v>
      </c>
      <c r="E14" s="415">
        <v>100</v>
      </c>
      <c r="F14" s="415">
        <v>1004</v>
      </c>
      <c r="G14" s="415">
        <v>6</v>
      </c>
      <c r="I14" s="988"/>
      <c r="J14" s="416"/>
      <c r="K14" s="416"/>
    </row>
    <row r="15" spans="1:11" x14ac:dyDescent="0.25">
      <c r="A15" s="18">
        <v>8</v>
      </c>
      <c r="B15" s="21" t="s">
        <v>30</v>
      </c>
      <c r="C15" s="418" t="s">
        <v>31</v>
      </c>
      <c r="D15" s="415">
        <f t="shared" si="1"/>
        <v>1</v>
      </c>
      <c r="E15" s="415">
        <v>0</v>
      </c>
      <c r="F15" s="415">
        <v>0</v>
      </c>
      <c r="G15" s="415">
        <v>1</v>
      </c>
      <c r="I15" s="988"/>
      <c r="J15" s="416"/>
      <c r="K15" s="416"/>
    </row>
    <row r="16" spans="1:11" x14ac:dyDescent="0.25">
      <c r="A16" s="18">
        <v>9</v>
      </c>
      <c r="B16" s="21" t="s">
        <v>32</v>
      </c>
      <c r="C16" s="418" t="s">
        <v>33</v>
      </c>
      <c r="D16" s="415">
        <f t="shared" si="1"/>
        <v>3</v>
      </c>
      <c r="E16" s="415">
        <v>0</v>
      </c>
      <c r="F16" s="415">
        <v>0</v>
      </c>
      <c r="G16" s="415">
        <v>3</v>
      </c>
      <c r="I16" s="988"/>
      <c r="J16" s="416"/>
      <c r="K16" s="416"/>
    </row>
    <row r="17" spans="1:11" x14ac:dyDescent="0.25">
      <c r="A17" s="18">
        <v>10</v>
      </c>
      <c r="B17" s="21" t="s">
        <v>34</v>
      </c>
      <c r="C17" s="418" t="s">
        <v>35</v>
      </c>
      <c r="D17" s="415">
        <f t="shared" si="1"/>
        <v>3</v>
      </c>
      <c r="E17" s="415">
        <v>0</v>
      </c>
      <c r="F17" s="415">
        <v>0</v>
      </c>
      <c r="G17" s="415">
        <v>3</v>
      </c>
      <c r="I17" s="988"/>
      <c r="J17" s="416"/>
      <c r="K17" s="416"/>
    </row>
    <row r="18" spans="1:11" x14ac:dyDescent="0.25">
      <c r="A18" s="18">
        <v>11</v>
      </c>
      <c r="B18" s="21" t="s">
        <v>36</v>
      </c>
      <c r="C18" s="418" t="s">
        <v>37</v>
      </c>
      <c r="D18" s="415">
        <f t="shared" si="1"/>
        <v>2</v>
      </c>
      <c r="E18" s="415">
        <v>0</v>
      </c>
      <c r="F18" s="415">
        <v>0</v>
      </c>
      <c r="G18" s="415">
        <v>2</v>
      </c>
      <c r="I18" s="988"/>
      <c r="J18" s="416"/>
      <c r="K18" s="416"/>
    </row>
    <row r="19" spans="1:11" x14ac:dyDescent="0.25">
      <c r="A19" s="18">
        <v>12</v>
      </c>
      <c r="B19" s="21" t="s">
        <v>38</v>
      </c>
      <c r="C19" s="418" t="s">
        <v>39</v>
      </c>
      <c r="D19" s="415">
        <f t="shared" si="1"/>
        <v>766</v>
      </c>
      <c r="E19" s="415">
        <v>130</v>
      </c>
      <c r="F19" s="415">
        <v>633</v>
      </c>
      <c r="G19" s="415">
        <v>3</v>
      </c>
      <c r="I19" s="988"/>
      <c r="J19" s="416"/>
      <c r="K19" s="416"/>
    </row>
    <row r="20" spans="1:11" x14ac:dyDescent="0.25">
      <c r="A20" s="18">
        <v>13</v>
      </c>
      <c r="B20" s="21" t="s">
        <v>40</v>
      </c>
      <c r="C20" s="414" t="s">
        <v>41</v>
      </c>
      <c r="D20" s="415">
        <f t="shared" si="1"/>
        <v>0</v>
      </c>
      <c r="E20" s="415">
        <v>0</v>
      </c>
      <c r="F20" s="415">
        <v>0</v>
      </c>
      <c r="G20" s="415">
        <v>0</v>
      </c>
      <c r="I20" s="988"/>
      <c r="J20" s="416"/>
      <c r="K20" s="416"/>
    </row>
    <row r="21" spans="1:11" x14ac:dyDescent="0.25">
      <c r="A21" s="18">
        <v>14</v>
      </c>
      <c r="B21" s="413" t="s">
        <v>42</v>
      </c>
      <c r="C21" s="418" t="s">
        <v>43</v>
      </c>
      <c r="D21" s="415">
        <f t="shared" si="1"/>
        <v>0</v>
      </c>
      <c r="E21" s="415">
        <v>0</v>
      </c>
      <c r="F21" s="415">
        <v>0</v>
      </c>
      <c r="G21" s="415">
        <v>0</v>
      </c>
      <c r="I21" s="988"/>
      <c r="J21" s="416"/>
      <c r="K21" s="416"/>
    </row>
    <row r="22" spans="1:11" x14ac:dyDescent="0.25">
      <c r="A22" s="18">
        <v>15</v>
      </c>
      <c r="B22" s="21" t="s">
        <v>44</v>
      </c>
      <c r="C22" s="418" t="s">
        <v>45</v>
      </c>
      <c r="D22" s="415">
        <f t="shared" si="1"/>
        <v>203</v>
      </c>
      <c r="E22" s="415">
        <v>70</v>
      </c>
      <c r="F22" s="415">
        <v>130</v>
      </c>
      <c r="G22" s="415">
        <v>3</v>
      </c>
      <c r="I22" s="988"/>
      <c r="J22" s="416"/>
      <c r="K22" s="416"/>
    </row>
    <row r="23" spans="1:11" x14ac:dyDescent="0.25">
      <c r="A23" s="18">
        <v>16</v>
      </c>
      <c r="B23" s="21" t="s">
        <v>46</v>
      </c>
      <c r="C23" s="418" t="s">
        <v>47</v>
      </c>
      <c r="D23" s="415">
        <f t="shared" si="1"/>
        <v>7</v>
      </c>
      <c r="E23" s="415">
        <v>0</v>
      </c>
      <c r="F23" s="415">
        <v>0</v>
      </c>
      <c r="G23" s="415">
        <v>7</v>
      </c>
      <c r="I23" s="988"/>
      <c r="J23" s="416"/>
      <c r="K23" s="416"/>
    </row>
    <row r="24" spans="1:11" x14ac:dyDescent="0.25">
      <c r="A24" s="18">
        <v>17</v>
      </c>
      <c r="B24" s="21" t="s">
        <v>48</v>
      </c>
      <c r="C24" s="418" t="s">
        <v>49</v>
      </c>
      <c r="D24" s="415">
        <f t="shared" si="1"/>
        <v>8</v>
      </c>
      <c r="E24" s="415">
        <v>0</v>
      </c>
      <c r="F24" s="415">
        <v>0</v>
      </c>
      <c r="G24" s="415">
        <v>8</v>
      </c>
      <c r="I24" s="988"/>
      <c r="J24" s="416"/>
      <c r="K24" s="416"/>
    </row>
    <row r="25" spans="1:11" x14ac:dyDescent="0.25">
      <c r="A25" s="18">
        <v>18</v>
      </c>
      <c r="B25" s="21" t="s">
        <v>50</v>
      </c>
      <c r="C25" s="418" t="s">
        <v>51</v>
      </c>
      <c r="D25" s="415">
        <f t="shared" si="1"/>
        <v>997</v>
      </c>
      <c r="E25" s="415">
        <v>190</v>
      </c>
      <c r="F25" s="415">
        <v>793</v>
      </c>
      <c r="G25" s="415">
        <v>14</v>
      </c>
      <c r="I25" s="988"/>
      <c r="J25" s="416"/>
      <c r="K25" s="416"/>
    </row>
    <row r="26" spans="1:11" x14ac:dyDescent="0.25">
      <c r="A26" s="18">
        <v>19</v>
      </c>
      <c r="B26" s="413" t="s">
        <v>52</v>
      </c>
      <c r="C26" s="414" t="s">
        <v>53</v>
      </c>
      <c r="D26" s="415">
        <f t="shared" si="1"/>
        <v>1</v>
      </c>
      <c r="E26" s="415">
        <v>0</v>
      </c>
      <c r="F26" s="415">
        <v>0</v>
      </c>
      <c r="G26" s="415">
        <v>1</v>
      </c>
      <c r="I26" s="988"/>
      <c r="J26" s="416"/>
      <c r="K26" s="416"/>
    </row>
    <row r="27" spans="1:11" x14ac:dyDescent="0.25">
      <c r="A27" s="18">
        <v>20</v>
      </c>
      <c r="B27" s="413" t="s">
        <v>54</v>
      </c>
      <c r="C27" s="414" t="s">
        <v>55</v>
      </c>
      <c r="D27" s="415">
        <f t="shared" si="1"/>
        <v>1</v>
      </c>
      <c r="E27" s="415">
        <v>0</v>
      </c>
      <c r="F27" s="415">
        <v>0</v>
      </c>
      <c r="G27" s="415">
        <v>1</v>
      </c>
      <c r="I27" s="988"/>
      <c r="J27" s="416"/>
      <c r="K27" s="416"/>
    </row>
    <row r="28" spans="1:11" x14ac:dyDescent="0.25">
      <c r="A28" s="18">
        <v>21</v>
      </c>
      <c r="B28" s="413" t="s">
        <v>56</v>
      </c>
      <c r="C28" s="414" t="s">
        <v>57</v>
      </c>
      <c r="D28" s="415">
        <f t="shared" si="1"/>
        <v>1255</v>
      </c>
      <c r="E28" s="415">
        <v>90</v>
      </c>
      <c r="F28" s="415">
        <v>1155</v>
      </c>
      <c r="G28" s="415">
        <v>10</v>
      </c>
      <c r="I28" s="988"/>
      <c r="J28" s="416"/>
      <c r="K28" s="416"/>
    </row>
    <row r="29" spans="1:11" x14ac:dyDescent="0.25">
      <c r="A29" s="18">
        <v>22</v>
      </c>
      <c r="B29" s="413" t="s">
        <v>58</v>
      </c>
      <c r="C29" s="414" t="s">
        <v>59</v>
      </c>
      <c r="D29" s="415">
        <f t="shared" si="1"/>
        <v>915</v>
      </c>
      <c r="E29" s="415">
        <v>140</v>
      </c>
      <c r="F29" s="415">
        <v>763</v>
      </c>
      <c r="G29" s="415">
        <v>12</v>
      </c>
      <c r="I29" s="988"/>
      <c r="J29" s="416"/>
      <c r="K29" s="416"/>
    </row>
    <row r="30" spans="1:11" x14ac:dyDescent="0.25">
      <c r="A30" s="18">
        <v>23</v>
      </c>
      <c r="B30" s="21" t="s">
        <v>60</v>
      </c>
      <c r="C30" s="418" t="s">
        <v>61</v>
      </c>
      <c r="D30" s="415">
        <f t="shared" si="1"/>
        <v>3</v>
      </c>
      <c r="E30" s="415">
        <v>0</v>
      </c>
      <c r="F30" s="415">
        <v>0</v>
      </c>
      <c r="G30" s="415">
        <v>3</v>
      </c>
      <c r="I30" s="988"/>
      <c r="J30" s="416"/>
      <c r="K30" s="416"/>
    </row>
    <row r="31" spans="1:11" x14ac:dyDescent="0.25">
      <c r="A31" s="18">
        <v>24</v>
      </c>
      <c r="B31" s="21" t="s">
        <v>62</v>
      </c>
      <c r="C31" s="418" t="s">
        <v>63</v>
      </c>
      <c r="D31" s="415">
        <f t="shared" si="1"/>
        <v>0</v>
      </c>
      <c r="E31" s="415">
        <v>0</v>
      </c>
      <c r="F31" s="415">
        <v>0</v>
      </c>
      <c r="G31" s="415">
        <v>0</v>
      </c>
      <c r="I31" s="988"/>
      <c r="J31" s="416"/>
      <c r="K31" s="416"/>
    </row>
    <row r="32" spans="1:11" ht="30" x14ac:dyDescent="0.25">
      <c r="A32" s="18">
        <v>25</v>
      </c>
      <c r="B32" s="21" t="s">
        <v>64</v>
      </c>
      <c r="C32" s="418" t="s">
        <v>65</v>
      </c>
      <c r="D32" s="415">
        <f t="shared" si="1"/>
        <v>0</v>
      </c>
      <c r="E32" s="415">
        <v>0</v>
      </c>
      <c r="F32" s="415">
        <v>0</v>
      </c>
      <c r="G32" s="415">
        <v>0</v>
      </c>
      <c r="I32" s="988"/>
      <c r="J32" s="416"/>
      <c r="K32" s="416"/>
    </row>
    <row r="33" spans="1:11" x14ac:dyDescent="0.25">
      <c r="A33" s="18">
        <v>26</v>
      </c>
      <c r="B33" s="413" t="s">
        <v>66</v>
      </c>
      <c r="C33" s="22" t="s">
        <v>67</v>
      </c>
      <c r="D33" s="415">
        <f t="shared" si="1"/>
        <v>3972</v>
      </c>
      <c r="E33" s="415">
        <f>'[8]Школа сахарного диабета Пр.9-23'!E33+'[8]Откл.Пр.11-23-Пр.9-23'!E33</f>
        <v>460</v>
      </c>
      <c r="F33" s="415">
        <f>'[8]Школа сахарного диабета Пр.9-23'!F33+'[8]Откл.Пр.11-23-Пр.9-23'!F33</f>
        <v>3495</v>
      </c>
      <c r="G33" s="415">
        <f>'[8]Школа сахарного диабета Пр.9-23'!G33+'[8]Откл.Пр.11-23-Пр.9-23'!G33</f>
        <v>17</v>
      </c>
      <c r="I33" s="988"/>
      <c r="J33" s="416"/>
      <c r="K33" s="416"/>
    </row>
    <row r="34" spans="1:11" x14ac:dyDescent="0.25">
      <c r="A34" s="18">
        <v>27</v>
      </c>
      <c r="B34" s="21" t="s">
        <v>68</v>
      </c>
      <c r="C34" s="418" t="s">
        <v>69</v>
      </c>
      <c r="D34" s="415">
        <f t="shared" si="1"/>
        <v>0</v>
      </c>
      <c r="E34" s="415">
        <f>'[8]Школа сахарного диабета Пр.9-23'!E34+'[8]Откл.Пр.11-23-Пр.9-23'!E34</f>
        <v>0</v>
      </c>
      <c r="F34" s="415">
        <f>'[8]Школа сахарного диабета Пр.9-23'!F34+'[8]Откл.Пр.11-23-Пр.9-23'!F34</f>
        <v>0</v>
      </c>
      <c r="G34" s="415">
        <f>'[8]Школа сахарного диабета Пр.9-23'!G34+'[8]Откл.Пр.11-23-Пр.9-23'!G34</f>
        <v>0</v>
      </c>
      <c r="I34" s="988"/>
      <c r="J34" s="416"/>
      <c r="K34" s="416"/>
    </row>
    <row r="35" spans="1:11" x14ac:dyDescent="0.25">
      <c r="A35" s="18">
        <v>28</v>
      </c>
      <c r="B35" s="21" t="s">
        <v>70</v>
      </c>
      <c r="C35" s="418" t="s">
        <v>71</v>
      </c>
      <c r="D35" s="415">
        <f t="shared" si="1"/>
        <v>33</v>
      </c>
      <c r="E35" s="415">
        <v>0</v>
      </c>
      <c r="F35" s="415">
        <v>0</v>
      </c>
      <c r="G35" s="415">
        <v>33</v>
      </c>
      <c r="I35" s="988"/>
      <c r="J35" s="416"/>
      <c r="K35" s="416"/>
    </row>
    <row r="36" spans="1:11" x14ac:dyDescent="0.25">
      <c r="A36" s="18">
        <v>29</v>
      </c>
      <c r="B36" s="417" t="s">
        <v>72</v>
      </c>
      <c r="C36" s="22" t="s">
        <v>73</v>
      </c>
      <c r="D36" s="415">
        <f t="shared" si="1"/>
        <v>0</v>
      </c>
      <c r="E36" s="415">
        <v>0</v>
      </c>
      <c r="F36" s="415">
        <v>0</v>
      </c>
      <c r="G36" s="415">
        <v>0</v>
      </c>
      <c r="I36" s="988"/>
      <c r="J36" s="416"/>
      <c r="K36" s="416"/>
    </row>
    <row r="37" spans="1:11" x14ac:dyDescent="0.25">
      <c r="A37" s="18">
        <v>30</v>
      </c>
      <c r="B37" s="413" t="s">
        <v>74</v>
      </c>
      <c r="C37" s="414" t="s">
        <v>357</v>
      </c>
      <c r="D37" s="415">
        <f t="shared" si="1"/>
        <v>0</v>
      </c>
      <c r="E37" s="415">
        <v>0</v>
      </c>
      <c r="F37" s="415">
        <v>0</v>
      </c>
      <c r="G37" s="415">
        <v>0</v>
      </c>
      <c r="I37" s="988"/>
      <c r="J37" s="416"/>
      <c r="K37" s="416"/>
    </row>
    <row r="38" spans="1:11" x14ac:dyDescent="0.25">
      <c r="A38" s="18">
        <v>31</v>
      </c>
      <c r="B38" s="21" t="s">
        <v>75</v>
      </c>
      <c r="C38" s="418" t="s">
        <v>76</v>
      </c>
      <c r="D38" s="415">
        <f t="shared" si="1"/>
        <v>0</v>
      </c>
      <c r="E38" s="415">
        <v>0</v>
      </c>
      <c r="F38" s="415">
        <v>0</v>
      </c>
      <c r="G38" s="415">
        <v>0</v>
      </c>
      <c r="I38" s="988"/>
      <c r="J38" s="416"/>
      <c r="K38" s="416"/>
    </row>
    <row r="39" spans="1:11" x14ac:dyDescent="0.25">
      <c r="A39" s="18">
        <v>32</v>
      </c>
      <c r="B39" s="417" t="s">
        <v>77</v>
      </c>
      <c r="C39" s="414" t="s">
        <v>78</v>
      </c>
      <c r="D39" s="415">
        <f t="shared" si="1"/>
        <v>851</v>
      </c>
      <c r="E39" s="415">
        <v>100</v>
      </c>
      <c r="F39" s="415">
        <v>743</v>
      </c>
      <c r="G39" s="415">
        <v>8</v>
      </c>
      <c r="I39" s="988"/>
      <c r="J39" s="416"/>
      <c r="K39" s="416"/>
    </row>
    <row r="40" spans="1:11" x14ac:dyDescent="0.25">
      <c r="A40" s="18">
        <v>33</v>
      </c>
      <c r="B40" s="419" t="s">
        <v>79</v>
      </c>
      <c r="C40" s="22" t="s">
        <v>80</v>
      </c>
      <c r="D40" s="415">
        <f t="shared" si="1"/>
        <v>1725</v>
      </c>
      <c r="E40" s="415">
        <v>160</v>
      </c>
      <c r="F40" s="415">
        <v>1547</v>
      </c>
      <c r="G40" s="415">
        <v>18</v>
      </c>
      <c r="I40" s="988"/>
      <c r="J40" s="416"/>
      <c r="K40" s="416"/>
    </row>
    <row r="41" spans="1:11" x14ac:dyDescent="0.25">
      <c r="A41" s="18">
        <v>34</v>
      </c>
      <c r="B41" s="417" t="s">
        <v>81</v>
      </c>
      <c r="C41" s="414" t="s">
        <v>82</v>
      </c>
      <c r="D41" s="415">
        <f t="shared" si="1"/>
        <v>2</v>
      </c>
      <c r="E41" s="415">
        <v>0</v>
      </c>
      <c r="F41" s="415">
        <v>0</v>
      </c>
      <c r="G41" s="415">
        <v>2</v>
      </c>
      <c r="I41" s="988"/>
      <c r="J41" s="416"/>
      <c r="K41" s="416"/>
    </row>
    <row r="42" spans="1:11" x14ac:dyDescent="0.25">
      <c r="A42" s="18">
        <v>35</v>
      </c>
      <c r="B42" s="21" t="s">
        <v>83</v>
      </c>
      <c r="C42" s="418" t="s">
        <v>84</v>
      </c>
      <c r="D42" s="415">
        <f t="shared" si="1"/>
        <v>1056</v>
      </c>
      <c r="E42" s="415">
        <v>100</v>
      </c>
      <c r="F42" s="415">
        <v>944</v>
      </c>
      <c r="G42" s="415">
        <v>12</v>
      </c>
      <c r="I42" s="988"/>
      <c r="J42" s="416"/>
      <c r="K42" s="416"/>
    </row>
    <row r="43" spans="1:11" x14ac:dyDescent="0.25">
      <c r="A43" s="18">
        <v>36</v>
      </c>
      <c r="B43" s="417" t="s">
        <v>85</v>
      </c>
      <c r="C43" s="414" t="s">
        <v>86</v>
      </c>
      <c r="D43" s="415">
        <f t="shared" si="1"/>
        <v>1010</v>
      </c>
      <c r="E43" s="415">
        <v>320</v>
      </c>
      <c r="F43" s="415">
        <v>684</v>
      </c>
      <c r="G43" s="415">
        <v>6</v>
      </c>
      <c r="I43" s="988"/>
      <c r="J43" s="416"/>
      <c r="K43" s="416"/>
    </row>
    <row r="44" spans="1:11" x14ac:dyDescent="0.25">
      <c r="A44" s="18">
        <v>37</v>
      </c>
      <c r="B44" s="413" t="s">
        <v>87</v>
      </c>
      <c r="C44" s="414" t="s">
        <v>88</v>
      </c>
      <c r="D44" s="415">
        <f t="shared" si="1"/>
        <v>1215</v>
      </c>
      <c r="E44" s="415">
        <v>87</v>
      </c>
      <c r="F44" s="415">
        <v>1114</v>
      </c>
      <c r="G44" s="415">
        <v>14</v>
      </c>
      <c r="I44" s="988"/>
      <c r="J44" s="416"/>
      <c r="K44" s="416"/>
    </row>
    <row r="45" spans="1:11" x14ac:dyDescent="0.25">
      <c r="A45" s="18">
        <v>38</v>
      </c>
      <c r="B45" s="420" t="s">
        <v>89</v>
      </c>
      <c r="C45" s="421" t="s">
        <v>90</v>
      </c>
      <c r="D45" s="415">
        <f t="shared" si="1"/>
        <v>446</v>
      </c>
      <c r="E45" s="415">
        <v>80</v>
      </c>
      <c r="F45" s="415">
        <v>362</v>
      </c>
      <c r="G45" s="415">
        <v>4</v>
      </c>
      <c r="I45" s="988"/>
      <c r="J45" s="416"/>
      <c r="K45" s="416"/>
    </row>
    <row r="46" spans="1:11" x14ac:dyDescent="0.25">
      <c r="A46" s="18">
        <v>39</v>
      </c>
      <c r="B46" s="413" t="s">
        <v>91</v>
      </c>
      <c r="C46" s="414" t="s">
        <v>92</v>
      </c>
      <c r="D46" s="415">
        <f t="shared" si="1"/>
        <v>1</v>
      </c>
      <c r="E46" s="415">
        <v>0</v>
      </c>
      <c r="F46" s="415">
        <v>0</v>
      </c>
      <c r="G46" s="415">
        <v>1</v>
      </c>
      <c r="I46" s="988"/>
      <c r="J46" s="416"/>
      <c r="K46" s="416"/>
    </row>
    <row r="47" spans="1:11" x14ac:dyDescent="0.25">
      <c r="A47" s="18">
        <v>40</v>
      </c>
      <c r="B47" s="419" t="s">
        <v>93</v>
      </c>
      <c r="C47" s="22" t="s">
        <v>94</v>
      </c>
      <c r="D47" s="415">
        <f t="shared" si="1"/>
        <v>2</v>
      </c>
      <c r="E47" s="415">
        <v>0</v>
      </c>
      <c r="F47" s="415">
        <v>0</v>
      </c>
      <c r="G47" s="415">
        <v>2</v>
      </c>
      <c r="I47" s="988"/>
      <c r="J47" s="416"/>
      <c r="K47" s="416"/>
    </row>
    <row r="48" spans="1:11" x14ac:dyDescent="0.25">
      <c r="A48" s="18">
        <v>41</v>
      </c>
      <c r="B48" s="21" t="s">
        <v>95</v>
      </c>
      <c r="C48" s="418" t="s">
        <v>96</v>
      </c>
      <c r="D48" s="415">
        <f t="shared" si="1"/>
        <v>1</v>
      </c>
      <c r="E48" s="415">
        <v>0</v>
      </c>
      <c r="F48" s="415">
        <v>0</v>
      </c>
      <c r="G48" s="415">
        <v>1</v>
      </c>
      <c r="I48" s="988"/>
      <c r="J48" s="416"/>
      <c r="K48" s="416"/>
    </row>
    <row r="49" spans="1:11" x14ac:dyDescent="0.25">
      <c r="A49" s="18">
        <v>42</v>
      </c>
      <c r="B49" s="417" t="s">
        <v>97</v>
      </c>
      <c r="C49" s="414" t="s">
        <v>98</v>
      </c>
      <c r="D49" s="415">
        <f t="shared" si="1"/>
        <v>0</v>
      </c>
      <c r="E49" s="415">
        <v>0</v>
      </c>
      <c r="F49" s="415">
        <v>0</v>
      </c>
      <c r="G49" s="415">
        <v>0</v>
      </c>
      <c r="I49" s="988"/>
      <c r="J49" s="416"/>
      <c r="K49" s="416"/>
    </row>
    <row r="50" spans="1:11" x14ac:dyDescent="0.25">
      <c r="A50" s="18">
        <v>43</v>
      </c>
      <c r="B50" s="21" t="s">
        <v>99</v>
      </c>
      <c r="C50" s="418" t="s">
        <v>100</v>
      </c>
      <c r="D50" s="415">
        <f t="shared" si="1"/>
        <v>357</v>
      </c>
      <c r="E50" s="415">
        <v>140</v>
      </c>
      <c r="F50" s="415">
        <v>201</v>
      </c>
      <c r="G50" s="415">
        <v>16</v>
      </c>
      <c r="I50" s="988"/>
      <c r="J50" s="416"/>
      <c r="K50" s="416"/>
    </row>
    <row r="51" spans="1:11" x14ac:dyDescent="0.25">
      <c r="A51" s="18">
        <v>44</v>
      </c>
      <c r="B51" s="413" t="s">
        <v>101</v>
      </c>
      <c r="C51" s="414" t="s">
        <v>102</v>
      </c>
      <c r="D51" s="415">
        <f t="shared" si="1"/>
        <v>4</v>
      </c>
      <c r="E51" s="415">
        <v>0</v>
      </c>
      <c r="F51" s="415">
        <v>0</v>
      </c>
      <c r="G51" s="415">
        <v>4</v>
      </c>
      <c r="I51" s="988"/>
      <c r="J51" s="416"/>
      <c r="K51" s="416"/>
    </row>
    <row r="52" spans="1:11" x14ac:dyDescent="0.25">
      <c r="A52" s="18">
        <v>45</v>
      </c>
      <c r="B52" s="413" t="s">
        <v>103</v>
      </c>
      <c r="C52" s="414" t="s">
        <v>104</v>
      </c>
      <c r="D52" s="415">
        <f t="shared" si="1"/>
        <v>1699</v>
      </c>
      <c r="E52" s="415">
        <v>820</v>
      </c>
      <c r="F52" s="415">
        <v>866</v>
      </c>
      <c r="G52" s="415">
        <v>13</v>
      </c>
      <c r="I52" s="988"/>
      <c r="J52" s="416"/>
      <c r="K52" s="416"/>
    </row>
    <row r="53" spans="1:11" x14ac:dyDescent="0.25">
      <c r="A53" s="18">
        <v>46</v>
      </c>
      <c r="B53" s="21" t="s">
        <v>105</v>
      </c>
      <c r="C53" s="418" t="s">
        <v>106</v>
      </c>
      <c r="D53" s="415">
        <f t="shared" si="1"/>
        <v>1</v>
      </c>
      <c r="E53" s="415">
        <v>0</v>
      </c>
      <c r="F53" s="415">
        <v>0</v>
      </c>
      <c r="G53" s="415">
        <v>1</v>
      </c>
      <c r="I53" s="988"/>
      <c r="J53" s="416"/>
      <c r="K53" s="416"/>
    </row>
    <row r="54" spans="1:11" x14ac:dyDescent="0.25">
      <c r="A54" s="18">
        <v>47</v>
      </c>
      <c r="B54" s="21" t="s">
        <v>107</v>
      </c>
      <c r="C54" s="418" t="s">
        <v>108</v>
      </c>
      <c r="D54" s="415">
        <f t="shared" si="1"/>
        <v>3</v>
      </c>
      <c r="E54" s="415">
        <v>0</v>
      </c>
      <c r="F54" s="415">
        <v>0</v>
      </c>
      <c r="G54" s="415">
        <v>3</v>
      </c>
      <c r="I54" s="988"/>
      <c r="J54" s="416"/>
      <c r="K54" s="416"/>
    </row>
    <row r="55" spans="1:11" x14ac:dyDescent="0.25">
      <c r="A55" s="18">
        <v>48</v>
      </c>
      <c r="B55" s="417" t="s">
        <v>109</v>
      </c>
      <c r="C55" s="414" t="s">
        <v>110</v>
      </c>
      <c r="D55" s="415">
        <f t="shared" si="1"/>
        <v>6</v>
      </c>
      <c r="E55" s="415">
        <v>0</v>
      </c>
      <c r="F55" s="415">
        <v>0</v>
      </c>
      <c r="G55" s="415">
        <v>6</v>
      </c>
      <c r="I55" s="988"/>
      <c r="J55" s="416"/>
      <c r="K55" s="416"/>
    </row>
    <row r="56" spans="1:11" x14ac:dyDescent="0.25">
      <c r="A56" s="18">
        <v>49</v>
      </c>
      <c r="B56" s="21" t="s">
        <v>111</v>
      </c>
      <c r="C56" s="418" t="s">
        <v>112</v>
      </c>
      <c r="D56" s="415">
        <f t="shared" si="1"/>
        <v>1</v>
      </c>
      <c r="E56" s="415">
        <v>0</v>
      </c>
      <c r="F56" s="415">
        <v>0</v>
      </c>
      <c r="G56" s="415">
        <v>1</v>
      </c>
      <c r="I56" s="988"/>
      <c r="J56" s="416"/>
      <c r="K56" s="416"/>
    </row>
    <row r="57" spans="1:11" x14ac:dyDescent="0.25">
      <c r="A57" s="18">
        <v>50</v>
      </c>
      <c r="B57" s="417" t="s">
        <v>113</v>
      </c>
      <c r="C57" s="414" t="s">
        <v>114</v>
      </c>
      <c r="D57" s="415">
        <f t="shared" si="1"/>
        <v>707</v>
      </c>
      <c r="E57" s="415">
        <v>130</v>
      </c>
      <c r="F57" s="415">
        <v>572</v>
      </c>
      <c r="G57" s="415">
        <v>5</v>
      </c>
      <c r="I57" s="988"/>
      <c r="J57" s="416"/>
      <c r="K57" s="416"/>
    </row>
    <row r="58" spans="1:11" x14ac:dyDescent="0.25">
      <c r="A58" s="18">
        <v>51</v>
      </c>
      <c r="B58" s="21" t="s">
        <v>115</v>
      </c>
      <c r="C58" s="418" t="s">
        <v>116</v>
      </c>
      <c r="D58" s="415">
        <f t="shared" si="1"/>
        <v>3</v>
      </c>
      <c r="E58" s="415">
        <v>0</v>
      </c>
      <c r="F58" s="415">
        <v>0</v>
      </c>
      <c r="G58" s="415">
        <v>3</v>
      </c>
      <c r="I58" s="988"/>
      <c r="J58" s="416"/>
      <c r="K58" s="416"/>
    </row>
    <row r="59" spans="1:11" x14ac:dyDescent="0.25">
      <c r="A59" s="18">
        <v>52</v>
      </c>
      <c r="B59" s="21" t="s">
        <v>117</v>
      </c>
      <c r="C59" s="418" t="s">
        <v>118</v>
      </c>
      <c r="D59" s="415">
        <f t="shared" si="1"/>
        <v>1849</v>
      </c>
      <c r="E59" s="415">
        <v>430</v>
      </c>
      <c r="F59" s="415">
        <v>1397</v>
      </c>
      <c r="G59" s="415">
        <v>22</v>
      </c>
      <c r="I59" s="988"/>
      <c r="J59" s="416"/>
      <c r="K59" s="416"/>
    </row>
    <row r="60" spans="1:11" x14ac:dyDescent="0.25">
      <c r="A60" s="18">
        <v>53</v>
      </c>
      <c r="B60" s="21" t="s">
        <v>119</v>
      </c>
      <c r="C60" s="418" t="s">
        <v>120</v>
      </c>
      <c r="D60" s="415">
        <f t="shared" si="1"/>
        <v>2</v>
      </c>
      <c r="E60" s="415">
        <v>0</v>
      </c>
      <c r="F60" s="415">
        <v>0</v>
      </c>
      <c r="G60" s="415">
        <v>2</v>
      </c>
      <c r="I60" s="988"/>
      <c r="J60" s="416"/>
      <c r="K60" s="416"/>
    </row>
    <row r="61" spans="1:11" x14ac:dyDescent="0.25">
      <c r="A61" s="18">
        <v>54</v>
      </c>
      <c r="B61" s="21" t="s">
        <v>121</v>
      </c>
      <c r="C61" s="418" t="s">
        <v>122</v>
      </c>
      <c r="D61" s="415">
        <f t="shared" si="1"/>
        <v>0</v>
      </c>
      <c r="E61" s="415">
        <v>0</v>
      </c>
      <c r="F61" s="415">
        <v>0</v>
      </c>
      <c r="G61" s="415">
        <v>0</v>
      </c>
      <c r="I61" s="988"/>
      <c r="J61" s="416"/>
      <c r="K61" s="416"/>
    </row>
    <row r="62" spans="1:11" x14ac:dyDescent="0.25">
      <c r="A62" s="18">
        <v>55</v>
      </c>
      <c r="B62" s="21" t="s">
        <v>123</v>
      </c>
      <c r="C62" s="418" t="s">
        <v>124</v>
      </c>
      <c r="D62" s="415">
        <f t="shared" si="1"/>
        <v>0</v>
      </c>
      <c r="E62" s="415">
        <v>0</v>
      </c>
      <c r="F62" s="415">
        <v>0</v>
      </c>
      <c r="G62" s="415">
        <v>0</v>
      </c>
      <c r="I62" s="988"/>
      <c r="J62" s="416"/>
      <c r="K62" s="416"/>
    </row>
    <row r="63" spans="1:11" x14ac:dyDescent="0.25">
      <c r="A63" s="18">
        <v>56</v>
      </c>
      <c r="B63" s="422" t="s">
        <v>125</v>
      </c>
      <c r="C63" s="22" t="s">
        <v>126</v>
      </c>
      <c r="D63" s="415">
        <f t="shared" si="1"/>
        <v>0</v>
      </c>
      <c r="E63" s="415">
        <v>0</v>
      </c>
      <c r="F63" s="415">
        <v>0</v>
      </c>
      <c r="G63" s="415">
        <v>0</v>
      </c>
      <c r="I63" s="988"/>
      <c r="J63" s="416"/>
      <c r="K63" s="416"/>
    </row>
    <row r="64" spans="1:11" x14ac:dyDescent="0.25">
      <c r="A64" s="18">
        <v>57</v>
      </c>
      <c r="B64" s="21" t="s">
        <v>127</v>
      </c>
      <c r="C64" s="418" t="s">
        <v>128</v>
      </c>
      <c r="D64" s="415">
        <f t="shared" si="1"/>
        <v>35</v>
      </c>
      <c r="E64" s="415">
        <v>0</v>
      </c>
      <c r="F64" s="415">
        <v>0</v>
      </c>
      <c r="G64" s="415">
        <v>35</v>
      </c>
      <c r="I64" s="988"/>
      <c r="J64" s="416"/>
      <c r="K64" s="416"/>
    </row>
    <row r="65" spans="1:11" x14ac:dyDescent="0.25">
      <c r="A65" s="18">
        <v>58</v>
      </c>
      <c r="B65" s="417" t="s">
        <v>129</v>
      </c>
      <c r="C65" s="418" t="s">
        <v>777</v>
      </c>
      <c r="D65" s="415">
        <f t="shared" si="1"/>
        <v>37</v>
      </c>
      <c r="E65" s="415">
        <v>0</v>
      </c>
      <c r="F65" s="415">
        <v>0</v>
      </c>
      <c r="G65" s="415">
        <v>37</v>
      </c>
      <c r="I65" s="988"/>
      <c r="J65" s="416"/>
      <c r="K65" s="416"/>
    </row>
    <row r="66" spans="1:11" x14ac:dyDescent="0.25">
      <c r="A66" s="18">
        <v>59</v>
      </c>
      <c r="B66" s="419" t="s">
        <v>131</v>
      </c>
      <c r="C66" s="22" t="s">
        <v>132</v>
      </c>
      <c r="D66" s="415">
        <f t="shared" si="1"/>
        <v>36</v>
      </c>
      <c r="E66" s="415">
        <v>0</v>
      </c>
      <c r="F66" s="415">
        <v>0</v>
      </c>
      <c r="G66" s="415">
        <v>36</v>
      </c>
      <c r="I66" s="988"/>
      <c r="J66" s="416"/>
      <c r="K66" s="416"/>
    </row>
    <row r="67" spans="1:11" x14ac:dyDescent="0.25">
      <c r="A67" s="18">
        <v>60</v>
      </c>
      <c r="B67" s="417" t="s">
        <v>133</v>
      </c>
      <c r="C67" s="418" t="s">
        <v>778</v>
      </c>
      <c r="D67" s="415">
        <f t="shared" si="1"/>
        <v>55</v>
      </c>
      <c r="E67" s="415">
        <v>0</v>
      </c>
      <c r="F67" s="415">
        <v>0</v>
      </c>
      <c r="G67" s="415">
        <v>55</v>
      </c>
      <c r="I67" s="988"/>
      <c r="J67" s="416"/>
      <c r="K67" s="416"/>
    </row>
    <row r="68" spans="1:11" ht="30" x14ac:dyDescent="0.25">
      <c r="A68" s="18">
        <v>61</v>
      </c>
      <c r="B68" s="21" t="s">
        <v>135</v>
      </c>
      <c r="C68" s="418" t="s">
        <v>136</v>
      </c>
      <c r="D68" s="415">
        <f t="shared" si="1"/>
        <v>17</v>
      </c>
      <c r="E68" s="415">
        <v>0</v>
      </c>
      <c r="F68" s="415">
        <v>0</v>
      </c>
      <c r="G68" s="415">
        <v>17</v>
      </c>
      <c r="I68" s="988"/>
      <c r="J68" s="416"/>
      <c r="K68" s="416"/>
    </row>
    <row r="69" spans="1:11" ht="30" x14ac:dyDescent="0.25">
      <c r="A69" s="18">
        <v>62</v>
      </c>
      <c r="B69" s="413" t="s">
        <v>137</v>
      </c>
      <c r="C69" s="418" t="s">
        <v>779</v>
      </c>
      <c r="D69" s="415">
        <f t="shared" si="1"/>
        <v>0</v>
      </c>
      <c r="E69" s="415">
        <v>0</v>
      </c>
      <c r="F69" s="415">
        <v>0</v>
      </c>
      <c r="G69" s="415">
        <v>0</v>
      </c>
      <c r="I69" s="988"/>
      <c r="J69" s="416"/>
      <c r="K69" s="416"/>
    </row>
    <row r="70" spans="1:11" ht="30" x14ac:dyDescent="0.25">
      <c r="A70" s="18">
        <v>63</v>
      </c>
      <c r="B70" s="413" t="s">
        <v>139</v>
      </c>
      <c r="C70" s="418" t="s">
        <v>780</v>
      </c>
      <c r="D70" s="415">
        <f t="shared" si="1"/>
        <v>0</v>
      </c>
      <c r="E70" s="415">
        <v>0</v>
      </c>
      <c r="F70" s="415">
        <v>0</v>
      </c>
      <c r="G70" s="415">
        <v>0</v>
      </c>
      <c r="I70" s="988"/>
      <c r="J70" s="416"/>
      <c r="K70" s="416"/>
    </row>
    <row r="71" spans="1:11" x14ac:dyDescent="0.25">
      <c r="A71" s="18">
        <v>64</v>
      </c>
      <c r="B71" s="417" t="s">
        <v>141</v>
      </c>
      <c r="C71" s="418" t="s">
        <v>781</v>
      </c>
      <c r="D71" s="415">
        <f t="shared" si="1"/>
        <v>1988</v>
      </c>
      <c r="E71" s="415">
        <v>180</v>
      </c>
      <c r="F71" s="415">
        <v>1808</v>
      </c>
      <c r="G71" s="415">
        <v>0</v>
      </c>
      <c r="I71" s="988"/>
      <c r="J71" s="416"/>
      <c r="K71" s="416"/>
    </row>
    <row r="72" spans="1:11" x14ac:dyDescent="0.25">
      <c r="A72" s="18">
        <v>65</v>
      </c>
      <c r="B72" s="417" t="s">
        <v>143</v>
      </c>
      <c r="C72" s="414" t="s">
        <v>144</v>
      </c>
      <c r="D72" s="415">
        <f t="shared" si="1"/>
        <v>1105</v>
      </c>
      <c r="E72" s="415">
        <v>100</v>
      </c>
      <c r="F72" s="415">
        <v>1005</v>
      </c>
      <c r="G72" s="415">
        <v>0</v>
      </c>
      <c r="I72" s="988"/>
      <c r="J72" s="416"/>
      <c r="K72" s="416"/>
    </row>
    <row r="73" spans="1:11" x14ac:dyDescent="0.25">
      <c r="A73" s="18">
        <v>66</v>
      </c>
      <c r="B73" s="417" t="s">
        <v>145</v>
      </c>
      <c r="C73" s="418" t="s">
        <v>782</v>
      </c>
      <c r="D73" s="415">
        <f t="shared" ref="D73:D136" si="2">SUM(E73:G73)</f>
        <v>1948</v>
      </c>
      <c r="E73" s="415">
        <v>260</v>
      </c>
      <c r="F73" s="415">
        <v>1688</v>
      </c>
      <c r="G73" s="415">
        <v>0</v>
      </c>
      <c r="I73" s="988"/>
      <c r="J73" s="416"/>
      <c r="K73" s="416"/>
    </row>
    <row r="74" spans="1:11" ht="30" x14ac:dyDescent="0.25">
      <c r="A74" s="18">
        <v>67</v>
      </c>
      <c r="B74" s="417" t="s">
        <v>147</v>
      </c>
      <c r="C74" s="418" t="s">
        <v>783</v>
      </c>
      <c r="D74" s="415">
        <f t="shared" si="2"/>
        <v>0</v>
      </c>
      <c r="E74" s="415">
        <v>0</v>
      </c>
      <c r="F74" s="415">
        <v>0</v>
      </c>
      <c r="G74" s="415">
        <v>0</v>
      </c>
      <c r="I74" s="988"/>
      <c r="J74" s="416"/>
      <c r="K74" s="416"/>
    </row>
    <row r="75" spans="1:11" ht="30" x14ac:dyDescent="0.25">
      <c r="A75" s="18">
        <v>68</v>
      </c>
      <c r="B75" s="413" t="s">
        <v>149</v>
      </c>
      <c r="C75" s="418" t="s">
        <v>784</v>
      </c>
      <c r="D75" s="415">
        <f t="shared" si="2"/>
        <v>0</v>
      </c>
      <c r="E75" s="415">
        <v>0</v>
      </c>
      <c r="F75" s="415">
        <v>0</v>
      </c>
      <c r="G75" s="415">
        <v>0</v>
      </c>
      <c r="I75" s="988"/>
      <c r="J75" s="416"/>
      <c r="K75" s="416"/>
    </row>
    <row r="76" spans="1:11" ht="30" x14ac:dyDescent="0.25">
      <c r="A76" s="18">
        <v>69</v>
      </c>
      <c r="B76" s="417" t="s">
        <v>151</v>
      </c>
      <c r="C76" s="418" t="s">
        <v>785</v>
      </c>
      <c r="D76" s="415">
        <f t="shared" si="2"/>
        <v>0</v>
      </c>
      <c r="E76" s="415">
        <v>0</v>
      </c>
      <c r="F76" s="415">
        <v>0</v>
      </c>
      <c r="G76" s="415">
        <v>0</v>
      </c>
      <c r="I76" s="988"/>
      <c r="J76" s="416"/>
      <c r="K76" s="416"/>
    </row>
    <row r="77" spans="1:11" ht="30" x14ac:dyDescent="0.25">
      <c r="A77" s="18">
        <v>70</v>
      </c>
      <c r="B77" s="417" t="s">
        <v>153</v>
      </c>
      <c r="C77" s="418" t="s">
        <v>786</v>
      </c>
      <c r="D77" s="415">
        <f t="shared" si="2"/>
        <v>0</v>
      </c>
      <c r="E77" s="415">
        <v>0</v>
      </c>
      <c r="F77" s="415">
        <v>0</v>
      </c>
      <c r="G77" s="415">
        <v>0</v>
      </c>
      <c r="I77" s="988"/>
      <c r="J77" s="416"/>
      <c r="K77" s="416"/>
    </row>
    <row r="78" spans="1:11" ht="30" x14ac:dyDescent="0.25">
      <c r="A78" s="18">
        <v>71</v>
      </c>
      <c r="B78" s="413" t="s">
        <v>155</v>
      </c>
      <c r="C78" s="418" t="s">
        <v>787</v>
      </c>
      <c r="D78" s="415">
        <f t="shared" si="2"/>
        <v>0</v>
      </c>
      <c r="E78" s="415">
        <v>0</v>
      </c>
      <c r="F78" s="415">
        <v>0</v>
      </c>
      <c r="G78" s="415">
        <v>0</v>
      </c>
      <c r="I78" s="988"/>
      <c r="J78" s="416"/>
      <c r="K78" s="416"/>
    </row>
    <row r="79" spans="1:11" ht="30" x14ac:dyDescent="0.25">
      <c r="A79" s="18">
        <v>72</v>
      </c>
      <c r="B79" s="413" t="s">
        <v>157</v>
      </c>
      <c r="C79" s="418" t="s">
        <v>788</v>
      </c>
      <c r="D79" s="415">
        <f t="shared" si="2"/>
        <v>0</v>
      </c>
      <c r="E79" s="415">
        <v>0</v>
      </c>
      <c r="F79" s="415">
        <v>0</v>
      </c>
      <c r="G79" s="415">
        <v>0</v>
      </c>
      <c r="I79" s="988"/>
      <c r="J79" s="416"/>
      <c r="K79" s="416"/>
    </row>
    <row r="80" spans="1:11" ht="30" x14ac:dyDescent="0.25">
      <c r="A80" s="18">
        <v>73</v>
      </c>
      <c r="B80" s="413" t="s">
        <v>159</v>
      </c>
      <c r="C80" s="418" t="s">
        <v>789</v>
      </c>
      <c r="D80" s="415">
        <f t="shared" si="2"/>
        <v>0</v>
      </c>
      <c r="E80" s="415">
        <v>0</v>
      </c>
      <c r="F80" s="415">
        <v>0</v>
      </c>
      <c r="G80" s="415">
        <v>0</v>
      </c>
      <c r="I80" s="988"/>
      <c r="J80" s="416"/>
      <c r="K80" s="416"/>
    </row>
    <row r="81" spans="1:11" x14ac:dyDescent="0.25">
      <c r="A81" s="18">
        <v>74</v>
      </c>
      <c r="B81" s="21" t="s">
        <v>161</v>
      </c>
      <c r="C81" s="418" t="s">
        <v>162</v>
      </c>
      <c r="D81" s="415">
        <f t="shared" si="2"/>
        <v>1440</v>
      </c>
      <c r="E81" s="415">
        <v>170</v>
      </c>
      <c r="F81" s="415">
        <v>1255</v>
      </c>
      <c r="G81" s="415">
        <v>15</v>
      </c>
      <c r="I81" s="988"/>
      <c r="J81" s="416"/>
      <c r="K81" s="416"/>
    </row>
    <row r="82" spans="1:11" x14ac:dyDescent="0.25">
      <c r="A82" s="18">
        <v>75</v>
      </c>
      <c r="B82" s="413" t="s">
        <v>163</v>
      </c>
      <c r="C82" s="418" t="s">
        <v>790</v>
      </c>
      <c r="D82" s="415">
        <f t="shared" si="2"/>
        <v>1987</v>
      </c>
      <c r="E82" s="415">
        <v>230</v>
      </c>
      <c r="F82" s="415">
        <v>1757</v>
      </c>
      <c r="G82" s="415">
        <v>0</v>
      </c>
      <c r="I82" s="988"/>
      <c r="J82" s="416"/>
      <c r="K82" s="416"/>
    </row>
    <row r="83" spans="1:11" x14ac:dyDescent="0.25">
      <c r="A83" s="18">
        <v>76</v>
      </c>
      <c r="B83" s="21" t="s">
        <v>165</v>
      </c>
      <c r="C83" s="418" t="s">
        <v>166</v>
      </c>
      <c r="D83" s="415">
        <f t="shared" si="2"/>
        <v>1747</v>
      </c>
      <c r="E83" s="415">
        <v>180</v>
      </c>
      <c r="F83" s="415">
        <v>1567</v>
      </c>
      <c r="G83" s="415">
        <v>0</v>
      </c>
      <c r="I83" s="988"/>
      <c r="J83" s="416"/>
      <c r="K83" s="416"/>
    </row>
    <row r="84" spans="1:11" x14ac:dyDescent="0.25">
      <c r="A84" s="18">
        <v>77</v>
      </c>
      <c r="B84" s="419" t="s">
        <v>167</v>
      </c>
      <c r="C84" s="22" t="s">
        <v>168</v>
      </c>
      <c r="D84" s="415">
        <f t="shared" si="2"/>
        <v>0</v>
      </c>
      <c r="E84" s="415">
        <v>0</v>
      </c>
      <c r="F84" s="415">
        <v>0</v>
      </c>
      <c r="G84" s="415">
        <v>0</v>
      </c>
      <c r="I84" s="988"/>
      <c r="J84" s="416"/>
      <c r="K84" s="416"/>
    </row>
    <row r="85" spans="1:11" x14ac:dyDescent="0.25">
      <c r="A85" s="18">
        <v>78</v>
      </c>
      <c r="B85" s="413" t="s">
        <v>169</v>
      </c>
      <c r="C85" s="418" t="s">
        <v>170</v>
      </c>
      <c r="D85" s="415">
        <f t="shared" si="2"/>
        <v>2430</v>
      </c>
      <c r="E85" s="415">
        <v>380</v>
      </c>
      <c r="F85" s="415">
        <v>2050</v>
      </c>
      <c r="G85" s="415">
        <v>0</v>
      </c>
      <c r="I85" s="988"/>
      <c r="J85" s="416"/>
      <c r="K85" s="416"/>
    </row>
    <row r="86" spans="1:11" x14ac:dyDescent="0.25">
      <c r="A86" s="18">
        <v>79</v>
      </c>
      <c r="B86" s="419" t="s">
        <v>171</v>
      </c>
      <c r="C86" s="22" t="s">
        <v>172</v>
      </c>
      <c r="D86" s="415">
        <f t="shared" si="2"/>
        <v>17</v>
      </c>
      <c r="E86" s="415">
        <v>0</v>
      </c>
      <c r="F86" s="415">
        <v>0</v>
      </c>
      <c r="G86" s="415">
        <v>17</v>
      </c>
      <c r="I86" s="988"/>
      <c r="J86" s="416"/>
      <c r="K86" s="416"/>
    </row>
    <row r="87" spans="1:11" x14ac:dyDescent="0.25">
      <c r="A87" s="18">
        <v>80</v>
      </c>
      <c r="B87" s="413" t="s">
        <v>173</v>
      </c>
      <c r="C87" s="418" t="s">
        <v>791</v>
      </c>
      <c r="D87" s="415">
        <f t="shared" si="2"/>
        <v>1888</v>
      </c>
      <c r="E87" s="415">
        <v>230</v>
      </c>
      <c r="F87" s="415">
        <v>1658</v>
      </c>
      <c r="G87" s="415">
        <v>0</v>
      </c>
      <c r="I87" s="988"/>
      <c r="J87" s="416"/>
      <c r="K87" s="416"/>
    </row>
    <row r="88" spans="1:11" x14ac:dyDescent="0.25">
      <c r="A88" s="18">
        <v>81</v>
      </c>
      <c r="B88" s="419" t="s">
        <v>175</v>
      </c>
      <c r="C88" s="22" t="s">
        <v>746</v>
      </c>
      <c r="D88" s="415">
        <f t="shared" si="2"/>
        <v>0</v>
      </c>
      <c r="E88" s="415">
        <v>0</v>
      </c>
      <c r="F88" s="415">
        <v>0</v>
      </c>
      <c r="G88" s="415">
        <v>0</v>
      </c>
      <c r="I88" s="988"/>
      <c r="J88" s="416"/>
      <c r="K88" s="416"/>
    </row>
    <row r="89" spans="1:11" x14ac:dyDescent="0.25">
      <c r="A89" s="18">
        <v>82</v>
      </c>
      <c r="B89" s="417" t="s">
        <v>177</v>
      </c>
      <c r="C89" s="418" t="s">
        <v>792</v>
      </c>
      <c r="D89" s="415">
        <f t="shared" si="2"/>
        <v>0</v>
      </c>
      <c r="E89" s="415">
        <v>0</v>
      </c>
      <c r="F89" s="415">
        <v>0</v>
      </c>
      <c r="G89" s="415">
        <v>0</v>
      </c>
      <c r="I89" s="988"/>
      <c r="J89" s="416"/>
      <c r="K89" s="416"/>
    </row>
    <row r="90" spans="1:11" ht="48.75" customHeight="1" x14ac:dyDescent="0.25">
      <c r="A90" s="1128">
        <v>83</v>
      </c>
      <c r="B90" s="1131" t="s">
        <v>178</v>
      </c>
      <c r="C90" s="22" t="s">
        <v>744</v>
      </c>
      <c r="D90" s="415">
        <f t="shared" si="2"/>
        <v>0</v>
      </c>
      <c r="E90" s="415">
        <v>0</v>
      </c>
      <c r="F90" s="415">
        <v>0</v>
      </c>
      <c r="G90" s="415">
        <v>0</v>
      </c>
      <c r="I90" s="988"/>
      <c r="J90" s="416"/>
      <c r="K90" s="416"/>
    </row>
    <row r="91" spans="1:11" ht="38.25" customHeight="1" x14ac:dyDescent="0.25">
      <c r="A91" s="1129"/>
      <c r="B91" s="1132"/>
      <c r="C91" s="418" t="s">
        <v>180</v>
      </c>
      <c r="D91" s="415">
        <f t="shared" si="2"/>
        <v>0</v>
      </c>
      <c r="E91" s="415">
        <v>0</v>
      </c>
      <c r="F91" s="415">
        <v>0</v>
      </c>
      <c r="G91" s="415">
        <v>0</v>
      </c>
      <c r="I91" s="988"/>
      <c r="J91" s="416"/>
      <c r="K91" s="416"/>
    </row>
    <row r="92" spans="1:11" ht="45" x14ac:dyDescent="0.25">
      <c r="A92" s="1130"/>
      <c r="B92" s="1133"/>
      <c r="C92" s="423" t="s">
        <v>745</v>
      </c>
      <c r="D92" s="415">
        <f t="shared" si="2"/>
        <v>0</v>
      </c>
      <c r="E92" s="415">
        <v>0</v>
      </c>
      <c r="F92" s="415">
        <v>0</v>
      </c>
      <c r="G92" s="415">
        <v>0</v>
      </c>
      <c r="I92" s="988"/>
      <c r="J92" s="416"/>
      <c r="K92" s="416"/>
    </row>
    <row r="93" spans="1:11" ht="30" x14ac:dyDescent="0.25">
      <c r="A93" s="18">
        <v>84</v>
      </c>
      <c r="B93" s="417" t="s">
        <v>181</v>
      </c>
      <c r="C93" s="414" t="s">
        <v>182</v>
      </c>
      <c r="D93" s="415">
        <f t="shared" si="2"/>
        <v>0</v>
      </c>
      <c r="E93" s="415">
        <v>0</v>
      </c>
      <c r="F93" s="415">
        <v>0</v>
      </c>
      <c r="G93" s="415">
        <v>0</v>
      </c>
      <c r="I93" s="988"/>
      <c r="J93" s="416"/>
      <c r="K93" s="416"/>
    </row>
    <row r="94" spans="1:11" x14ac:dyDescent="0.25">
      <c r="A94" s="18">
        <v>85</v>
      </c>
      <c r="B94" s="417" t="s">
        <v>183</v>
      </c>
      <c r="C94" s="22" t="s">
        <v>184</v>
      </c>
      <c r="D94" s="415">
        <f t="shared" si="2"/>
        <v>0</v>
      </c>
      <c r="E94" s="415">
        <v>0</v>
      </c>
      <c r="F94" s="415">
        <v>0</v>
      </c>
      <c r="G94" s="415">
        <v>0</v>
      </c>
      <c r="I94" s="988"/>
      <c r="J94" s="416"/>
      <c r="K94" s="416"/>
    </row>
    <row r="95" spans="1:11" x14ac:dyDescent="0.25">
      <c r="A95" s="18">
        <v>86</v>
      </c>
      <c r="B95" s="21" t="s">
        <v>185</v>
      </c>
      <c r="C95" s="418" t="s">
        <v>186</v>
      </c>
      <c r="D95" s="415">
        <f t="shared" si="2"/>
        <v>0</v>
      </c>
      <c r="E95" s="415">
        <v>0</v>
      </c>
      <c r="F95" s="415">
        <v>0</v>
      </c>
      <c r="G95" s="415">
        <v>0</v>
      </c>
      <c r="I95" s="988"/>
      <c r="J95" s="416"/>
      <c r="K95" s="416"/>
    </row>
    <row r="96" spans="1:11" x14ac:dyDescent="0.25">
      <c r="A96" s="18">
        <v>87</v>
      </c>
      <c r="B96" s="417" t="s">
        <v>187</v>
      </c>
      <c r="C96" s="414" t="s">
        <v>188</v>
      </c>
      <c r="D96" s="415">
        <f t="shared" si="2"/>
        <v>2</v>
      </c>
      <c r="E96" s="415">
        <v>0</v>
      </c>
      <c r="F96" s="415">
        <v>0</v>
      </c>
      <c r="G96" s="415">
        <v>2</v>
      </c>
      <c r="I96" s="988"/>
      <c r="J96" s="416"/>
      <c r="K96" s="416"/>
    </row>
    <row r="97" spans="1:11" x14ac:dyDescent="0.25">
      <c r="A97" s="18">
        <v>88</v>
      </c>
      <c r="B97" s="21" t="s">
        <v>189</v>
      </c>
      <c r="C97" s="418" t="s">
        <v>190</v>
      </c>
      <c r="D97" s="415">
        <f t="shared" si="2"/>
        <v>1</v>
      </c>
      <c r="E97" s="415">
        <v>0</v>
      </c>
      <c r="F97" s="415">
        <v>0</v>
      </c>
      <c r="G97" s="415">
        <v>1</v>
      </c>
      <c r="I97" s="988"/>
      <c r="J97" s="416"/>
      <c r="K97" s="416"/>
    </row>
    <row r="98" spans="1:11" x14ac:dyDescent="0.25">
      <c r="A98" s="18">
        <v>89</v>
      </c>
      <c r="B98" s="21" t="s">
        <v>191</v>
      </c>
      <c r="C98" s="418" t="s">
        <v>192</v>
      </c>
      <c r="D98" s="415">
        <f t="shared" si="2"/>
        <v>1034</v>
      </c>
      <c r="E98" s="415">
        <v>110</v>
      </c>
      <c r="F98" s="415">
        <v>914</v>
      </c>
      <c r="G98" s="415">
        <v>10</v>
      </c>
      <c r="I98" s="988"/>
      <c r="J98" s="416"/>
      <c r="K98" s="416"/>
    </row>
    <row r="99" spans="1:11" x14ac:dyDescent="0.25">
      <c r="A99" s="18">
        <v>90</v>
      </c>
      <c r="B99" s="417" t="s">
        <v>193</v>
      </c>
      <c r="C99" s="22" t="s">
        <v>194</v>
      </c>
      <c r="D99" s="415">
        <f t="shared" si="2"/>
        <v>1</v>
      </c>
      <c r="E99" s="415">
        <v>0</v>
      </c>
      <c r="F99" s="415">
        <v>0</v>
      </c>
      <c r="G99" s="415">
        <v>1</v>
      </c>
      <c r="I99" s="988"/>
      <c r="J99" s="416"/>
      <c r="K99" s="416"/>
    </row>
    <row r="100" spans="1:11" x14ac:dyDescent="0.25">
      <c r="A100" s="18">
        <v>91</v>
      </c>
      <c r="B100" s="417" t="s">
        <v>195</v>
      </c>
      <c r="C100" s="414" t="s">
        <v>196</v>
      </c>
      <c r="D100" s="415">
        <f t="shared" si="2"/>
        <v>1066</v>
      </c>
      <c r="E100" s="415">
        <v>100</v>
      </c>
      <c r="F100" s="415">
        <v>964</v>
      </c>
      <c r="G100" s="415">
        <v>2</v>
      </c>
      <c r="I100" s="988"/>
      <c r="J100" s="416"/>
      <c r="K100" s="416"/>
    </row>
    <row r="101" spans="1:11" x14ac:dyDescent="0.25">
      <c r="A101" s="18">
        <v>92</v>
      </c>
      <c r="B101" s="413" t="s">
        <v>197</v>
      </c>
      <c r="C101" s="414" t="s">
        <v>198</v>
      </c>
      <c r="D101" s="415">
        <f t="shared" si="2"/>
        <v>834</v>
      </c>
      <c r="E101" s="415">
        <v>220</v>
      </c>
      <c r="F101" s="415">
        <v>603</v>
      </c>
      <c r="G101" s="415">
        <v>11</v>
      </c>
      <c r="I101" s="988"/>
      <c r="J101" s="416"/>
      <c r="K101" s="416"/>
    </row>
    <row r="102" spans="1:11" x14ac:dyDescent="0.25">
      <c r="A102" s="18">
        <v>93</v>
      </c>
      <c r="B102" s="413" t="s">
        <v>199</v>
      </c>
      <c r="C102" s="414" t="s">
        <v>200</v>
      </c>
      <c r="D102" s="415">
        <f t="shared" si="2"/>
        <v>1011</v>
      </c>
      <c r="E102" s="415">
        <v>90</v>
      </c>
      <c r="F102" s="415">
        <v>914</v>
      </c>
      <c r="G102" s="415">
        <v>7</v>
      </c>
      <c r="I102" s="988"/>
      <c r="J102" s="416"/>
      <c r="K102" s="416"/>
    </row>
    <row r="103" spans="1:11" x14ac:dyDescent="0.25">
      <c r="A103" s="18">
        <v>94</v>
      </c>
      <c r="B103" s="21" t="s">
        <v>201</v>
      </c>
      <c r="C103" s="418" t="s">
        <v>202</v>
      </c>
      <c r="D103" s="415">
        <f t="shared" si="2"/>
        <v>286</v>
      </c>
      <c r="E103" s="415">
        <v>40</v>
      </c>
      <c r="F103" s="415">
        <v>241</v>
      </c>
      <c r="G103" s="415">
        <v>5</v>
      </c>
      <c r="I103" s="988"/>
      <c r="J103" s="416"/>
      <c r="K103" s="416"/>
    </row>
    <row r="104" spans="1:11" x14ac:dyDescent="0.25">
      <c r="A104" s="18">
        <v>95</v>
      </c>
      <c r="B104" s="419" t="s">
        <v>203</v>
      </c>
      <c r="C104" s="22" t="s">
        <v>204</v>
      </c>
      <c r="D104" s="415">
        <f t="shared" si="2"/>
        <v>3</v>
      </c>
      <c r="E104" s="415">
        <v>0</v>
      </c>
      <c r="F104" s="415">
        <v>0</v>
      </c>
      <c r="G104" s="415">
        <v>3</v>
      </c>
      <c r="I104" s="988"/>
      <c r="J104" s="416"/>
      <c r="K104" s="416"/>
    </row>
    <row r="105" spans="1:11" x14ac:dyDescent="0.25">
      <c r="A105" s="18">
        <v>96</v>
      </c>
      <c r="B105" s="413" t="s">
        <v>205</v>
      </c>
      <c r="C105" s="414" t="s">
        <v>206</v>
      </c>
      <c r="D105" s="415">
        <f t="shared" si="2"/>
        <v>1</v>
      </c>
      <c r="E105" s="415">
        <v>0</v>
      </c>
      <c r="F105" s="415">
        <v>0</v>
      </c>
      <c r="G105" s="415">
        <v>1</v>
      </c>
      <c r="I105" s="988"/>
      <c r="J105" s="416"/>
      <c r="K105" s="416"/>
    </row>
    <row r="106" spans="1:11" x14ac:dyDescent="0.25">
      <c r="A106" s="18">
        <v>97</v>
      </c>
      <c r="B106" s="417" t="s">
        <v>207</v>
      </c>
      <c r="C106" s="414" t="s">
        <v>208</v>
      </c>
      <c r="D106" s="415">
        <f t="shared" si="2"/>
        <v>466</v>
      </c>
      <c r="E106" s="415">
        <v>60</v>
      </c>
      <c r="F106" s="415">
        <v>401</v>
      </c>
      <c r="G106" s="415">
        <v>5</v>
      </c>
      <c r="I106" s="988"/>
      <c r="J106" s="416"/>
      <c r="K106" s="416"/>
    </row>
    <row r="107" spans="1:11" x14ac:dyDescent="0.25">
      <c r="A107" s="18">
        <v>98</v>
      </c>
      <c r="B107" s="21" t="s">
        <v>209</v>
      </c>
      <c r="C107" s="418" t="s">
        <v>210</v>
      </c>
      <c r="D107" s="415">
        <f t="shared" si="2"/>
        <v>4</v>
      </c>
      <c r="E107" s="415">
        <v>0</v>
      </c>
      <c r="F107" s="415">
        <v>0</v>
      </c>
      <c r="G107" s="415">
        <v>4</v>
      </c>
      <c r="I107" s="988"/>
      <c r="J107" s="416"/>
      <c r="K107" s="416"/>
    </row>
    <row r="108" spans="1:11" x14ac:dyDescent="0.25">
      <c r="A108" s="18">
        <v>99</v>
      </c>
      <c r="B108" s="21" t="s">
        <v>211</v>
      </c>
      <c r="C108" s="418" t="s">
        <v>212</v>
      </c>
      <c r="D108" s="415">
        <f t="shared" si="2"/>
        <v>805</v>
      </c>
      <c r="E108" s="415">
        <v>100</v>
      </c>
      <c r="F108" s="415">
        <v>703</v>
      </c>
      <c r="G108" s="415">
        <v>2</v>
      </c>
      <c r="I108" s="988"/>
      <c r="J108" s="416"/>
      <c r="K108" s="416"/>
    </row>
    <row r="109" spans="1:11" x14ac:dyDescent="0.25">
      <c r="A109" s="18">
        <v>100</v>
      </c>
      <c r="B109" s="413" t="s">
        <v>213</v>
      </c>
      <c r="C109" s="414" t="s">
        <v>214</v>
      </c>
      <c r="D109" s="415">
        <f t="shared" si="2"/>
        <v>749</v>
      </c>
      <c r="E109" s="415">
        <v>70</v>
      </c>
      <c r="F109" s="415">
        <v>673</v>
      </c>
      <c r="G109" s="415">
        <v>6</v>
      </c>
      <c r="I109" s="988"/>
      <c r="J109" s="416"/>
      <c r="K109" s="416"/>
    </row>
    <row r="110" spans="1:11" x14ac:dyDescent="0.25">
      <c r="A110" s="18">
        <v>101</v>
      </c>
      <c r="B110" s="417" t="s">
        <v>215</v>
      </c>
      <c r="C110" s="414" t="s">
        <v>216</v>
      </c>
      <c r="D110" s="415">
        <f t="shared" si="2"/>
        <v>3</v>
      </c>
      <c r="E110" s="415">
        <v>0</v>
      </c>
      <c r="F110" s="415">
        <v>0</v>
      </c>
      <c r="G110" s="415">
        <v>3</v>
      </c>
      <c r="I110" s="988"/>
      <c r="J110" s="416"/>
      <c r="K110" s="416"/>
    </row>
    <row r="111" spans="1:11" x14ac:dyDescent="0.25">
      <c r="A111" s="18">
        <v>102</v>
      </c>
      <c r="B111" s="413" t="s">
        <v>217</v>
      </c>
      <c r="C111" s="418" t="s">
        <v>218</v>
      </c>
      <c r="D111" s="415">
        <f t="shared" si="2"/>
        <v>0</v>
      </c>
      <c r="E111" s="415">
        <v>0</v>
      </c>
      <c r="F111" s="415">
        <v>0</v>
      </c>
      <c r="G111" s="415">
        <v>0</v>
      </c>
      <c r="I111" s="988"/>
      <c r="J111" s="416"/>
      <c r="K111" s="416"/>
    </row>
    <row r="112" spans="1:11" x14ac:dyDescent="0.25">
      <c r="A112" s="18">
        <v>103</v>
      </c>
      <c r="B112" s="413" t="s">
        <v>219</v>
      </c>
      <c r="C112" s="414" t="s">
        <v>220</v>
      </c>
      <c r="D112" s="415">
        <f t="shared" si="2"/>
        <v>0</v>
      </c>
      <c r="E112" s="415">
        <v>0</v>
      </c>
      <c r="F112" s="415">
        <v>0</v>
      </c>
      <c r="G112" s="415">
        <v>0</v>
      </c>
      <c r="I112" s="988"/>
      <c r="J112" s="416"/>
      <c r="K112" s="416"/>
    </row>
    <row r="113" spans="1:11" x14ac:dyDescent="0.25">
      <c r="A113" s="18">
        <v>104</v>
      </c>
      <c r="B113" s="21" t="s">
        <v>221</v>
      </c>
      <c r="C113" s="418" t="s">
        <v>222</v>
      </c>
      <c r="D113" s="415">
        <f t="shared" si="2"/>
        <v>0</v>
      </c>
      <c r="E113" s="415">
        <v>0</v>
      </c>
      <c r="F113" s="415">
        <v>0</v>
      </c>
      <c r="G113" s="415">
        <v>0</v>
      </c>
      <c r="I113" s="988"/>
      <c r="J113" s="416"/>
      <c r="K113" s="416"/>
    </row>
    <row r="114" spans="1:11" x14ac:dyDescent="0.25">
      <c r="A114" s="18">
        <v>105</v>
      </c>
      <c r="B114" s="21" t="s">
        <v>223</v>
      </c>
      <c r="C114" s="418" t="s">
        <v>224</v>
      </c>
      <c r="D114" s="415">
        <f t="shared" si="2"/>
        <v>0</v>
      </c>
      <c r="E114" s="415">
        <v>0</v>
      </c>
      <c r="F114" s="415">
        <v>0</v>
      </c>
      <c r="G114" s="415">
        <v>0</v>
      </c>
      <c r="I114" s="988"/>
      <c r="J114" s="416"/>
      <c r="K114" s="416"/>
    </row>
    <row r="115" spans="1:11" x14ac:dyDescent="0.25">
      <c r="A115" s="18">
        <v>106</v>
      </c>
      <c r="B115" s="21" t="s">
        <v>225</v>
      </c>
      <c r="C115" s="418" t="s">
        <v>226</v>
      </c>
      <c r="D115" s="415">
        <f t="shared" si="2"/>
        <v>0</v>
      </c>
      <c r="E115" s="415">
        <v>0</v>
      </c>
      <c r="F115" s="415">
        <v>0</v>
      </c>
      <c r="G115" s="415">
        <v>0</v>
      </c>
      <c r="I115" s="988"/>
      <c r="J115" s="416"/>
      <c r="K115" s="416"/>
    </row>
    <row r="116" spans="1:11" x14ac:dyDescent="0.25">
      <c r="A116" s="18">
        <v>107</v>
      </c>
      <c r="B116" s="21" t="s">
        <v>227</v>
      </c>
      <c r="C116" s="418" t="s">
        <v>228</v>
      </c>
      <c r="D116" s="415">
        <f t="shared" si="2"/>
        <v>0</v>
      </c>
      <c r="E116" s="415">
        <v>0</v>
      </c>
      <c r="F116" s="415">
        <v>0</v>
      </c>
      <c r="G116" s="415">
        <v>0</v>
      </c>
      <c r="I116" s="988"/>
      <c r="J116" s="416"/>
      <c r="K116" s="416"/>
    </row>
    <row r="117" spans="1:11" x14ac:dyDescent="0.25">
      <c r="A117" s="18">
        <v>108</v>
      </c>
      <c r="B117" s="21" t="s">
        <v>229</v>
      </c>
      <c r="C117" s="418" t="s">
        <v>230</v>
      </c>
      <c r="D117" s="415">
        <f t="shared" si="2"/>
        <v>0</v>
      </c>
      <c r="E117" s="415">
        <v>0</v>
      </c>
      <c r="F117" s="415">
        <v>0</v>
      </c>
      <c r="G117" s="415">
        <v>0</v>
      </c>
      <c r="I117" s="988"/>
      <c r="J117" s="416"/>
      <c r="K117" s="416"/>
    </row>
    <row r="118" spans="1:11" x14ac:dyDescent="0.25">
      <c r="A118" s="18">
        <v>109</v>
      </c>
      <c r="B118" s="21" t="s">
        <v>231</v>
      </c>
      <c r="C118" s="418" t="s">
        <v>232</v>
      </c>
      <c r="D118" s="415">
        <f t="shared" si="2"/>
        <v>0</v>
      </c>
      <c r="E118" s="415">
        <v>0</v>
      </c>
      <c r="F118" s="415">
        <v>0</v>
      </c>
      <c r="G118" s="415">
        <v>0</v>
      </c>
      <c r="I118" s="988"/>
      <c r="J118" s="416"/>
      <c r="K118" s="416"/>
    </row>
    <row r="119" spans="1:11" x14ac:dyDescent="0.25">
      <c r="A119" s="18">
        <v>110</v>
      </c>
      <c r="B119" s="424" t="s">
        <v>233</v>
      </c>
      <c r="C119" s="425" t="s">
        <v>234</v>
      </c>
      <c r="D119" s="415">
        <f t="shared" si="2"/>
        <v>0</v>
      </c>
      <c r="E119" s="415">
        <v>0</v>
      </c>
      <c r="F119" s="415">
        <v>0</v>
      </c>
      <c r="G119" s="415">
        <v>0</v>
      </c>
      <c r="I119" s="988"/>
      <c r="J119" s="416"/>
      <c r="K119" s="416"/>
    </row>
    <row r="120" spans="1:11" x14ac:dyDescent="0.25">
      <c r="A120" s="18">
        <v>111</v>
      </c>
      <c r="B120" s="424" t="s">
        <v>235</v>
      </c>
      <c r="C120" s="425" t="s">
        <v>236</v>
      </c>
      <c r="D120" s="415">
        <f t="shared" si="2"/>
        <v>0</v>
      </c>
      <c r="E120" s="415">
        <v>0</v>
      </c>
      <c r="F120" s="415">
        <v>0</v>
      </c>
      <c r="G120" s="415">
        <v>0</v>
      </c>
      <c r="I120" s="988"/>
      <c r="J120" s="416"/>
      <c r="K120" s="416"/>
    </row>
    <row r="121" spans="1:11" x14ac:dyDescent="0.25">
      <c r="A121" s="18">
        <v>112</v>
      </c>
      <c r="B121" s="417" t="s">
        <v>237</v>
      </c>
      <c r="C121" s="414" t="s">
        <v>238</v>
      </c>
      <c r="D121" s="415">
        <f t="shared" si="2"/>
        <v>0</v>
      </c>
      <c r="E121" s="415">
        <v>0</v>
      </c>
      <c r="F121" s="415">
        <v>0</v>
      </c>
      <c r="G121" s="415">
        <v>0</v>
      </c>
      <c r="I121" s="988"/>
      <c r="J121" s="416"/>
      <c r="K121" s="416"/>
    </row>
    <row r="122" spans="1:11" x14ac:dyDescent="0.25">
      <c r="A122" s="18">
        <v>113</v>
      </c>
      <c r="B122" s="21" t="s">
        <v>239</v>
      </c>
      <c r="C122" s="418" t="s">
        <v>240</v>
      </c>
      <c r="D122" s="415">
        <f t="shared" si="2"/>
        <v>0</v>
      </c>
      <c r="E122" s="415">
        <v>0</v>
      </c>
      <c r="F122" s="415">
        <v>0</v>
      </c>
      <c r="G122" s="415">
        <v>0</v>
      </c>
      <c r="I122" s="988"/>
      <c r="J122" s="416"/>
      <c r="K122" s="416"/>
    </row>
    <row r="123" spans="1:11" x14ac:dyDescent="0.25">
      <c r="A123" s="18">
        <v>114</v>
      </c>
      <c r="B123" s="413" t="s">
        <v>241</v>
      </c>
      <c r="C123" s="426" t="s">
        <v>242</v>
      </c>
      <c r="D123" s="415">
        <f t="shared" si="2"/>
        <v>0</v>
      </c>
      <c r="E123" s="415">
        <v>0</v>
      </c>
      <c r="F123" s="415">
        <v>0</v>
      </c>
      <c r="G123" s="415">
        <v>0</v>
      </c>
      <c r="I123" s="988"/>
      <c r="J123" s="416"/>
      <c r="K123" s="416"/>
    </row>
    <row r="124" spans="1:11" x14ac:dyDescent="0.25">
      <c r="A124" s="18">
        <v>115</v>
      </c>
      <c r="B124" s="21" t="s">
        <v>243</v>
      </c>
      <c r="C124" s="427" t="s">
        <v>385</v>
      </c>
      <c r="D124" s="415">
        <f t="shared" si="2"/>
        <v>0</v>
      </c>
      <c r="E124" s="415">
        <v>0</v>
      </c>
      <c r="F124" s="415">
        <v>0</v>
      </c>
      <c r="G124" s="415">
        <v>0</v>
      </c>
      <c r="I124" s="988"/>
      <c r="J124" s="416"/>
      <c r="K124" s="416"/>
    </row>
    <row r="125" spans="1:11" x14ac:dyDescent="0.25">
      <c r="A125" s="18">
        <v>116</v>
      </c>
      <c r="B125" s="417" t="s">
        <v>244</v>
      </c>
      <c r="C125" s="418" t="s">
        <v>793</v>
      </c>
      <c r="D125" s="415">
        <f t="shared" si="2"/>
        <v>0</v>
      </c>
      <c r="E125" s="415">
        <v>0</v>
      </c>
      <c r="F125" s="415">
        <v>0</v>
      </c>
      <c r="G125" s="415">
        <v>0</v>
      </c>
      <c r="I125" s="988"/>
      <c r="J125" s="416"/>
      <c r="K125" s="416"/>
    </row>
    <row r="126" spans="1:11" x14ac:dyDescent="0.25">
      <c r="A126" s="18">
        <v>117</v>
      </c>
      <c r="B126" s="417" t="s">
        <v>246</v>
      </c>
      <c r="C126" s="418" t="s">
        <v>247</v>
      </c>
      <c r="D126" s="415">
        <f t="shared" si="2"/>
        <v>0</v>
      </c>
      <c r="E126" s="415">
        <v>0</v>
      </c>
      <c r="F126" s="415">
        <v>0</v>
      </c>
      <c r="G126" s="415">
        <v>0</v>
      </c>
      <c r="I126" s="988"/>
      <c r="J126" s="416"/>
      <c r="K126" s="416"/>
    </row>
    <row r="127" spans="1:11" x14ac:dyDescent="0.25">
      <c r="A127" s="18">
        <v>118</v>
      </c>
      <c r="B127" s="417" t="s">
        <v>248</v>
      </c>
      <c r="C127" s="418" t="s">
        <v>249</v>
      </c>
      <c r="D127" s="415">
        <f t="shared" si="2"/>
        <v>0</v>
      </c>
      <c r="E127" s="415">
        <v>0</v>
      </c>
      <c r="F127" s="415">
        <v>0</v>
      </c>
      <c r="G127" s="415">
        <v>0</v>
      </c>
      <c r="I127" s="988"/>
      <c r="J127" s="416"/>
      <c r="K127" s="416"/>
    </row>
    <row r="128" spans="1:11" x14ac:dyDescent="0.25">
      <c r="A128" s="18">
        <v>119</v>
      </c>
      <c r="B128" s="413" t="s">
        <v>250</v>
      </c>
      <c r="C128" s="414" t="s">
        <v>251</v>
      </c>
      <c r="D128" s="415">
        <f t="shared" si="2"/>
        <v>0</v>
      </c>
      <c r="E128" s="415">
        <v>0</v>
      </c>
      <c r="F128" s="415">
        <v>0</v>
      </c>
      <c r="G128" s="415">
        <v>0</v>
      </c>
      <c r="I128" s="988"/>
      <c r="J128" s="416"/>
      <c r="K128" s="416"/>
    </row>
    <row r="129" spans="1:11" x14ac:dyDescent="0.25">
      <c r="A129" s="18">
        <v>120</v>
      </c>
      <c r="B129" s="417" t="s">
        <v>252</v>
      </c>
      <c r="C129" s="414" t="s">
        <v>253</v>
      </c>
      <c r="D129" s="415">
        <f t="shared" si="2"/>
        <v>0</v>
      </c>
      <c r="E129" s="415">
        <v>0</v>
      </c>
      <c r="F129" s="415">
        <v>0</v>
      </c>
      <c r="G129" s="415">
        <v>0</v>
      </c>
      <c r="I129" s="988"/>
      <c r="J129" s="416"/>
      <c r="K129" s="416"/>
    </row>
    <row r="130" spans="1:11" x14ac:dyDescent="0.25">
      <c r="A130" s="18">
        <v>121</v>
      </c>
      <c r="B130" s="21" t="s">
        <v>254</v>
      </c>
      <c r="C130" s="418" t="s">
        <v>255</v>
      </c>
      <c r="D130" s="415">
        <f t="shared" si="2"/>
        <v>0</v>
      </c>
      <c r="E130" s="415">
        <v>0</v>
      </c>
      <c r="F130" s="415">
        <v>0</v>
      </c>
      <c r="G130" s="415">
        <v>0</v>
      </c>
      <c r="I130" s="988"/>
      <c r="J130" s="416"/>
      <c r="K130" s="416"/>
    </row>
    <row r="131" spans="1:11" x14ac:dyDescent="0.25">
      <c r="A131" s="18">
        <v>122</v>
      </c>
      <c r="B131" s="21" t="s">
        <v>256</v>
      </c>
      <c r="C131" s="418" t="s">
        <v>257</v>
      </c>
      <c r="D131" s="415">
        <f t="shared" si="2"/>
        <v>0</v>
      </c>
      <c r="E131" s="415">
        <v>0</v>
      </c>
      <c r="F131" s="415">
        <v>0</v>
      </c>
      <c r="G131" s="415">
        <v>0</v>
      </c>
      <c r="I131" s="988"/>
      <c r="J131" s="416"/>
      <c r="K131" s="416"/>
    </row>
    <row r="132" spans="1:11" x14ac:dyDescent="0.25">
      <c r="A132" s="18">
        <v>123</v>
      </c>
      <c r="B132" s="21" t="s">
        <v>258</v>
      </c>
      <c r="C132" s="418" t="s">
        <v>259</v>
      </c>
      <c r="D132" s="415">
        <f t="shared" si="2"/>
        <v>0</v>
      </c>
      <c r="E132" s="415">
        <v>0</v>
      </c>
      <c r="F132" s="415">
        <v>0</v>
      </c>
      <c r="G132" s="415">
        <v>0</v>
      </c>
      <c r="I132" s="988"/>
      <c r="J132" s="416"/>
      <c r="K132" s="416"/>
    </row>
    <row r="133" spans="1:11" x14ac:dyDescent="0.25">
      <c r="A133" s="18">
        <v>124</v>
      </c>
      <c r="B133" s="21" t="s">
        <v>260</v>
      </c>
      <c r="C133" s="418" t="s">
        <v>261</v>
      </c>
      <c r="D133" s="415">
        <f t="shared" si="2"/>
        <v>0</v>
      </c>
      <c r="E133" s="415">
        <v>0</v>
      </c>
      <c r="F133" s="415">
        <v>0</v>
      </c>
      <c r="G133" s="415">
        <v>0</v>
      </c>
      <c r="I133" s="988"/>
      <c r="J133" s="416"/>
      <c r="K133" s="416"/>
    </row>
    <row r="134" spans="1:11" x14ac:dyDescent="0.25">
      <c r="A134" s="18">
        <v>125</v>
      </c>
      <c r="B134" s="21" t="s">
        <v>262</v>
      </c>
      <c r="C134" s="418" t="s">
        <v>263</v>
      </c>
      <c r="D134" s="415">
        <f t="shared" si="2"/>
        <v>0</v>
      </c>
      <c r="E134" s="415">
        <v>0</v>
      </c>
      <c r="F134" s="415">
        <v>0</v>
      </c>
      <c r="G134" s="415">
        <v>0</v>
      </c>
      <c r="I134" s="988"/>
      <c r="J134" s="416"/>
      <c r="K134" s="416"/>
    </row>
    <row r="135" spans="1:11" x14ac:dyDescent="0.25">
      <c r="A135" s="18">
        <v>126</v>
      </c>
      <c r="B135" s="413" t="s">
        <v>264</v>
      </c>
      <c r="C135" s="414" t="s">
        <v>265</v>
      </c>
      <c r="D135" s="415">
        <f t="shared" si="2"/>
        <v>0</v>
      </c>
      <c r="E135" s="415">
        <v>0</v>
      </c>
      <c r="F135" s="415">
        <v>0</v>
      </c>
      <c r="G135" s="415">
        <v>0</v>
      </c>
      <c r="I135" s="988"/>
      <c r="J135" s="416"/>
      <c r="K135" s="416"/>
    </row>
    <row r="136" spans="1:11" x14ac:dyDescent="0.25">
      <c r="A136" s="18">
        <v>127</v>
      </c>
      <c r="B136" s="413" t="s">
        <v>266</v>
      </c>
      <c r="C136" s="418" t="s">
        <v>267</v>
      </c>
      <c r="D136" s="415">
        <f t="shared" si="2"/>
        <v>0</v>
      </c>
      <c r="E136" s="415">
        <v>0</v>
      </c>
      <c r="F136" s="415">
        <v>0</v>
      </c>
      <c r="G136" s="415">
        <v>0</v>
      </c>
      <c r="I136" s="988"/>
      <c r="J136" s="416"/>
      <c r="K136" s="416"/>
    </row>
    <row r="137" spans="1:11" x14ac:dyDescent="0.25">
      <c r="A137" s="18">
        <v>128</v>
      </c>
      <c r="B137" s="419" t="s">
        <v>268</v>
      </c>
      <c r="C137" s="22" t="s">
        <v>269</v>
      </c>
      <c r="D137" s="415">
        <f t="shared" ref="D137:D149" si="3">SUM(E137:G137)</f>
        <v>0</v>
      </c>
      <c r="E137" s="415">
        <v>0</v>
      </c>
      <c r="F137" s="415">
        <v>0</v>
      </c>
      <c r="G137" s="415">
        <v>0</v>
      </c>
      <c r="I137" s="988"/>
      <c r="J137" s="416"/>
      <c r="K137" s="416"/>
    </row>
    <row r="138" spans="1:11" x14ac:dyDescent="0.25">
      <c r="A138" s="18">
        <v>129</v>
      </c>
      <c r="B138" s="21" t="s">
        <v>270</v>
      </c>
      <c r="C138" s="418" t="s">
        <v>271</v>
      </c>
      <c r="D138" s="415">
        <f t="shared" si="3"/>
        <v>0</v>
      </c>
      <c r="E138" s="415">
        <v>0</v>
      </c>
      <c r="F138" s="415">
        <v>0</v>
      </c>
      <c r="G138" s="415">
        <v>0</v>
      </c>
      <c r="I138" s="988"/>
      <c r="J138" s="416"/>
      <c r="K138" s="416"/>
    </row>
    <row r="139" spans="1:11" x14ac:dyDescent="0.25">
      <c r="A139" s="18">
        <v>130</v>
      </c>
      <c r="B139" s="21" t="s">
        <v>272</v>
      </c>
      <c r="C139" s="418" t="s">
        <v>273</v>
      </c>
      <c r="D139" s="415">
        <f t="shared" si="3"/>
        <v>0</v>
      </c>
      <c r="E139" s="415">
        <v>0</v>
      </c>
      <c r="F139" s="415">
        <v>0</v>
      </c>
      <c r="G139" s="415">
        <v>0</v>
      </c>
      <c r="I139" s="988"/>
      <c r="J139" s="416"/>
      <c r="K139" s="416"/>
    </row>
    <row r="140" spans="1:11" x14ac:dyDescent="0.25">
      <c r="A140" s="18">
        <v>131</v>
      </c>
      <c r="B140" s="21" t="s">
        <v>274</v>
      </c>
      <c r="C140" s="418" t="s">
        <v>275</v>
      </c>
      <c r="D140" s="415">
        <f t="shared" si="3"/>
        <v>0</v>
      </c>
      <c r="E140" s="415">
        <v>0</v>
      </c>
      <c r="F140" s="415">
        <v>0</v>
      </c>
      <c r="G140" s="415">
        <v>0</v>
      </c>
      <c r="I140" s="988"/>
      <c r="J140" s="416"/>
      <c r="K140" s="416"/>
    </row>
    <row r="141" spans="1:11" x14ac:dyDescent="0.25">
      <c r="A141" s="18">
        <v>132</v>
      </c>
      <c r="B141" s="419" t="s">
        <v>276</v>
      </c>
      <c r="C141" s="22" t="s">
        <v>277</v>
      </c>
      <c r="D141" s="415">
        <f t="shared" si="3"/>
        <v>1204</v>
      </c>
      <c r="E141" s="415">
        <v>130</v>
      </c>
      <c r="F141" s="415">
        <v>1074</v>
      </c>
      <c r="G141" s="415">
        <v>0</v>
      </c>
      <c r="I141" s="988"/>
      <c r="J141" s="416"/>
      <c r="K141" s="416"/>
    </row>
    <row r="142" spans="1:11" x14ac:dyDescent="0.25">
      <c r="A142" s="18">
        <v>133</v>
      </c>
      <c r="B142" s="417" t="s">
        <v>278</v>
      </c>
      <c r="C142" s="22" t="s">
        <v>279</v>
      </c>
      <c r="D142" s="415">
        <f t="shared" si="3"/>
        <v>2300</v>
      </c>
      <c r="E142" s="415">
        <v>240</v>
      </c>
      <c r="F142" s="415">
        <v>2048</v>
      </c>
      <c r="G142" s="415">
        <v>12</v>
      </c>
      <c r="I142" s="988"/>
      <c r="J142" s="416"/>
      <c r="K142" s="416"/>
    </row>
    <row r="143" spans="1:11" x14ac:dyDescent="0.25">
      <c r="A143" s="18">
        <v>134</v>
      </c>
      <c r="B143" s="21" t="s">
        <v>280</v>
      </c>
      <c r="C143" s="418" t="s">
        <v>281</v>
      </c>
      <c r="D143" s="415">
        <f t="shared" si="3"/>
        <v>0</v>
      </c>
      <c r="E143" s="415">
        <v>0</v>
      </c>
      <c r="F143" s="415">
        <v>0</v>
      </c>
      <c r="G143" s="415">
        <v>0</v>
      </c>
      <c r="I143" s="988"/>
      <c r="J143" s="416"/>
      <c r="K143" s="416"/>
    </row>
    <row r="144" spans="1:11" x14ac:dyDescent="0.25">
      <c r="A144" s="18">
        <v>135</v>
      </c>
      <c r="B144" s="413" t="s">
        <v>282</v>
      </c>
      <c r="C144" s="414" t="s">
        <v>283</v>
      </c>
      <c r="D144" s="415">
        <f t="shared" si="3"/>
        <v>0</v>
      </c>
      <c r="E144" s="415">
        <v>0</v>
      </c>
      <c r="F144" s="415">
        <v>0</v>
      </c>
      <c r="G144" s="415">
        <v>0</v>
      </c>
      <c r="I144" s="988"/>
      <c r="J144" s="416"/>
      <c r="K144" s="416"/>
    </row>
    <row r="145" spans="1:11" x14ac:dyDescent="0.25">
      <c r="A145" s="18">
        <v>136</v>
      </c>
      <c r="B145" s="21" t="s">
        <v>284</v>
      </c>
      <c r="C145" s="418" t="s">
        <v>285</v>
      </c>
      <c r="D145" s="415">
        <f t="shared" si="3"/>
        <v>0</v>
      </c>
      <c r="E145" s="415">
        <v>0</v>
      </c>
      <c r="F145" s="415">
        <v>0</v>
      </c>
      <c r="G145" s="415">
        <v>0</v>
      </c>
      <c r="I145" s="988"/>
      <c r="J145" s="416"/>
      <c r="K145" s="416"/>
    </row>
    <row r="146" spans="1:11" x14ac:dyDescent="0.25">
      <c r="A146" s="18">
        <v>137</v>
      </c>
      <c r="B146" s="428" t="s">
        <v>387</v>
      </c>
      <c r="C146" s="429" t="s">
        <v>388</v>
      </c>
      <c r="D146" s="415">
        <f t="shared" si="3"/>
        <v>0</v>
      </c>
      <c r="E146" s="415">
        <v>0</v>
      </c>
      <c r="F146" s="415">
        <v>0</v>
      </c>
      <c r="G146" s="415">
        <v>0</v>
      </c>
      <c r="I146" s="988"/>
      <c r="J146" s="416"/>
      <c r="K146" s="416"/>
    </row>
    <row r="147" spans="1:11" x14ac:dyDescent="0.25">
      <c r="A147" s="18">
        <v>138</v>
      </c>
      <c r="B147" s="430" t="s">
        <v>389</v>
      </c>
      <c r="C147" s="431" t="s">
        <v>390</v>
      </c>
      <c r="D147" s="415">
        <f t="shared" si="3"/>
        <v>0</v>
      </c>
      <c r="E147" s="415">
        <v>0</v>
      </c>
      <c r="F147" s="415">
        <v>0</v>
      </c>
      <c r="G147" s="415">
        <v>0</v>
      </c>
      <c r="I147" s="988"/>
      <c r="J147" s="416"/>
      <c r="K147" s="416"/>
    </row>
    <row r="148" spans="1:11" x14ac:dyDescent="0.25">
      <c r="A148" s="18">
        <v>139</v>
      </c>
      <c r="B148" s="432" t="s">
        <v>391</v>
      </c>
      <c r="C148" s="433" t="s">
        <v>392</v>
      </c>
      <c r="D148" s="415">
        <f t="shared" si="3"/>
        <v>0</v>
      </c>
      <c r="E148" s="415">
        <v>0</v>
      </c>
      <c r="F148" s="415">
        <v>0</v>
      </c>
      <c r="G148" s="415">
        <v>0</v>
      </c>
      <c r="I148" s="988"/>
      <c r="J148" s="416"/>
      <c r="K148" s="416"/>
    </row>
    <row r="149" spans="1:11" x14ac:dyDescent="0.25">
      <c r="A149" s="18">
        <v>140</v>
      </c>
      <c r="B149" s="18" t="s">
        <v>393</v>
      </c>
      <c r="C149" s="434" t="s">
        <v>394</v>
      </c>
      <c r="D149" s="415">
        <f t="shared" si="3"/>
        <v>0</v>
      </c>
      <c r="E149" s="415">
        <v>0</v>
      </c>
      <c r="F149" s="415">
        <v>0</v>
      </c>
      <c r="G149" s="415">
        <v>0</v>
      </c>
      <c r="I149" s="988"/>
      <c r="J149" s="416"/>
      <c r="K149" s="416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160"/>
  <sheetViews>
    <sheetView topLeftCell="A4" workbookViewId="0">
      <pane xSplit="4" ySplit="10" topLeftCell="E20" activePane="bottomRight" state="frozen"/>
      <selection activeCell="A4" sqref="A4"/>
      <selection pane="topRight" activeCell="E4" sqref="E4"/>
      <selection pane="bottomLeft" activeCell="A11" sqref="A11"/>
      <selection pane="bottomRight" activeCell="A157" sqref="A157:XFD158"/>
    </sheetView>
  </sheetViews>
  <sheetFormatPr defaultRowHeight="15" x14ac:dyDescent="0.25"/>
  <cols>
    <col min="1" max="1" width="4.7109375" style="44" customWidth="1"/>
    <col min="2" max="2" width="9.28515625" style="44" customWidth="1"/>
    <col min="3" max="3" width="30.140625" style="884" customWidth="1"/>
    <col min="4" max="4" width="15.5703125" style="863" customWidth="1"/>
    <col min="5" max="5" width="10.28515625" style="863" customWidth="1"/>
    <col min="6" max="6" width="10.140625" style="863" customWidth="1"/>
    <col min="7" max="7" width="11.7109375" style="863" customWidth="1"/>
    <col min="8" max="8" width="11.5703125" style="863" customWidth="1"/>
    <col min="9" max="9" width="12.140625" style="863" customWidth="1"/>
    <col min="10" max="10" width="12" style="863" customWidth="1"/>
    <col min="11" max="11" width="11" style="863" customWidth="1"/>
    <col min="12" max="12" width="10.85546875" style="863" customWidth="1"/>
    <col min="13" max="13" width="10.7109375" style="863" customWidth="1"/>
    <col min="14" max="14" width="11.7109375" style="863" customWidth="1"/>
    <col min="15" max="15" width="11.42578125" style="863" customWidth="1"/>
    <col min="16" max="16" width="11.7109375" style="863" customWidth="1"/>
    <col min="17" max="17" width="11" style="863" customWidth="1"/>
    <col min="18" max="18" width="11.85546875" style="863" customWidth="1"/>
    <col min="19" max="19" width="12" style="863" hidden="1" customWidth="1"/>
    <col min="20" max="20" width="8.85546875" style="863" customWidth="1"/>
    <col min="21" max="21" width="35.140625" style="863" customWidth="1"/>
    <col min="22" max="16384" width="9.140625" style="863"/>
  </cols>
  <sheetData>
    <row r="2" spans="1:20" ht="24" customHeight="1" x14ac:dyDescent="0.25">
      <c r="A2" s="863"/>
      <c r="B2" s="863"/>
      <c r="C2" s="863"/>
    </row>
    <row r="3" spans="1:20" ht="15" customHeight="1" x14ac:dyDescent="0.25">
      <c r="A3" s="863"/>
      <c r="B3" s="863"/>
      <c r="C3" s="863"/>
    </row>
    <row r="4" spans="1:20" ht="24.75" customHeight="1" x14ac:dyDescent="0.3">
      <c r="A4" s="1143" t="s">
        <v>360</v>
      </c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</row>
    <row r="5" spans="1:20" ht="15" customHeight="1" x14ac:dyDescent="0.25">
      <c r="A5" s="863"/>
      <c r="B5" s="863"/>
      <c r="C5" s="863"/>
    </row>
    <row r="6" spans="1:20" ht="15" customHeight="1" x14ac:dyDescent="0.25">
      <c r="A6" s="1144" t="s">
        <v>0</v>
      </c>
      <c r="B6" s="1144" t="s">
        <v>302</v>
      </c>
      <c r="C6" s="1144" t="s">
        <v>292</v>
      </c>
      <c r="D6" s="1147" t="s">
        <v>361</v>
      </c>
      <c r="E6" s="1150" t="s">
        <v>362</v>
      </c>
      <c r="F6" s="1150"/>
      <c r="G6" s="1150"/>
      <c r="H6" s="1150"/>
      <c r="I6" s="1150"/>
      <c r="J6" s="1150"/>
      <c r="K6" s="1150"/>
      <c r="L6" s="1150"/>
      <c r="M6" s="1150"/>
      <c r="N6" s="1150"/>
      <c r="O6" s="1150"/>
      <c r="P6" s="1150"/>
      <c r="Q6" s="1150"/>
      <c r="R6" s="1150"/>
    </row>
    <row r="7" spans="1:20" x14ac:dyDescent="0.25">
      <c r="A7" s="1145"/>
      <c r="B7" s="1145"/>
      <c r="C7" s="1145"/>
      <c r="D7" s="1148"/>
      <c r="E7" s="1150"/>
      <c r="F7" s="1150"/>
      <c r="G7" s="1150"/>
      <c r="H7" s="1150"/>
      <c r="I7" s="1150"/>
      <c r="J7" s="1150"/>
      <c r="K7" s="1150"/>
      <c r="L7" s="1150"/>
      <c r="M7" s="1150"/>
      <c r="N7" s="1150"/>
      <c r="O7" s="1150"/>
      <c r="P7" s="1150"/>
      <c r="Q7" s="1150"/>
      <c r="R7" s="1150"/>
    </row>
    <row r="8" spans="1:20" ht="15" customHeight="1" x14ac:dyDescent="0.25">
      <c r="A8" s="1145"/>
      <c r="B8" s="1145"/>
      <c r="C8" s="1145"/>
      <c r="D8" s="1148"/>
      <c r="E8" s="1151" t="s">
        <v>363</v>
      </c>
      <c r="F8" s="1151" t="s">
        <v>364</v>
      </c>
      <c r="G8" s="1151" t="s">
        <v>365</v>
      </c>
      <c r="H8" s="1151" t="s">
        <v>366</v>
      </c>
      <c r="I8" s="1151" t="s">
        <v>367</v>
      </c>
      <c r="J8" s="1151" t="s">
        <v>368</v>
      </c>
      <c r="K8" s="1151" t="s">
        <v>369</v>
      </c>
      <c r="L8" s="1151" t="s">
        <v>370</v>
      </c>
      <c r="M8" s="1151" t="s">
        <v>371</v>
      </c>
      <c r="N8" s="1151" t="s">
        <v>372</v>
      </c>
      <c r="O8" s="1151" t="s">
        <v>373</v>
      </c>
      <c r="P8" s="1151" t="s">
        <v>374</v>
      </c>
      <c r="Q8" s="1151" t="s">
        <v>375</v>
      </c>
      <c r="R8" s="1150" t="s">
        <v>376</v>
      </c>
      <c r="S8" s="864">
        <f>S9-SUM(F13:R13)</f>
        <v>923371</v>
      </c>
    </row>
    <row r="9" spans="1:20" ht="27" customHeight="1" x14ac:dyDescent="0.25">
      <c r="A9" s="1146"/>
      <c r="B9" s="1146"/>
      <c r="C9" s="1146"/>
      <c r="D9" s="1149"/>
      <c r="E9" s="1152"/>
      <c r="F9" s="1152"/>
      <c r="G9" s="1152"/>
      <c r="H9" s="1152"/>
      <c r="I9" s="1152"/>
      <c r="J9" s="1152"/>
      <c r="K9" s="1152"/>
      <c r="L9" s="1152"/>
      <c r="M9" s="1152"/>
      <c r="N9" s="1152"/>
      <c r="O9" s="1152"/>
      <c r="P9" s="1152"/>
      <c r="Q9" s="1152"/>
      <c r="R9" s="1150"/>
      <c r="S9" s="864">
        <v>1025004</v>
      </c>
    </row>
    <row r="10" spans="1:20" s="868" customFormat="1" ht="11.25" customHeight="1" x14ac:dyDescent="0.2">
      <c r="A10" s="865">
        <v>1</v>
      </c>
      <c r="B10" s="865">
        <v>2</v>
      </c>
      <c r="C10" s="865">
        <v>3</v>
      </c>
      <c r="D10" s="866">
        <v>4</v>
      </c>
      <c r="E10" s="867">
        <v>5</v>
      </c>
      <c r="F10" s="867">
        <v>6</v>
      </c>
      <c r="G10" s="867">
        <v>7</v>
      </c>
      <c r="H10" s="867">
        <v>8</v>
      </c>
      <c r="I10" s="867">
        <v>9</v>
      </c>
      <c r="J10" s="867">
        <v>10</v>
      </c>
      <c r="K10" s="867">
        <v>11</v>
      </c>
      <c r="L10" s="867">
        <v>12</v>
      </c>
      <c r="M10" s="867">
        <v>13</v>
      </c>
      <c r="N10" s="867">
        <v>14</v>
      </c>
      <c r="O10" s="867">
        <v>15</v>
      </c>
      <c r="P10" s="867">
        <v>16</v>
      </c>
      <c r="Q10" s="867">
        <v>17</v>
      </c>
      <c r="R10" s="867">
        <v>18</v>
      </c>
    </row>
    <row r="11" spans="1:20" s="868" customFormat="1" ht="11.25" customHeight="1" x14ac:dyDescent="0.2">
      <c r="A11" s="1066" t="s">
        <v>6</v>
      </c>
      <c r="B11" s="1066"/>
      <c r="C11" s="1066"/>
      <c r="D11" s="869">
        <f>D12+D13</f>
        <v>1025004</v>
      </c>
      <c r="E11" s="869">
        <f t="shared" ref="E11:T11" si="0">E12+E13</f>
        <v>923363</v>
      </c>
      <c r="F11" s="869">
        <f t="shared" si="0"/>
        <v>66142</v>
      </c>
      <c r="G11" s="869">
        <f t="shared" si="0"/>
        <v>17639</v>
      </c>
      <c r="H11" s="869">
        <f t="shared" si="0"/>
        <v>7497</v>
      </c>
      <c r="I11" s="869">
        <f t="shared" si="0"/>
        <v>3</v>
      </c>
      <c r="J11" s="869">
        <f t="shared" si="0"/>
        <v>25</v>
      </c>
      <c r="K11" s="869">
        <f t="shared" si="0"/>
        <v>305</v>
      </c>
      <c r="L11" s="869">
        <f t="shared" si="0"/>
        <v>92</v>
      </c>
      <c r="M11" s="869">
        <f t="shared" si="0"/>
        <v>212</v>
      </c>
      <c r="N11" s="869">
        <f t="shared" si="0"/>
        <v>3348</v>
      </c>
      <c r="O11" s="869">
        <f t="shared" si="0"/>
        <v>218</v>
      </c>
      <c r="P11" s="869">
        <f t="shared" si="0"/>
        <v>557</v>
      </c>
      <c r="Q11" s="869">
        <f t="shared" si="0"/>
        <v>4777</v>
      </c>
      <c r="R11" s="869">
        <f t="shared" si="0"/>
        <v>826</v>
      </c>
      <c r="T11" s="870">
        <f t="shared" si="0"/>
        <v>0</v>
      </c>
    </row>
    <row r="12" spans="1:20" ht="15.75" customHeight="1" x14ac:dyDescent="0.25">
      <c r="A12" s="1162" t="s">
        <v>444</v>
      </c>
      <c r="B12" s="1163"/>
      <c r="C12" s="1164"/>
      <c r="D12" s="871">
        <f t="shared" ref="D12" si="1">SUM(E12:R12)</f>
        <v>8</v>
      </c>
      <c r="E12" s="871">
        <f>'[9]Диспан.набл.взрослых Пр.15-23'!E12+'[9]Уточнение Пр.16-23 '!E12</f>
        <v>0</v>
      </c>
      <c r="F12" s="871">
        <f>'[9]Диспан.набл.взрослых Пр.15-23'!F12+'[9]Уточнение Пр.16-23 '!F12</f>
        <v>0</v>
      </c>
      <c r="G12" s="871">
        <f>'[9]Диспан.набл.взрослых Пр.15-23'!G12+'[9]Уточнение Пр.16-23 '!G12</f>
        <v>0</v>
      </c>
      <c r="H12" s="871">
        <f>'[9]Диспан.набл.взрослых Пр.15-23'!H12+'[9]Уточнение Пр.16-23 '!H12</f>
        <v>0</v>
      </c>
      <c r="I12" s="871">
        <f>'[9]Диспан.набл.взрослых Пр.15-23'!I12+'[9]Уточнение Пр.16-23 '!I12</f>
        <v>0</v>
      </c>
      <c r="J12" s="871">
        <f>'[9]Диспан.набл.взрослых Пр.15-23'!J12+'[9]Уточнение Пр.16-23 '!J12</f>
        <v>1</v>
      </c>
      <c r="K12" s="871">
        <f>'[9]Диспан.набл.взрослых Пр.15-23'!K12+'[9]Уточнение Пр.16-23 '!K12</f>
        <v>0</v>
      </c>
      <c r="L12" s="871">
        <f>'[9]Диспан.набл.взрослых Пр.15-23'!L12+'[9]Уточнение Пр.16-23 '!L12</f>
        <v>0</v>
      </c>
      <c r="M12" s="871">
        <f>'[9]Диспан.набл.взрослых Пр.15-23'!M12+'[9]Уточнение Пр.16-23 '!M12</f>
        <v>0</v>
      </c>
      <c r="N12" s="871">
        <f>'[9]Диспан.набл.взрослых Пр.15-23'!N12+'[9]Уточнение Пр.16-23 '!N12</f>
        <v>0</v>
      </c>
      <c r="O12" s="871">
        <f>'[9]Диспан.набл.взрослых Пр.15-23'!O12+'[9]Уточнение Пр.16-23 '!O12</f>
        <v>7</v>
      </c>
      <c r="P12" s="871">
        <f>'[9]Диспан.набл.взрослых Пр.15-23'!P12+'[9]Уточнение Пр.16-23 '!P12</f>
        <v>0</v>
      </c>
      <c r="Q12" s="871">
        <f>'[9]Диспан.набл.взрослых Пр.15-23'!Q12+'[9]Уточнение Пр.16-23 '!Q12</f>
        <v>0</v>
      </c>
      <c r="R12" s="871">
        <f>'[9]Диспан.набл.взрослых Пр.15-23'!R12+'[9]Уточнение Пр.16-23 '!R12</f>
        <v>0</v>
      </c>
      <c r="S12" s="872"/>
      <c r="T12" s="870">
        <f>D12-'[9]Диспан.набл.взрослых Пр.15-23'!D12</f>
        <v>0</v>
      </c>
    </row>
    <row r="13" spans="1:20" ht="24.75" customHeight="1" x14ac:dyDescent="0.25">
      <c r="A13" s="1153" t="s">
        <v>308</v>
      </c>
      <c r="B13" s="1154"/>
      <c r="C13" s="1155"/>
      <c r="D13" s="869">
        <f t="shared" ref="D13:T13" si="2">SUM(D14:D151)</f>
        <v>1024996</v>
      </c>
      <c r="E13" s="869">
        <f t="shared" si="2"/>
        <v>923363</v>
      </c>
      <c r="F13" s="869">
        <f t="shared" si="2"/>
        <v>66142</v>
      </c>
      <c r="G13" s="869">
        <f t="shared" si="2"/>
        <v>17639</v>
      </c>
      <c r="H13" s="869">
        <f t="shared" si="2"/>
        <v>7497</v>
      </c>
      <c r="I13" s="869">
        <f t="shared" si="2"/>
        <v>3</v>
      </c>
      <c r="J13" s="869">
        <f t="shared" si="2"/>
        <v>24</v>
      </c>
      <c r="K13" s="869">
        <f t="shared" si="2"/>
        <v>305</v>
      </c>
      <c r="L13" s="869">
        <f t="shared" si="2"/>
        <v>92</v>
      </c>
      <c r="M13" s="869">
        <f t="shared" si="2"/>
        <v>212</v>
      </c>
      <c r="N13" s="869">
        <f t="shared" si="2"/>
        <v>3348</v>
      </c>
      <c r="O13" s="869">
        <f t="shared" si="2"/>
        <v>211</v>
      </c>
      <c r="P13" s="869">
        <f t="shared" si="2"/>
        <v>557</v>
      </c>
      <c r="Q13" s="869">
        <f t="shared" si="2"/>
        <v>4777</v>
      </c>
      <c r="R13" s="869">
        <f t="shared" si="2"/>
        <v>826</v>
      </c>
      <c r="S13" s="872">
        <f>SUM(S14:S155)</f>
        <v>923364</v>
      </c>
      <c r="T13" s="870">
        <f t="shared" si="2"/>
        <v>0</v>
      </c>
    </row>
    <row r="14" spans="1:20" x14ac:dyDescent="0.25">
      <c r="A14" s="873">
        <v>1</v>
      </c>
      <c r="B14" s="874" t="s">
        <v>16</v>
      </c>
      <c r="C14" s="875" t="s">
        <v>17</v>
      </c>
      <c r="D14" s="871">
        <f>SUM(E14:R14)</f>
        <v>8935</v>
      </c>
      <c r="E14" s="871">
        <f>'[9]Диспан.набл.взрослых Пр.16- 23'!E14+'[9]Уточнение Пр.17-23  '!E14</f>
        <v>7589</v>
      </c>
      <c r="F14" s="871">
        <f>'[9]Диспан.набл.взрослых Пр.16- 23'!F14+'[9]Уточнение Пр.17-23  '!F14</f>
        <v>1136</v>
      </c>
      <c r="G14" s="871">
        <f>'[9]Диспан.набл.взрослых Пр.16- 23'!G14+'[9]Уточнение Пр.17-23  '!G14</f>
        <v>76</v>
      </c>
      <c r="H14" s="871">
        <f>'[9]Диспан.набл.взрослых Пр.16- 23'!H14+'[9]Уточнение Пр.17-23  '!H14</f>
        <v>60</v>
      </c>
      <c r="I14" s="871">
        <f>'[9]Диспан.набл.взрослых Пр.16- 23'!I14+'[9]Уточнение Пр.17-23  '!I14</f>
        <v>0</v>
      </c>
      <c r="J14" s="871">
        <f>'[9]Диспан.набл.взрослых Пр.16- 23'!J14+'[9]Уточнение Пр.17-23  '!J14</f>
        <v>0</v>
      </c>
      <c r="K14" s="871">
        <f>'[9]Диспан.набл.взрослых Пр.16- 23'!K14+'[9]Уточнение Пр.17-23  '!K14</f>
        <v>0</v>
      </c>
      <c r="L14" s="871">
        <f>'[9]Диспан.набл.взрослых Пр.16- 23'!L14+'[9]Уточнение Пр.17-23  '!L14</f>
        <v>0</v>
      </c>
      <c r="M14" s="871">
        <f>'[9]Диспан.набл.взрослых Пр.16- 23'!M14+'[9]Уточнение Пр.17-23  '!M14</f>
        <v>1</v>
      </c>
      <c r="N14" s="871">
        <f>'[9]Диспан.набл.взрослых Пр.16- 23'!N14+'[9]Уточнение Пр.17-23  '!N14</f>
        <v>8</v>
      </c>
      <c r="O14" s="871">
        <f>'[9]Диспан.набл.взрослых Пр.16- 23'!O14+'[9]Уточнение Пр.17-23  '!O14</f>
        <v>1</v>
      </c>
      <c r="P14" s="871">
        <f>'[9]Диспан.набл.взрослых Пр.16- 23'!P14+'[9]Уточнение Пр.17-23  '!P14</f>
        <v>0</v>
      </c>
      <c r="Q14" s="871">
        <f>'[9]Диспан.набл.взрослых Пр.16- 23'!Q14+'[9]Уточнение Пр.17-23  '!Q14</f>
        <v>60</v>
      </c>
      <c r="R14" s="871">
        <f>'[9]Диспан.набл.взрослых Пр.16- 23'!R14+'[9]Уточнение Пр.17-23  '!R14</f>
        <v>4</v>
      </c>
      <c r="S14" s="871">
        <f>ROUND(E14/$E$13*$S$8,0)+1</f>
        <v>7590</v>
      </c>
      <c r="T14" s="870">
        <f>D14-'[9]Диспан.набл.взрослых Пр.16- 23'!D14</f>
        <v>0</v>
      </c>
    </row>
    <row r="15" spans="1:20" x14ac:dyDescent="0.25">
      <c r="A15" s="873">
        <v>2</v>
      </c>
      <c r="B15" s="876" t="s">
        <v>18</v>
      </c>
      <c r="C15" s="875" t="s">
        <v>19</v>
      </c>
      <c r="D15" s="871">
        <f t="shared" ref="D15:D78" si="3">SUM(E15:R15)</f>
        <v>5618</v>
      </c>
      <c r="E15" s="871">
        <f>'[9]Диспан.набл.взрослых Пр.16- 23'!E15+'[9]Уточнение Пр.17-23  '!E15</f>
        <v>5362</v>
      </c>
      <c r="F15" s="871">
        <f>'[9]Диспан.набл.взрослых Пр.16- 23'!F15+'[9]Уточнение Пр.17-23  '!F15</f>
        <v>155</v>
      </c>
      <c r="G15" s="871">
        <f>'[9]Диспан.набл.взрослых Пр.16- 23'!G15+'[9]Уточнение Пр.17-23  '!G15</f>
        <v>53</v>
      </c>
      <c r="H15" s="871">
        <f>'[9]Диспан.набл.взрослых Пр.16- 23'!H15+'[9]Уточнение Пр.17-23  '!H15</f>
        <v>23</v>
      </c>
      <c r="I15" s="871">
        <f>'[9]Диспан.набл.взрослых Пр.16- 23'!I15+'[9]Уточнение Пр.17-23  '!I15</f>
        <v>0</v>
      </c>
      <c r="J15" s="871">
        <f>'[9]Диспан.набл.взрослых Пр.16- 23'!J15+'[9]Уточнение Пр.17-23  '!J15</f>
        <v>0</v>
      </c>
      <c r="K15" s="871">
        <f>'[9]Диспан.набл.взрослых Пр.16- 23'!K15+'[9]Уточнение Пр.17-23  '!K15</f>
        <v>1</v>
      </c>
      <c r="L15" s="871">
        <f>'[9]Диспан.набл.взрослых Пр.16- 23'!L15+'[9]Уточнение Пр.17-23  '!L15</f>
        <v>0</v>
      </c>
      <c r="M15" s="871">
        <f>'[9]Диспан.набл.взрослых Пр.16- 23'!M15+'[9]Уточнение Пр.17-23  '!M15</f>
        <v>0</v>
      </c>
      <c r="N15" s="871">
        <f>'[9]Диспан.набл.взрослых Пр.16- 23'!N15+'[9]Уточнение Пр.17-23  '!N15</f>
        <v>4</v>
      </c>
      <c r="O15" s="871">
        <f>'[9]Диспан.набл.взрослых Пр.16- 23'!O15+'[9]Уточнение Пр.17-23  '!O15</f>
        <v>0</v>
      </c>
      <c r="P15" s="871">
        <f>'[9]Диспан.набл.взрослых Пр.16- 23'!P15+'[9]Уточнение Пр.17-23  '!P15</f>
        <v>0</v>
      </c>
      <c r="Q15" s="871">
        <f>'[9]Диспан.набл.взрослых Пр.16- 23'!Q15+'[9]Уточнение Пр.17-23  '!Q15</f>
        <v>18</v>
      </c>
      <c r="R15" s="871">
        <f>'[9]Диспан.набл.взрослых Пр.16- 23'!R15+'[9]Уточнение Пр.17-23  '!R15</f>
        <v>2</v>
      </c>
      <c r="S15" s="871">
        <f t="shared" ref="S15:S78" si="4">ROUND(E15/$E$13*$S$8,0)</f>
        <v>5362</v>
      </c>
      <c r="T15" s="870">
        <f>D15-'[9]Диспан.набл.взрослых Пр.16- 23'!D15</f>
        <v>0</v>
      </c>
    </row>
    <row r="16" spans="1:20" x14ac:dyDescent="0.25">
      <c r="A16" s="873">
        <v>3</v>
      </c>
      <c r="B16" s="877" t="s">
        <v>20</v>
      </c>
      <c r="C16" s="567" t="s">
        <v>21</v>
      </c>
      <c r="D16" s="871">
        <f t="shared" si="3"/>
        <v>14933</v>
      </c>
      <c r="E16" s="871">
        <f>'[9]Диспан.набл.взрослых Пр.16- 23'!E16+'[9]Уточнение Пр.17-23  '!E16</f>
        <v>13193</v>
      </c>
      <c r="F16" s="871">
        <f>'[9]Диспан.набл.взрослых Пр.16- 23'!F16+'[9]Уточнение Пр.17-23  '!F16</f>
        <v>1387</v>
      </c>
      <c r="G16" s="871">
        <f>'[9]Диспан.набл.взрослых Пр.16- 23'!G16+'[9]Уточнение Пр.17-23  '!G16</f>
        <v>145</v>
      </c>
      <c r="H16" s="871">
        <f>'[9]Диспан.набл.взрослых Пр.16- 23'!H16+'[9]Уточнение Пр.17-23  '!H16</f>
        <v>81</v>
      </c>
      <c r="I16" s="871">
        <f>'[9]Диспан.набл.взрослых Пр.16- 23'!I16+'[9]Уточнение Пр.17-23  '!I16</f>
        <v>0</v>
      </c>
      <c r="J16" s="871">
        <f>'[9]Диспан.набл.взрослых Пр.16- 23'!J16+'[9]Уточнение Пр.17-23  '!J16</f>
        <v>0</v>
      </c>
      <c r="K16" s="871">
        <f>'[9]Диспан.набл.взрослых Пр.16- 23'!K16+'[9]Уточнение Пр.17-23  '!K16</f>
        <v>10</v>
      </c>
      <c r="L16" s="871">
        <f>'[9]Диспан.набл.взрослых Пр.16- 23'!L16+'[9]Уточнение Пр.17-23  '!L16</f>
        <v>1</v>
      </c>
      <c r="M16" s="871">
        <f>'[9]Диспан.набл.взрослых Пр.16- 23'!M16+'[9]Уточнение Пр.17-23  '!M16</f>
        <v>0</v>
      </c>
      <c r="N16" s="871">
        <f>'[9]Диспан.набл.взрослых Пр.16- 23'!N16+'[9]Уточнение Пр.17-23  '!N16</f>
        <v>60</v>
      </c>
      <c r="O16" s="871">
        <f>'[9]Диспан.набл.взрослых Пр.16- 23'!O16+'[9]Уточнение Пр.17-23  '!O16</f>
        <v>4</v>
      </c>
      <c r="P16" s="871">
        <f>'[9]Диспан.набл.взрослых Пр.16- 23'!P16+'[9]Уточнение Пр.17-23  '!P16</f>
        <v>0</v>
      </c>
      <c r="Q16" s="871">
        <f>'[9]Диспан.набл.взрослых Пр.16- 23'!Q16+'[9]Уточнение Пр.17-23  '!Q16</f>
        <v>48</v>
      </c>
      <c r="R16" s="871">
        <f>'[9]Диспан.набл.взрослых Пр.16- 23'!R16+'[9]Уточнение Пр.17-23  '!R16</f>
        <v>4</v>
      </c>
      <c r="S16" s="871">
        <f t="shared" si="4"/>
        <v>13193</v>
      </c>
      <c r="T16" s="870">
        <f>D16-'[9]Диспан.набл.взрослых Пр.16- 23'!D16</f>
        <v>0</v>
      </c>
    </row>
    <row r="17" spans="1:20" x14ac:dyDescent="0.25">
      <c r="A17" s="873">
        <v>4</v>
      </c>
      <c r="B17" s="874" t="s">
        <v>22</v>
      </c>
      <c r="C17" s="875" t="s">
        <v>23</v>
      </c>
      <c r="D17" s="871">
        <f t="shared" si="3"/>
        <v>5064</v>
      </c>
      <c r="E17" s="871">
        <f>'[9]Диспан.набл.взрослых Пр.16- 23'!E17+'[9]Уточнение Пр.17-23  '!E17</f>
        <v>4641</v>
      </c>
      <c r="F17" s="871">
        <f>'[9]Диспан.набл.взрослых Пр.16- 23'!F17+'[9]Уточнение Пр.17-23  '!F17</f>
        <v>321</v>
      </c>
      <c r="G17" s="871">
        <f>'[9]Диспан.набл.взрослых Пр.16- 23'!G17+'[9]Уточнение Пр.17-23  '!G17</f>
        <v>74</v>
      </c>
      <c r="H17" s="871">
        <f>'[9]Диспан.набл.взрослых Пр.16- 23'!H17+'[9]Уточнение Пр.17-23  '!H17</f>
        <v>10</v>
      </c>
      <c r="I17" s="871">
        <f>'[9]Диспан.набл.взрослых Пр.16- 23'!I17+'[9]Уточнение Пр.17-23  '!I17</f>
        <v>0</v>
      </c>
      <c r="J17" s="871">
        <f>'[9]Диспан.набл.взрослых Пр.16- 23'!J17+'[9]Уточнение Пр.17-23  '!J17</f>
        <v>0</v>
      </c>
      <c r="K17" s="871">
        <f>'[9]Диспан.набл.взрослых Пр.16- 23'!K17+'[9]Уточнение Пр.17-23  '!K17</f>
        <v>0</v>
      </c>
      <c r="L17" s="871">
        <f>'[9]Диспан.набл.взрослых Пр.16- 23'!L17+'[9]Уточнение Пр.17-23  '!L17</f>
        <v>0</v>
      </c>
      <c r="M17" s="871">
        <f>'[9]Диспан.набл.взрослых Пр.16- 23'!M17+'[9]Уточнение Пр.17-23  '!M17</f>
        <v>0</v>
      </c>
      <c r="N17" s="871">
        <f>'[9]Диспан.набл.взрослых Пр.16- 23'!N17+'[9]Уточнение Пр.17-23  '!N17</f>
        <v>2</v>
      </c>
      <c r="O17" s="871">
        <f>'[9]Диспан.набл.взрослых Пр.16- 23'!O17+'[9]Уточнение Пр.17-23  '!O17</f>
        <v>0</v>
      </c>
      <c r="P17" s="871">
        <f>'[9]Диспан.набл.взрослых Пр.16- 23'!P17+'[9]Уточнение Пр.17-23  '!P17</f>
        <v>1</v>
      </c>
      <c r="Q17" s="871">
        <f>'[9]Диспан.набл.взрослых Пр.16- 23'!Q17+'[9]Уточнение Пр.17-23  '!Q17</f>
        <v>15</v>
      </c>
      <c r="R17" s="871">
        <f>'[9]Диспан.набл.взрослых Пр.16- 23'!R17+'[9]Уточнение Пр.17-23  '!R17</f>
        <v>0</v>
      </c>
      <c r="S17" s="871">
        <f t="shared" si="4"/>
        <v>4641</v>
      </c>
      <c r="T17" s="870">
        <f>D17-'[9]Диспан.набл.взрослых Пр.16- 23'!D17</f>
        <v>0</v>
      </c>
    </row>
    <row r="18" spans="1:20" x14ac:dyDescent="0.25">
      <c r="A18" s="873">
        <v>5</v>
      </c>
      <c r="B18" s="874" t="s">
        <v>24</v>
      </c>
      <c r="C18" s="875" t="s">
        <v>25</v>
      </c>
      <c r="D18" s="871">
        <f t="shared" si="3"/>
        <v>5698</v>
      </c>
      <c r="E18" s="871">
        <f>'[9]Диспан.набл.взрослых Пр.16- 23'!E18+'[9]Уточнение Пр.17-23  '!E18</f>
        <v>4693</v>
      </c>
      <c r="F18" s="871">
        <f>'[9]Диспан.набл.взрослых Пр.16- 23'!F18+'[9]Уточнение Пр.17-23  '!F18</f>
        <v>916</v>
      </c>
      <c r="G18" s="871">
        <f>'[9]Диспан.набл.взрослых Пр.16- 23'!G18+'[9]Уточнение Пр.17-23  '!G18</f>
        <v>52</v>
      </c>
      <c r="H18" s="871">
        <f>'[9]Диспан.набл.взрослых Пр.16- 23'!H18+'[9]Уточнение Пр.17-23  '!H18</f>
        <v>9</v>
      </c>
      <c r="I18" s="871">
        <f>'[9]Диспан.набл.взрослых Пр.16- 23'!I18+'[9]Уточнение Пр.17-23  '!I18</f>
        <v>0</v>
      </c>
      <c r="J18" s="871">
        <f>'[9]Диспан.набл.взрослых Пр.16- 23'!J18+'[9]Уточнение Пр.17-23  '!J18</f>
        <v>0</v>
      </c>
      <c r="K18" s="871">
        <f>'[9]Диспан.набл.взрослых Пр.16- 23'!K18+'[9]Уточнение Пр.17-23  '!K18</f>
        <v>0</v>
      </c>
      <c r="L18" s="871">
        <f>'[9]Диспан.набл.взрослых Пр.16- 23'!L18+'[9]Уточнение Пр.17-23  '!L18</f>
        <v>0</v>
      </c>
      <c r="M18" s="871">
        <f>'[9]Диспан.набл.взрослых Пр.16- 23'!M18+'[9]Уточнение Пр.17-23  '!M18</f>
        <v>0</v>
      </c>
      <c r="N18" s="871">
        <f>'[9]Диспан.набл.взрослых Пр.16- 23'!N18+'[9]Уточнение Пр.17-23  '!N18</f>
        <v>7</v>
      </c>
      <c r="O18" s="871">
        <f>'[9]Диспан.набл.взрослых Пр.16- 23'!O18+'[9]Уточнение Пр.17-23  '!O18</f>
        <v>5</v>
      </c>
      <c r="P18" s="871">
        <f>'[9]Диспан.набл.взрослых Пр.16- 23'!P18+'[9]Уточнение Пр.17-23  '!P18</f>
        <v>3</v>
      </c>
      <c r="Q18" s="871">
        <f>'[9]Диспан.набл.взрослых Пр.16- 23'!Q18+'[9]Уточнение Пр.17-23  '!Q18</f>
        <v>13</v>
      </c>
      <c r="R18" s="871">
        <f>'[9]Диспан.набл.взрослых Пр.16- 23'!R18+'[9]Уточнение Пр.17-23  '!R18</f>
        <v>0</v>
      </c>
      <c r="S18" s="871">
        <f t="shared" si="4"/>
        <v>4693</v>
      </c>
      <c r="T18" s="870">
        <f>D18-'[9]Диспан.набл.взрослых Пр.16- 23'!D18</f>
        <v>0</v>
      </c>
    </row>
    <row r="19" spans="1:20" x14ac:dyDescent="0.25">
      <c r="A19" s="873">
        <v>6</v>
      </c>
      <c r="B19" s="877" t="s">
        <v>26</v>
      </c>
      <c r="C19" s="567" t="s">
        <v>27</v>
      </c>
      <c r="D19" s="871">
        <f t="shared" si="3"/>
        <v>46860</v>
      </c>
      <c r="E19" s="871">
        <f>'[9]Диспан.набл.взрослых Пр.16- 23'!E19+'[9]Уточнение Пр.17-23  '!E19</f>
        <v>45681</v>
      </c>
      <c r="F19" s="871">
        <f>'[9]Диспан.набл.взрослых Пр.16- 23'!F19+'[9]Уточнение Пр.17-23  '!F19</f>
        <v>699</v>
      </c>
      <c r="G19" s="871">
        <f>'[9]Диспан.набл.взрослых Пр.16- 23'!G19+'[9]Уточнение Пр.17-23  '!G19</f>
        <v>13</v>
      </c>
      <c r="H19" s="871">
        <f>'[9]Диспан.набл.взрослых Пр.16- 23'!H19+'[9]Уточнение Пр.17-23  '!H19</f>
        <v>38</v>
      </c>
      <c r="I19" s="871">
        <f>'[9]Диспан.набл.взрослых Пр.16- 23'!I19+'[9]Уточнение Пр.17-23  '!I19</f>
        <v>0</v>
      </c>
      <c r="J19" s="871">
        <f>'[9]Диспан.набл.взрослых Пр.16- 23'!J19+'[9]Уточнение Пр.17-23  '!J19</f>
        <v>0</v>
      </c>
      <c r="K19" s="871">
        <f>'[9]Диспан.набл.взрослых Пр.16- 23'!K19+'[9]Уточнение Пр.17-23  '!K19</f>
        <v>1</v>
      </c>
      <c r="L19" s="871">
        <f>'[9]Диспан.набл.взрослых Пр.16- 23'!L19+'[9]Уточнение Пр.17-23  '!L19</f>
        <v>1</v>
      </c>
      <c r="M19" s="871">
        <f>'[9]Диспан.набл.взрослых Пр.16- 23'!M19+'[9]Уточнение Пр.17-23  '!M19</f>
        <v>4</v>
      </c>
      <c r="N19" s="871">
        <f>'[9]Диспан.набл.взрослых Пр.16- 23'!N19+'[9]Уточнение Пр.17-23  '!N19</f>
        <v>66</v>
      </c>
      <c r="O19" s="871">
        <f>'[9]Диспан.набл.взрослых Пр.16- 23'!O19+'[9]Уточнение Пр.17-23  '!O19</f>
        <v>1</v>
      </c>
      <c r="P19" s="871">
        <f>'[9]Диспан.набл.взрослых Пр.16- 23'!P19+'[9]Уточнение Пр.17-23  '!P19</f>
        <v>0</v>
      </c>
      <c r="Q19" s="871">
        <f>'[9]Диспан.набл.взрослых Пр.16- 23'!Q19+'[9]Уточнение Пр.17-23  '!Q19</f>
        <v>347</v>
      </c>
      <c r="R19" s="871">
        <f>'[9]Диспан.набл.взрослых Пр.16- 23'!R19+'[9]Уточнение Пр.17-23  '!R19</f>
        <v>9</v>
      </c>
      <c r="S19" s="871">
        <f t="shared" si="4"/>
        <v>45681</v>
      </c>
      <c r="T19" s="870">
        <f>D19-'[9]Диспан.набл.взрослых Пр.16- 23'!D19</f>
        <v>0</v>
      </c>
    </row>
    <row r="20" spans="1:20" x14ac:dyDescent="0.25">
      <c r="A20" s="873">
        <v>7</v>
      </c>
      <c r="B20" s="878" t="s">
        <v>28</v>
      </c>
      <c r="C20" s="1" t="s">
        <v>29</v>
      </c>
      <c r="D20" s="871">
        <f t="shared" si="3"/>
        <v>15539</v>
      </c>
      <c r="E20" s="871">
        <f>'[9]Диспан.набл.взрослых Пр.16- 23'!E20+'[9]Уточнение Пр.17-23  '!E20</f>
        <v>13840</v>
      </c>
      <c r="F20" s="871">
        <f>'[9]Диспан.набл.взрослых Пр.16- 23'!F20+'[9]Уточнение Пр.17-23  '!F20</f>
        <v>1253</v>
      </c>
      <c r="G20" s="871">
        <f>'[9]Диспан.набл.взрослых Пр.16- 23'!G20+'[9]Уточнение Пр.17-23  '!G20</f>
        <v>338</v>
      </c>
      <c r="H20" s="871">
        <f>'[9]Диспан.набл.взрослых Пр.16- 23'!H20+'[9]Уточнение Пр.17-23  '!H20</f>
        <v>21</v>
      </c>
      <c r="I20" s="871">
        <f>'[9]Диспан.набл.взрослых Пр.16- 23'!I20+'[9]Уточнение Пр.17-23  '!I20</f>
        <v>0</v>
      </c>
      <c r="J20" s="871">
        <f>'[9]Диспан.набл.взрослых Пр.16- 23'!J20+'[9]Уточнение Пр.17-23  '!J20</f>
        <v>0</v>
      </c>
      <c r="K20" s="871">
        <f>'[9]Диспан.набл.взрослых Пр.16- 23'!K20+'[9]Уточнение Пр.17-23  '!K20</f>
        <v>12</v>
      </c>
      <c r="L20" s="871">
        <f>'[9]Диспан.набл.взрослых Пр.16- 23'!L20+'[9]Уточнение Пр.17-23  '!L20</f>
        <v>3</v>
      </c>
      <c r="M20" s="871">
        <f>'[9]Диспан.набл.взрослых Пр.16- 23'!M20+'[9]Уточнение Пр.17-23  '!M20</f>
        <v>1</v>
      </c>
      <c r="N20" s="871">
        <f>'[9]Диспан.набл.взрослых Пр.16- 23'!N20+'[9]Уточнение Пр.17-23  '!N20</f>
        <v>1</v>
      </c>
      <c r="O20" s="871">
        <f>'[9]Диспан.набл.взрослых Пр.16- 23'!O20+'[9]Уточнение Пр.17-23  '!O20</f>
        <v>15</v>
      </c>
      <c r="P20" s="871">
        <f>'[9]Диспан.набл.взрослых Пр.16- 23'!P20+'[9]Уточнение Пр.17-23  '!P20</f>
        <v>9</v>
      </c>
      <c r="Q20" s="871">
        <f>'[9]Диспан.набл.взрослых Пр.16- 23'!Q20+'[9]Уточнение Пр.17-23  '!Q20</f>
        <v>46</v>
      </c>
      <c r="R20" s="871">
        <f>'[9]Диспан.набл.взрослых Пр.16- 23'!R20+'[9]Уточнение Пр.17-23  '!R20</f>
        <v>0</v>
      </c>
      <c r="S20" s="871">
        <f t="shared" si="4"/>
        <v>13840</v>
      </c>
      <c r="T20" s="870">
        <f>D20-'[9]Диспан.набл.взрослых Пр.16- 23'!D20</f>
        <v>0</v>
      </c>
    </row>
    <row r="21" spans="1:20" x14ac:dyDescent="0.25">
      <c r="A21" s="873">
        <v>8</v>
      </c>
      <c r="B21" s="877" t="s">
        <v>30</v>
      </c>
      <c r="C21" s="567" t="s">
        <v>31</v>
      </c>
      <c r="D21" s="871">
        <f t="shared" si="3"/>
        <v>6227</v>
      </c>
      <c r="E21" s="871">
        <f>'[9]Диспан.набл.взрослых Пр.16- 23'!E21+'[9]Уточнение Пр.17-23  '!E21</f>
        <v>6100</v>
      </c>
      <c r="F21" s="871">
        <f>'[9]Диспан.набл.взрослых Пр.16- 23'!F21+'[9]Уточнение Пр.17-23  '!F21</f>
        <v>3</v>
      </c>
      <c r="G21" s="871">
        <f>'[9]Диспан.набл.взрослых Пр.16- 23'!G21+'[9]Уточнение Пр.17-23  '!G21</f>
        <v>15</v>
      </c>
      <c r="H21" s="871">
        <f>'[9]Диспан.набл.взрослых Пр.16- 23'!H21+'[9]Уточнение Пр.17-23  '!H21</f>
        <v>12</v>
      </c>
      <c r="I21" s="871">
        <f>'[9]Диспан.набл.взрослых Пр.16- 23'!I21+'[9]Уточнение Пр.17-23  '!I21</f>
        <v>0</v>
      </c>
      <c r="J21" s="871">
        <f>'[9]Диспан.набл.взрослых Пр.16- 23'!J21+'[9]Уточнение Пр.17-23  '!J21</f>
        <v>1</v>
      </c>
      <c r="K21" s="871">
        <f>'[9]Диспан.набл.взрослых Пр.16- 23'!K21+'[9]Уточнение Пр.17-23  '!K21</f>
        <v>0</v>
      </c>
      <c r="L21" s="871">
        <f>'[9]Диспан.набл.взрослых Пр.16- 23'!L21+'[9]Уточнение Пр.17-23  '!L21</f>
        <v>0</v>
      </c>
      <c r="M21" s="871">
        <f>'[9]Диспан.набл.взрослых Пр.16- 23'!M21+'[9]Уточнение Пр.17-23  '!M21</f>
        <v>1</v>
      </c>
      <c r="N21" s="871">
        <f>'[9]Диспан.набл.взрослых Пр.16- 23'!N21+'[9]Уточнение Пр.17-23  '!N21</f>
        <v>5</v>
      </c>
      <c r="O21" s="871">
        <f>'[9]Диспан.набл.взрослых Пр.16- 23'!O21+'[9]Уточнение Пр.17-23  '!O21</f>
        <v>9</v>
      </c>
      <c r="P21" s="871">
        <f>'[9]Диспан.набл.взрослых Пр.16- 23'!P21+'[9]Уточнение Пр.17-23  '!P21</f>
        <v>0</v>
      </c>
      <c r="Q21" s="871">
        <f>'[9]Диспан.набл.взрослых Пр.16- 23'!Q21+'[9]Уточнение Пр.17-23  '!Q21</f>
        <v>49</v>
      </c>
      <c r="R21" s="871">
        <f>'[9]Диспан.набл.взрослых Пр.16- 23'!R21+'[9]Уточнение Пр.17-23  '!R21</f>
        <v>32</v>
      </c>
      <c r="S21" s="871">
        <f t="shared" si="4"/>
        <v>6100</v>
      </c>
      <c r="T21" s="870">
        <f>D21-'[9]Диспан.набл.взрослых Пр.16- 23'!D21</f>
        <v>0</v>
      </c>
    </row>
    <row r="22" spans="1:20" x14ac:dyDescent="0.25">
      <c r="A22" s="873">
        <v>9</v>
      </c>
      <c r="B22" s="877" t="s">
        <v>32</v>
      </c>
      <c r="C22" s="567" t="s">
        <v>33</v>
      </c>
      <c r="D22" s="871">
        <f t="shared" si="3"/>
        <v>7377</v>
      </c>
      <c r="E22" s="871">
        <f>'[9]Диспан.набл.взрослых Пр.16- 23'!E22+'[9]Уточнение Пр.17-23  '!E22</f>
        <v>7131</v>
      </c>
      <c r="F22" s="871">
        <f>'[9]Диспан.набл.взрослых Пр.16- 23'!F22+'[9]Уточнение Пр.17-23  '!F22</f>
        <v>48</v>
      </c>
      <c r="G22" s="871">
        <f>'[9]Диспан.набл.взрослых Пр.16- 23'!G22+'[9]Уточнение Пр.17-23  '!G22</f>
        <v>1</v>
      </c>
      <c r="H22" s="871">
        <f>'[9]Диспан.набл.взрослых Пр.16- 23'!H22+'[9]Уточнение Пр.17-23  '!H22</f>
        <v>180</v>
      </c>
      <c r="I22" s="871">
        <f>'[9]Диспан.набл.взрослых Пр.16- 23'!I22+'[9]Уточнение Пр.17-23  '!I22</f>
        <v>0</v>
      </c>
      <c r="J22" s="871">
        <f>'[9]Диспан.набл.взрослых Пр.16- 23'!J22+'[9]Уточнение Пр.17-23  '!J22</f>
        <v>0</v>
      </c>
      <c r="K22" s="871">
        <f>'[9]Диспан.набл.взрослых Пр.16- 23'!K22+'[9]Уточнение Пр.17-23  '!K22</f>
        <v>0</v>
      </c>
      <c r="L22" s="871">
        <f>'[9]Диспан.набл.взрослых Пр.16- 23'!L22+'[9]Уточнение Пр.17-23  '!L22</f>
        <v>0</v>
      </c>
      <c r="M22" s="871">
        <f>'[9]Диспан.набл.взрослых Пр.16- 23'!M22+'[9]Уточнение Пр.17-23  '!M22</f>
        <v>1</v>
      </c>
      <c r="N22" s="871">
        <f>'[9]Диспан.набл.взрослых Пр.16- 23'!N22+'[9]Уточнение Пр.17-23  '!N22</f>
        <v>1</v>
      </c>
      <c r="O22" s="871">
        <f>'[9]Диспан.набл.взрослых Пр.16- 23'!O22+'[9]Уточнение Пр.17-23  '!O22</f>
        <v>3</v>
      </c>
      <c r="P22" s="871">
        <f>'[9]Диспан.набл.взрослых Пр.16- 23'!P22+'[9]Уточнение Пр.17-23  '!P22</f>
        <v>0</v>
      </c>
      <c r="Q22" s="871">
        <f>'[9]Диспан.набл.взрослых Пр.16- 23'!Q22+'[9]Уточнение Пр.17-23  '!Q22</f>
        <v>12</v>
      </c>
      <c r="R22" s="871">
        <f>'[9]Диспан.набл.взрослых Пр.16- 23'!R22+'[9]Уточнение Пр.17-23  '!R22</f>
        <v>0</v>
      </c>
      <c r="S22" s="871">
        <f t="shared" si="4"/>
        <v>7131</v>
      </c>
      <c r="T22" s="870">
        <f>D22-'[9]Диспан.набл.взрослых Пр.16- 23'!D22</f>
        <v>0</v>
      </c>
    </row>
    <row r="23" spans="1:20" x14ac:dyDescent="0.25">
      <c r="A23" s="873">
        <v>10</v>
      </c>
      <c r="B23" s="877" t="s">
        <v>34</v>
      </c>
      <c r="C23" s="567" t="s">
        <v>35</v>
      </c>
      <c r="D23" s="871">
        <f t="shared" si="3"/>
        <v>9011</v>
      </c>
      <c r="E23" s="871">
        <f>'[9]Диспан.набл.взрослых Пр.16- 23'!E23+'[9]Уточнение Пр.17-23  '!E23</f>
        <v>8808</v>
      </c>
      <c r="F23" s="871">
        <f>'[9]Диспан.набл.взрослых Пр.16- 23'!F23+'[9]Уточнение Пр.17-23  '!F23</f>
        <v>56</v>
      </c>
      <c r="G23" s="871">
        <f>'[9]Диспан.набл.взрослых Пр.16- 23'!G23+'[9]Уточнение Пр.17-23  '!G23</f>
        <v>0</v>
      </c>
      <c r="H23" s="871">
        <f>'[9]Диспан.набл.взрослых Пр.16- 23'!H23+'[9]Уточнение Пр.17-23  '!H23</f>
        <v>76</v>
      </c>
      <c r="I23" s="871">
        <f>'[9]Диспан.набл.взрослых Пр.16- 23'!I23+'[9]Уточнение Пр.17-23  '!I23</f>
        <v>0</v>
      </c>
      <c r="J23" s="871">
        <f>'[9]Диспан.набл.взрослых Пр.16- 23'!J23+'[9]Уточнение Пр.17-23  '!J23</f>
        <v>0</v>
      </c>
      <c r="K23" s="871">
        <f>'[9]Диспан.набл.взрослых Пр.16- 23'!K23+'[9]Уточнение Пр.17-23  '!K23</f>
        <v>3</v>
      </c>
      <c r="L23" s="871">
        <f>'[9]Диспан.набл.взрослых Пр.16- 23'!L23+'[9]Уточнение Пр.17-23  '!L23</f>
        <v>0</v>
      </c>
      <c r="M23" s="871">
        <f>'[9]Диспан.набл.взрослых Пр.16- 23'!M23+'[9]Уточнение Пр.17-23  '!M23</f>
        <v>2</v>
      </c>
      <c r="N23" s="871">
        <f>'[9]Диспан.набл.взрослых Пр.16- 23'!N23+'[9]Уточнение Пр.17-23  '!N23</f>
        <v>0</v>
      </c>
      <c r="O23" s="871">
        <f>'[9]Диспан.набл.взрослых Пр.16- 23'!O23+'[9]Уточнение Пр.17-23  '!O23</f>
        <v>0</v>
      </c>
      <c r="P23" s="871">
        <f>'[9]Диспан.набл.взрослых Пр.16- 23'!P23+'[9]Уточнение Пр.17-23  '!P23</f>
        <v>0</v>
      </c>
      <c r="Q23" s="871">
        <f>'[9]Диспан.набл.взрослых Пр.16- 23'!Q23+'[9]Уточнение Пр.17-23  '!Q23</f>
        <v>41</v>
      </c>
      <c r="R23" s="871">
        <f>'[9]Диспан.набл.взрослых Пр.16- 23'!R23+'[9]Уточнение Пр.17-23  '!R23</f>
        <v>25</v>
      </c>
      <c r="S23" s="871">
        <f t="shared" si="4"/>
        <v>8808</v>
      </c>
      <c r="T23" s="870">
        <f>D23-'[9]Диспан.набл.взрослых Пр.16- 23'!D23</f>
        <v>0</v>
      </c>
    </row>
    <row r="24" spans="1:20" x14ac:dyDescent="0.25">
      <c r="A24" s="873">
        <v>11</v>
      </c>
      <c r="B24" s="877" t="s">
        <v>36</v>
      </c>
      <c r="C24" s="567" t="s">
        <v>37</v>
      </c>
      <c r="D24" s="871">
        <f t="shared" si="3"/>
        <v>8641</v>
      </c>
      <c r="E24" s="871">
        <f>'[9]Диспан.набл.взрослых Пр.16- 23'!E24+'[9]Уточнение Пр.17-23  '!E24</f>
        <v>8436</v>
      </c>
      <c r="F24" s="871">
        <f>'[9]Диспан.набл.взрослых Пр.16- 23'!F24+'[9]Уточнение Пр.17-23  '!F24</f>
        <v>168</v>
      </c>
      <c r="G24" s="871">
        <f>'[9]Диспан.набл.взрослых Пр.16- 23'!G24+'[9]Уточнение Пр.17-23  '!G24</f>
        <v>0</v>
      </c>
      <c r="H24" s="871">
        <f>'[9]Диспан.набл.взрослых Пр.16- 23'!H24+'[9]Уточнение Пр.17-23  '!H24</f>
        <v>9</v>
      </c>
      <c r="I24" s="871">
        <f>'[9]Диспан.набл.взрослых Пр.16- 23'!I24+'[9]Уточнение Пр.17-23  '!I24</f>
        <v>0</v>
      </c>
      <c r="J24" s="871">
        <f>'[9]Диспан.набл.взрослых Пр.16- 23'!J24+'[9]Уточнение Пр.17-23  '!J24</f>
        <v>0</v>
      </c>
      <c r="K24" s="871">
        <f>'[9]Диспан.набл.взрослых Пр.16- 23'!K24+'[9]Уточнение Пр.17-23  '!K24</f>
        <v>0</v>
      </c>
      <c r="L24" s="871">
        <f>'[9]Диспан.набл.взрослых Пр.16- 23'!L24+'[9]Уточнение Пр.17-23  '!L24</f>
        <v>0</v>
      </c>
      <c r="M24" s="871">
        <f>'[9]Диспан.набл.взрослых Пр.16- 23'!M24+'[9]Уточнение Пр.17-23  '!M24</f>
        <v>3</v>
      </c>
      <c r="N24" s="871">
        <f>'[9]Диспан.набл.взрослых Пр.16- 23'!N24+'[9]Уточнение Пр.17-23  '!N24</f>
        <v>16</v>
      </c>
      <c r="O24" s="871">
        <f>'[9]Диспан.набл.взрослых Пр.16- 23'!O24+'[9]Уточнение Пр.17-23  '!O24</f>
        <v>0</v>
      </c>
      <c r="P24" s="871">
        <f>'[9]Диспан.набл.взрослых Пр.16- 23'!P24+'[9]Уточнение Пр.17-23  '!P24</f>
        <v>0</v>
      </c>
      <c r="Q24" s="871">
        <f>'[9]Диспан.набл.взрослых Пр.16- 23'!Q24+'[9]Уточнение Пр.17-23  '!Q24</f>
        <v>8</v>
      </c>
      <c r="R24" s="871">
        <f>'[9]Диспан.набл.взрослых Пр.16- 23'!R24+'[9]Уточнение Пр.17-23  '!R24</f>
        <v>1</v>
      </c>
      <c r="S24" s="871">
        <f t="shared" si="4"/>
        <v>8436</v>
      </c>
      <c r="T24" s="870">
        <f>D24-'[9]Диспан.набл.взрослых Пр.16- 23'!D24</f>
        <v>0</v>
      </c>
    </row>
    <row r="25" spans="1:20" x14ac:dyDescent="0.25">
      <c r="A25" s="873">
        <v>12</v>
      </c>
      <c r="B25" s="877" t="s">
        <v>38</v>
      </c>
      <c r="C25" s="567" t="s">
        <v>39</v>
      </c>
      <c r="D25" s="871">
        <f t="shared" si="3"/>
        <v>14669</v>
      </c>
      <c r="E25" s="871">
        <f>'[9]Диспан.набл.взрослых Пр.16- 23'!E25+'[9]Уточнение Пр.17-23  '!E25</f>
        <v>12692</v>
      </c>
      <c r="F25" s="871">
        <f>'[9]Диспан.набл.взрослых Пр.16- 23'!F25+'[9]Уточнение Пр.17-23  '!F25</f>
        <v>1574</v>
      </c>
      <c r="G25" s="871">
        <f>'[9]Диспан.набл.взрослых Пр.16- 23'!G25+'[9]Уточнение Пр.17-23  '!G25</f>
        <v>316</v>
      </c>
      <c r="H25" s="871">
        <f>'[9]Диспан.набл.взрослых Пр.16- 23'!H25+'[9]Уточнение Пр.17-23  '!H25</f>
        <v>82</v>
      </c>
      <c r="I25" s="871">
        <f>'[9]Диспан.набл.взрослых Пр.16- 23'!I25+'[9]Уточнение Пр.17-23  '!I25</f>
        <v>0</v>
      </c>
      <c r="J25" s="871">
        <f>'[9]Диспан.набл.взрослых Пр.16- 23'!J25+'[9]Уточнение Пр.17-23  '!J25</f>
        <v>0</v>
      </c>
      <c r="K25" s="871">
        <f>'[9]Диспан.набл.взрослых Пр.16- 23'!K25+'[9]Уточнение Пр.17-23  '!K25</f>
        <v>0</v>
      </c>
      <c r="L25" s="871">
        <f>'[9]Диспан.набл.взрослых Пр.16- 23'!L25+'[9]Уточнение Пр.17-23  '!L25</f>
        <v>0</v>
      </c>
      <c r="M25" s="871">
        <f>'[9]Диспан.набл.взрослых Пр.16- 23'!M25+'[9]Уточнение Пр.17-23  '!M25</f>
        <v>0</v>
      </c>
      <c r="N25" s="871">
        <f>'[9]Диспан.набл.взрослых Пр.16- 23'!N25+'[9]Уточнение Пр.17-23  '!N25</f>
        <v>0</v>
      </c>
      <c r="O25" s="871">
        <f>'[9]Диспан.набл.взрослых Пр.16- 23'!O25+'[9]Уточнение Пр.17-23  '!O25</f>
        <v>0</v>
      </c>
      <c r="P25" s="871">
        <f>'[9]Диспан.набл.взрослых Пр.16- 23'!P25+'[9]Уточнение Пр.17-23  '!P25</f>
        <v>0</v>
      </c>
      <c r="Q25" s="871">
        <f>'[9]Диспан.набл.взрослых Пр.16- 23'!Q25+'[9]Уточнение Пр.17-23  '!Q25</f>
        <v>3</v>
      </c>
      <c r="R25" s="871">
        <f>'[9]Диспан.набл.взрослых Пр.16- 23'!R25+'[9]Уточнение Пр.17-23  '!R25</f>
        <v>2</v>
      </c>
      <c r="S25" s="871">
        <f t="shared" si="4"/>
        <v>12692</v>
      </c>
      <c r="T25" s="870">
        <f>D25-'[9]Диспан.набл.взрослых Пр.16- 23'!D25</f>
        <v>0</v>
      </c>
    </row>
    <row r="26" spans="1:20" x14ac:dyDescent="0.25">
      <c r="A26" s="873">
        <v>13</v>
      </c>
      <c r="B26" s="877" t="s">
        <v>40</v>
      </c>
      <c r="C26" s="875" t="s">
        <v>41</v>
      </c>
      <c r="D26" s="871">
        <f t="shared" si="3"/>
        <v>0</v>
      </c>
      <c r="E26" s="871">
        <f>'[9]Диспан.набл.взрослых Пр.16- 23'!E26+'[9]Уточнение Пр.17-23  '!E26</f>
        <v>0</v>
      </c>
      <c r="F26" s="871">
        <f>'[9]Диспан.набл.взрослых Пр.16- 23'!F26+'[9]Уточнение Пр.17-23  '!F26</f>
        <v>0</v>
      </c>
      <c r="G26" s="871">
        <f>'[9]Диспан.набл.взрослых Пр.16- 23'!G26+'[9]Уточнение Пр.17-23  '!G26</f>
        <v>0</v>
      </c>
      <c r="H26" s="871">
        <f>'[9]Диспан.набл.взрослых Пр.16- 23'!H26+'[9]Уточнение Пр.17-23  '!H26</f>
        <v>0</v>
      </c>
      <c r="I26" s="871">
        <f>'[9]Диспан.набл.взрослых Пр.16- 23'!I26+'[9]Уточнение Пр.17-23  '!I26</f>
        <v>0</v>
      </c>
      <c r="J26" s="871">
        <f>'[9]Диспан.набл.взрослых Пр.16- 23'!J26+'[9]Уточнение Пр.17-23  '!J26</f>
        <v>0</v>
      </c>
      <c r="K26" s="871">
        <f>'[9]Диспан.набл.взрослых Пр.16- 23'!K26+'[9]Уточнение Пр.17-23  '!K26</f>
        <v>0</v>
      </c>
      <c r="L26" s="871">
        <f>'[9]Диспан.набл.взрослых Пр.16- 23'!L26+'[9]Уточнение Пр.17-23  '!L26</f>
        <v>0</v>
      </c>
      <c r="M26" s="871">
        <f>'[9]Диспан.набл.взрослых Пр.16- 23'!M26+'[9]Уточнение Пр.17-23  '!M26</f>
        <v>0</v>
      </c>
      <c r="N26" s="871">
        <f>'[9]Диспан.набл.взрослых Пр.16- 23'!N26+'[9]Уточнение Пр.17-23  '!N26</f>
        <v>0</v>
      </c>
      <c r="O26" s="871">
        <f>'[9]Диспан.набл.взрослых Пр.16- 23'!O26+'[9]Уточнение Пр.17-23  '!O26</f>
        <v>0</v>
      </c>
      <c r="P26" s="871">
        <f>'[9]Диспан.набл.взрослых Пр.16- 23'!P26+'[9]Уточнение Пр.17-23  '!P26</f>
        <v>0</v>
      </c>
      <c r="Q26" s="871">
        <f>'[9]Диспан.набл.взрослых Пр.16- 23'!Q26+'[9]Уточнение Пр.17-23  '!Q26</f>
        <v>0</v>
      </c>
      <c r="R26" s="871">
        <f>'[9]Диспан.набл.взрослых Пр.16- 23'!R26+'[9]Уточнение Пр.17-23  '!R26</f>
        <v>0</v>
      </c>
      <c r="S26" s="871">
        <f t="shared" si="4"/>
        <v>0</v>
      </c>
      <c r="T26" s="870">
        <f>D26-'[9]Диспан.набл.взрослых Пр.16- 23'!D26</f>
        <v>0</v>
      </c>
    </row>
    <row r="27" spans="1:20" x14ac:dyDescent="0.25">
      <c r="A27" s="873">
        <v>14</v>
      </c>
      <c r="B27" s="874" t="s">
        <v>42</v>
      </c>
      <c r="C27" s="567" t="s">
        <v>43</v>
      </c>
      <c r="D27" s="871">
        <f t="shared" si="3"/>
        <v>0</v>
      </c>
      <c r="E27" s="871">
        <f>'[9]Диспан.набл.взрослых Пр.16- 23'!E27+'[9]Уточнение Пр.17-23  '!E27</f>
        <v>0</v>
      </c>
      <c r="F27" s="871">
        <f>'[9]Диспан.набл.взрослых Пр.16- 23'!F27+'[9]Уточнение Пр.17-23  '!F27</f>
        <v>0</v>
      </c>
      <c r="G27" s="871">
        <f>'[9]Диспан.набл.взрослых Пр.16- 23'!G27+'[9]Уточнение Пр.17-23  '!G27</f>
        <v>0</v>
      </c>
      <c r="H27" s="871">
        <f>'[9]Диспан.набл.взрослых Пр.16- 23'!H27+'[9]Уточнение Пр.17-23  '!H27</f>
        <v>0</v>
      </c>
      <c r="I27" s="871">
        <f>'[9]Диспан.набл.взрослых Пр.16- 23'!I27+'[9]Уточнение Пр.17-23  '!I27</f>
        <v>0</v>
      </c>
      <c r="J27" s="871">
        <f>'[9]Диспан.набл.взрослых Пр.16- 23'!J27+'[9]Уточнение Пр.17-23  '!J27</f>
        <v>0</v>
      </c>
      <c r="K27" s="871">
        <f>'[9]Диспан.набл.взрослых Пр.16- 23'!K27+'[9]Уточнение Пр.17-23  '!K27</f>
        <v>0</v>
      </c>
      <c r="L27" s="871">
        <f>'[9]Диспан.набл.взрослых Пр.16- 23'!L27+'[9]Уточнение Пр.17-23  '!L27</f>
        <v>0</v>
      </c>
      <c r="M27" s="871">
        <f>'[9]Диспан.набл.взрослых Пр.16- 23'!M27+'[9]Уточнение Пр.17-23  '!M27</f>
        <v>0</v>
      </c>
      <c r="N27" s="871">
        <f>'[9]Диспан.набл.взрослых Пр.16- 23'!N27+'[9]Уточнение Пр.17-23  '!N27</f>
        <v>0</v>
      </c>
      <c r="O27" s="871">
        <f>'[9]Диспан.набл.взрослых Пр.16- 23'!O27+'[9]Уточнение Пр.17-23  '!O27</f>
        <v>0</v>
      </c>
      <c r="P27" s="871">
        <f>'[9]Диспан.набл.взрослых Пр.16- 23'!P27+'[9]Уточнение Пр.17-23  '!P27</f>
        <v>0</v>
      </c>
      <c r="Q27" s="871">
        <f>'[9]Диспан.набл.взрослых Пр.16- 23'!Q27+'[9]Уточнение Пр.17-23  '!Q27</f>
        <v>0</v>
      </c>
      <c r="R27" s="871">
        <f>'[9]Диспан.набл.взрослых Пр.16- 23'!R27+'[9]Уточнение Пр.17-23  '!R27</f>
        <v>0</v>
      </c>
      <c r="S27" s="871">
        <f t="shared" si="4"/>
        <v>0</v>
      </c>
      <c r="T27" s="870">
        <f>D27-'[9]Диспан.набл.взрослых Пр.16- 23'!D27</f>
        <v>0</v>
      </c>
    </row>
    <row r="28" spans="1:20" x14ac:dyDescent="0.25">
      <c r="A28" s="873">
        <v>15</v>
      </c>
      <c r="B28" s="877" t="s">
        <v>44</v>
      </c>
      <c r="C28" s="567" t="s">
        <v>45</v>
      </c>
      <c r="D28" s="871">
        <f t="shared" si="3"/>
        <v>6357</v>
      </c>
      <c r="E28" s="871">
        <f>'[9]Диспан.набл.взрослых Пр.16- 23'!E28+'[9]Уточнение Пр.17-23  '!E28</f>
        <v>5931</v>
      </c>
      <c r="F28" s="871">
        <f>'[9]Диспан.набл.взрослых Пр.16- 23'!F28+'[9]Уточнение Пр.17-23  '!F28</f>
        <v>294</v>
      </c>
      <c r="G28" s="871">
        <f>'[9]Диспан.набл.взрослых Пр.16- 23'!G28+'[9]Уточнение Пр.17-23  '!G28</f>
        <v>74</v>
      </c>
      <c r="H28" s="871">
        <f>'[9]Диспан.набл.взрослых Пр.16- 23'!H28+'[9]Уточнение Пр.17-23  '!H28</f>
        <v>4</v>
      </c>
      <c r="I28" s="871">
        <f>'[9]Диспан.набл.взрослых Пр.16- 23'!I28+'[9]Уточнение Пр.17-23  '!I28</f>
        <v>0</v>
      </c>
      <c r="J28" s="871">
        <f>'[9]Диспан.набл.взрослых Пр.16- 23'!J28+'[9]Уточнение Пр.17-23  '!J28</f>
        <v>0</v>
      </c>
      <c r="K28" s="871">
        <f>'[9]Диспан.набл.взрослых Пр.16- 23'!K28+'[9]Уточнение Пр.17-23  '!K28</f>
        <v>0</v>
      </c>
      <c r="L28" s="871">
        <f>'[9]Диспан.набл.взрослых Пр.16- 23'!L28+'[9]Уточнение Пр.17-23  '!L28</f>
        <v>0</v>
      </c>
      <c r="M28" s="871">
        <f>'[9]Диспан.набл.взрослых Пр.16- 23'!M28+'[9]Уточнение Пр.17-23  '!M28</f>
        <v>1</v>
      </c>
      <c r="N28" s="871">
        <f>'[9]Диспан.набл.взрослых Пр.16- 23'!N28+'[9]Уточнение Пр.17-23  '!N28</f>
        <v>18</v>
      </c>
      <c r="O28" s="871">
        <f>'[9]Диспан.набл.взрослых Пр.16- 23'!O28+'[9]Уточнение Пр.17-23  '!O28</f>
        <v>1</v>
      </c>
      <c r="P28" s="871">
        <f>'[9]Диспан.набл.взрослых Пр.16- 23'!P28+'[9]Уточнение Пр.17-23  '!P28</f>
        <v>0</v>
      </c>
      <c r="Q28" s="871">
        <f>'[9]Диспан.набл.взрослых Пр.16- 23'!Q28+'[9]Уточнение Пр.17-23  '!Q28</f>
        <v>20</v>
      </c>
      <c r="R28" s="871">
        <f>'[9]Диспан.набл.взрослых Пр.16- 23'!R28+'[9]Уточнение Пр.17-23  '!R28</f>
        <v>14</v>
      </c>
      <c r="S28" s="871">
        <f t="shared" si="4"/>
        <v>5931</v>
      </c>
      <c r="T28" s="870">
        <f>D28-'[9]Диспан.набл.взрослых Пр.16- 23'!D28</f>
        <v>0</v>
      </c>
    </row>
    <row r="29" spans="1:20" x14ac:dyDescent="0.25">
      <c r="A29" s="873">
        <v>16</v>
      </c>
      <c r="B29" s="877" t="s">
        <v>46</v>
      </c>
      <c r="C29" s="567" t="s">
        <v>47</v>
      </c>
      <c r="D29" s="871">
        <f t="shared" si="3"/>
        <v>6446</v>
      </c>
      <c r="E29" s="871">
        <f>'[9]Диспан.набл.взрослых Пр.16- 23'!E29+'[9]Уточнение Пр.17-23  '!E29</f>
        <v>5331</v>
      </c>
      <c r="F29" s="871">
        <f>'[9]Диспан.набл.взрослых Пр.16- 23'!F29+'[9]Уточнение Пр.17-23  '!F29</f>
        <v>757</v>
      </c>
      <c r="G29" s="871">
        <f>'[9]Диспан.набл.взрослых Пр.16- 23'!G29+'[9]Уточнение Пр.17-23  '!G29</f>
        <v>167</v>
      </c>
      <c r="H29" s="871">
        <f>'[9]Диспан.набл.взрослых Пр.16- 23'!H29+'[9]Уточнение Пр.17-23  '!H29</f>
        <v>94</v>
      </c>
      <c r="I29" s="871">
        <f>'[9]Диспан.набл.взрослых Пр.16- 23'!I29+'[9]Уточнение Пр.17-23  '!I29</f>
        <v>0</v>
      </c>
      <c r="J29" s="871">
        <f>'[9]Диспан.набл.взрослых Пр.16- 23'!J29+'[9]Уточнение Пр.17-23  '!J29</f>
        <v>0</v>
      </c>
      <c r="K29" s="871">
        <f>'[9]Диспан.набл.взрослых Пр.16- 23'!K29+'[9]Уточнение Пр.17-23  '!K29</f>
        <v>0</v>
      </c>
      <c r="L29" s="871">
        <f>'[9]Диспан.набл.взрослых Пр.16- 23'!L29+'[9]Уточнение Пр.17-23  '!L29</f>
        <v>0</v>
      </c>
      <c r="M29" s="871">
        <f>'[9]Диспан.набл.взрослых Пр.16- 23'!M29+'[9]Уточнение Пр.17-23  '!M29</f>
        <v>2</v>
      </c>
      <c r="N29" s="871">
        <f>'[9]Диспан.набл.взрослых Пр.16- 23'!N29+'[9]Уточнение Пр.17-23  '!N29</f>
        <v>83</v>
      </c>
      <c r="O29" s="871">
        <f>'[9]Диспан.набл.взрослых Пр.16- 23'!O29+'[9]Уточнение Пр.17-23  '!O29</f>
        <v>0</v>
      </c>
      <c r="P29" s="871">
        <f>'[9]Диспан.набл.взрослых Пр.16- 23'!P29+'[9]Уточнение Пр.17-23  '!P29</f>
        <v>1</v>
      </c>
      <c r="Q29" s="871">
        <f>'[9]Диспан.набл.взрослых Пр.16- 23'!Q29+'[9]Уточнение Пр.17-23  '!Q29</f>
        <v>9</v>
      </c>
      <c r="R29" s="871">
        <f>'[9]Диспан.набл.взрослых Пр.16- 23'!R29+'[9]Уточнение Пр.17-23  '!R29</f>
        <v>2</v>
      </c>
      <c r="S29" s="871">
        <f t="shared" si="4"/>
        <v>5331</v>
      </c>
      <c r="T29" s="870">
        <f>D29-'[9]Диспан.набл.взрослых Пр.16- 23'!D29</f>
        <v>0</v>
      </c>
    </row>
    <row r="30" spans="1:20" x14ac:dyDescent="0.25">
      <c r="A30" s="873">
        <v>17</v>
      </c>
      <c r="B30" s="877" t="s">
        <v>48</v>
      </c>
      <c r="C30" s="567" t="s">
        <v>49</v>
      </c>
      <c r="D30" s="871">
        <f t="shared" si="3"/>
        <v>7622</v>
      </c>
      <c r="E30" s="871">
        <f>'[9]Диспан.набл.взрослых Пр.16- 23'!E30+'[9]Уточнение Пр.17-23  '!E30</f>
        <v>6903</v>
      </c>
      <c r="F30" s="871">
        <f>'[9]Диспан.набл.взрослых Пр.16- 23'!F30+'[9]Уточнение Пр.17-23  '!F30</f>
        <v>380</v>
      </c>
      <c r="G30" s="871">
        <f>'[9]Диспан.набл.взрослых Пр.16- 23'!G30+'[9]Уточнение Пр.17-23  '!G30</f>
        <v>179</v>
      </c>
      <c r="H30" s="871">
        <f>'[9]Диспан.набл.взрослых Пр.16- 23'!H30+'[9]Уточнение Пр.17-23  '!H30</f>
        <v>22</v>
      </c>
      <c r="I30" s="871">
        <f>'[9]Диспан.набл.взрослых Пр.16- 23'!I30+'[9]Уточнение Пр.17-23  '!I30</f>
        <v>0</v>
      </c>
      <c r="J30" s="871">
        <f>'[9]Диспан.набл.взрослых Пр.16- 23'!J30+'[9]Уточнение Пр.17-23  '!J30</f>
        <v>0</v>
      </c>
      <c r="K30" s="871">
        <f>'[9]Диспан.набл.взрослых Пр.16- 23'!K30+'[9]Уточнение Пр.17-23  '!K30</f>
        <v>0</v>
      </c>
      <c r="L30" s="871">
        <f>'[9]Диспан.набл.взрослых Пр.16- 23'!L30+'[9]Уточнение Пр.17-23  '!L30</f>
        <v>1</v>
      </c>
      <c r="M30" s="871">
        <f>'[9]Диспан.набл.взрослых Пр.16- 23'!M30+'[9]Уточнение Пр.17-23  '!M30</f>
        <v>1</v>
      </c>
      <c r="N30" s="871">
        <f>'[9]Диспан.набл.взрослых Пр.16- 23'!N30+'[9]Уточнение Пр.17-23  '!N30</f>
        <v>4</v>
      </c>
      <c r="O30" s="871">
        <f>'[9]Диспан.набл.взрослых Пр.16- 23'!O30+'[9]Уточнение Пр.17-23  '!O30</f>
        <v>0</v>
      </c>
      <c r="P30" s="871">
        <f>'[9]Диспан.набл.взрослых Пр.16- 23'!P30+'[9]Уточнение Пр.17-23  '!P30</f>
        <v>0</v>
      </c>
      <c r="Q30" s="871">
        <f>'[9]Диспан.набл.взрослых Пр.16- 23'!Q30+'[9]Уточнение Пр.17-23  '!Q30</f>
        <v>129</v>
      </c>
      <c r="R30" s="871">
        <f>'[9]Диспан.набл.взрослых Пр.16- 23'!R30+'[9]Уточнение Пр.17-23  '!R30</f>
        <v>3</v>
      </c>
      <c r="S30" s="871">
        <f t="shared" si="4"/>
        <v>6903</v>
      </c>
      <c r="T30" s="870">
        <f>D30-'[9]Диспан.набл.взрослых Пр.16- 23'!D30</f>
        <v>0</v>
      </c>
    </row>
    <row r="31" spans="1:20" x14ac:dyDescent="0.25">
      <c r="A31" s="873">
        <v>18</v>
      </c>
      <c r="B31" s="877" t="s">
        <v>50</v>
      </c>
      <c r="C31" s="567" t="s">
        <v>51</v>
      </c>
      <c r="D31" s="871">
        <f t="shared" si="3"/>
        <v>13025</v>
      </c>
      <c r="E31" s="871">
        <f>'[9]Диспан.набл.взрослых Пр.16- 23'!E31+'[9]Уточнение Пр.17-23  '!E31</f>
        <v>12799</v>
      </c>
      <c r="F31" s="871">
        <f>'[9]Диспан.набл.взрослых Пр.16- 23'!F31+'[9]Уточнение Пр.17-23  '!F31</f>
        <v>41</v>
      </c>
      <c r="G31" s="871">
        <f>'[9]Диспан.набл.взрослых Пр.16- 23'!G31+'[9]Уточнение Пр.17-23  '!G31</f>
        <v>50</v>
      </c>
      <c r="H31" s="871">
        <f>'[9]Диспан.набл.взрослых Пр.16- 23'!H31+'[9]Уточнение Пр.17-23  '!H31</f>
        <v>62</v>
      </c>
      <c r="I31" s="871">
        <f>'[9]Диспан.набл.взрослых Пр.16- 23'!I31+'[9]Уточнение Пр.17-23  '!I31</f>
        <v>0</v>
      </c>
      <c r="J31" s="871">
        <f>'[9]Диспан.набл.взрослых Пр.16- 23'!J31+'[9]Уточнение Пр.17-23  '!J31</f>
        <v>0</v>
      </c>
      <c r="K31" s="871">
        <f>'[9]Диспан.набл.взрослых Пр.16- 23'!K31+'[9]Уточнение Пр.17-23  '!K31</f>
        <v>1</v>
      </c>
      <c r="L31" s="871">
        <f>'[9]Диспан.набл.взрослых Пр.16- 23'!L31+'[9]Уточнение Пр.17-23  '!L31</f>
        <v>2</v>
      </c>
      <c r="M31" s="871">
        <f>'[9]Диспан.набл.взрослых Пр.16- 23'!M31+'[9]Уточнение Пр.17-23  '!M31</f>
        <v>0</v>
      </c>
      <c r="N31" s="871">
        <f>'[9]Диспан.набл.взрослых Пр.16- 23'!N31+'[9]Уточнение Пр.17-23  '!N31</f>
        <v>3</v>
      </c>
      <c r="O31" s="871">
        <f>'[9]Диспан.набл.взрослых Пр.16- 23'!O31+'[9]Уточнение Пр.17-23  '!O31</f>
        <v>3</v>
      </c>
      <c r="P31" s="871">
        <f>'[9]Диспан.набл.взрослых Пр.16- 23'!P31+'[9]Уточнение Пр.17-23  '!P31</f>
        <v>6</v>
      </c>
      <c r="Q31" s="871">
        <f>'[9]Диспан.набл.взрослых Пр.16- 23'!Q31+'[9]Уточнение Пр.17-23  '!Q31</f>
        <v>40</v>
      </c>
      <c r="R31" s="871">
        <f>'[9]Диспан.набл.взрослых Пр.16- 23'!R31+'[9]Уточнение Пр.17-23  '!R31</f>
        <v>18</v>
      </c>
      <c r="S31" s="871">
        <f t="shared" si="4"/>
        <v>12799</v>
      </c>
      <c r="T31" s="870">
        <f>D31-'[9]Диспан.набл.взрослых Пр.16- 23'!D31</f>
        <v>0</v>
      </c>
    </row>
    <row r="32" spans="1:20" x14ac:dyDescent="0.25">
      <c r="A32" s="873">
        <v>19</v>
      </c>
      <c r="B32" s="874" t="s">
        <v>52</v>
      </c>
      <c r="C32" s="875" t="s">
        <v>53</v>
      </c>
      <c r="D32" s="871">
        <f t="shared" si="3"/>
        <v>3339</v>
      </c>
      <c r="E32" s="871">
        <f>'[9]Диспан.набл.взрослых Пр.16- 23'!E32+'[9]Уточнение Пр.17-23  '!E32</f>
        <v>3220</v>
      </c>
      <c r="F32" s="871">
        <f>'[9]Диспан.набл.взрослых Пр.16- 23'!F32+'[9]Уточнение Пр.17-23  '!F32</f>
        <v>0</v>
      </c>
      <c r="G32" s="871">
        <f>'[9]Диспан.набл.взрослых Пр.16- 23'!G32+'[9]Уточнение Пр.17-23  '!G32</f>
        <v>9</v>
      </c>
      <c r="H32" s="871">
        <f>'[9]Диспан.набл.взрослых Пр.16- 23'!H32+'[9]Уточнение Пр.17-23  '!H32</f>
        <v>0</v>
      </c>
      <c r="I32" s="871">
        <f>'[9]Диспан.набл.взрослых Пр.16- 23'!I32+'[9]Уточнение Пр.17-23  '!I32</f>
        <v>0</v>
      </c>
      <c r="J32" s="871">
        <f>'[9]Диспан.набл.взрослых Пр.16- 23'!J32+'[9]Уточнение Пр.17-23  '!J32</f>
        <v>0</v>
      </c>
      <c r="K32" s="871">
        <f>'[9]Диспан.набл.взрослых Пр.16- 23'!K32+'[9]Уточнение Пр.17-23  '!K32</f>
        <v>0</v>
      </c>
      <c r="L32" s="871">
        <f>'[9]Диспан.набл.взрослых Пр.16- 23'!L32+'[9]Уточнение Пр.17-23  '!L32</f>
        <v>5</v>
      </c>
      <c r="M32" s="871">
        <f>'[9]Диспан.набл.взрослых Пр.16- 23'!M32+'[9]Уточнение Пр.17-23  '!M32</f>
        <v>0</v>
      </c>
      <c r="N32" s="871">
        <f>'[9]Диспан.набл.взрослых Пр.16- 23'!N32+'[9]Уточнение Пр.17-23  '!N32</f>
        <v>14</v>
      </c>
      <c r="O32" s="871">
        <f>'[9]Диспан.набл.взрослых Пр.16- 23'!O32+'[9]Уточнение Пр.17-23  '!O32</f>
        <v>0</v>
      </c>
      <c r="P32" s="871">
        <f>'[9]Диспан.набл.взрослых Пр.16- 23'!P32+'[9]Уточнение Пр.17-23  '!P32</f>
        <v>0</v>
      </c>
      <c r="Q32" s="871">
        <f>'[9]Диспан.набл.взрослых Пр.16- 23'!Q32+'[9]Уточнение Пр.17-23  '!Q32</f>
        <v>91</v>
      </c>
      <c r="R32" s="871">
        <f>'[9]Диспан.набл.взрослых Пр.16- 23'!R32+'[9]Уточнение Пр.17-23  '!R32</f>
        <v>0</v>
      </c>
      <c r="S32" s="871">
        <f t="shared" si="4"/>
        <v>3220</v>
      </c>
      <c r="T32" s="870">
        <f>D32-'[9]Диспан.набл.взрослых Пр.16- 23'!D32</f>
        <v>0</v>
      </c>
    </row>
    <row r="33" spans="1:20" x14ac:dyDescent="0.25">
      <c r="A33" s="873">
        <v>20</v>
      </c>
      <c r="B33" s="874" t="s">
        <v>54</v>
      </c>
      <c r="C33" s="875" t="s">
        <v>55</v>
      </c>
      <c r="D33" s="871">
        <f t="shared" si="3"/>
        <v>4550</v>
      </c>
      <c r="E33" s="871">
        <f>'[9]Диспан.набл.взрослых Пр.16- 23'!E33+'[9]Уточнение Пр.17-23  '!E33</f>
        <v>4406</v>
      </c>
      <c r="F33" s="871">
        <f>'[9]Диспан.набл.взрослых Пр.16- 23'!F33+'[9]Уточнение Пр.17-23  '!F33</f>
        <v>0</v>
      </c>
      <c r="G33" s="871">
        <f>'[9]Диспан.набл.взрослых Пр.16- 23'!G33+'[9]Уточнение Пр.17-23  '!G33</f>
        <v>93</v>
      </c>
      <c r="H33" s="871">
        <f>'[9]Диспан.набл.взрослых Пр.16- 23'!H33+'[9]Уточнение Пр.17-23  '!H33</f>
        <v>2</v>
      </c>
      <c r="I33" s="871">
        <f>'[9]Диспан.набл.взрослых Пр.16- 23'!I33+'[9]Уточнение Пр.17-23  '!I33</f>
        <v>0</v>
      </c>
      <c r="J33" s="871">
        <f>'[9]Диспан.набл.взрослых Пр.16- 23'!J33+'[9]Уточнение Пр.17-23  '!J33</f>
        <v>0</v>
      </c>
      <c r="K33" s="871">
        <f>'[9]Диспан.набл.взрослых Пр.16- 23'!K33+'[9]Уточнение Пр.17-23  '!K33</f>
        <v>0</v>
      </c>
      <c r="L33" s="871">
        <f>'[9]Диспан.набл.взрослых Пр.16- 23'!L33+'[9]Уточнение Пр.17-23  '!L33</f>
        <v>0</v>
      </c>
      <c r="M33" s="871">
        <f>'[9]Диспан.набл.взрослых Пр.16- 23'!M33+'[9]Уточнение Пр.17-23  '!M33</f>
        <v>0</v>
      </c>
      <c r="N33" s="871">
        <f>'[9]Диспан.набл.взрослых Пр.16- 23'!N33+'[9]Уточнение Пр.17-23  '!N33</f>
        <v>4</v>
      </c>
      <c r="O33" s="871">
        <f>'[9]Диспан.набл.взрослых Пр.16- 23'!O33+'[9]Уточнение Пр.17-23  '!O33</f>
        <v>0</v>
      </c>
      <c r="P33" s="871">
        <f>'[9]Диспан.набл.взрослых Пр.16- 23'!P33+'[9]Уточнение Пр.17-23  '!P33</f>
        <v>4</v>
      </c>
      <c r="Q33" s="871">
        <f>'[9]Диспан.набл.взрослых Пр.16- 23'!Q33+'[9]Уточнение Пр.17-23  '!Q33</f>
        <v>41</v>
      </c>
      <c r="R33" s="871">
        <f>'[9]Диспан.набл.взрослых Пр.16- 23'!R33+'[9]Уточнение Пр.17-23  '!R33</f>
        <v>0</v>
      </c>
      <c r="S33" s="871">
        <f t="shared" si="4"/>
        <v>4406</v>
      </c>
      <c r="T33" s="870">
        <f>D33-'[9]Диспан.набл.взрослых Пр.16- 23'!D33</f>
        <v>0</v>
      </c>
    </row>
    <row r="34" spans="1:20" x14ac:dyDescent="0.25">
      <c r="A34" s="873">
        <v>21</v>
      </c>
      <c r="B34" s="874" t="s">
        <v>56</v>
      </c>
      <c r="C34" s="875" t="s">
        <v>57</v>
      </c>
      <c r="D34" s="871">
        <f t="shared" si="3"/>
        <v>17600</v>
      </c>
      <c r="E34" s="871">
        <f>'[9]Диспан.набл.взрослых Пр.16- 23'!E34+'[9]Уточнение Пр.17-23  '!E34</f>
        <v>16901</v>
      </c>
      <c r="F34" s="871">
        <f>'[9]Диспан.набл.взрослых Пр.16- 23'!F34+'[9]Уточнение Пр.17-23  '!F34</f>
        <v>525</v>
      </c>
      <c r="G34" s="871">
        <f>'[9]Диспан.набл.взрослых Пр.16- 23'!G34+'[9]Уточнение Пр.17-23  '!G34</f>
        <v>0</v>
      </c>
      <c r="H34" s="871">
        <f>'[9]Диспан.набл.взрослых Пр.16- 23'!H34+'[9]Уточнение Пр.17-23  '!H34</f>
        <v>40</v>
      </c>
      <c r="I34" s="871">
        <f>'[9]Диспан.набл.взрослых Пр.16- 23'!I34+'[9]Уточнение Пр.17-23  '!I34</f>
        <v>0</v>
      </c>
      <c r="J34" s="871">
        <f>'[9]Диспан.набл.взрослых Пр.16- 23'!J34+'[9]Уточнение Пр.17-23  '!J34</f>
        <v>0</v>
      </c>
      <c r="K34" s="871">
        <f>'[9]Диспан.набл.взрослых Пр.16- 23'!K34+'[9]Уточнение Пр.17-23  '!K34</f>
        <v>2</v>
      </c>
      <c r="L34" s="871">
        <f>'[9]Диспан.набл.взрослых Пр.16- 23'!L34+'[9]Уточнение Пр.17-23  '!L34</f>
        <v>0</v>
      </c>
      <c r="M34" s="871">
        <f>'[9]Диспан.набл.взрослых Пр.16- 23'!M34+'[9]Уточнение Пр.17-23  '!M34</f>
        <v>0</v>
      </c>
      <c r="N34" s="871">
        <f>'[9]Диспан.набл.взрослых Пр.16- 23'!N34+'[9]Уточнение Пр.17-23  '!N34</f>
        <v>35</v>
      </c>
      <c r="O34" s="871">
        <f>'[9]Диспан.набл.взрослых Пр.16- 23'!O34+'[9]Уточнение Пр.17-23  '!O34</f>
        <v>1</v>
      </c>
      <c r="P34" s="871">
        <f>'[9]Диспан.набл.взрослых Пр.16- 23'!P34+'[9]Уточнение Пр.17-23  '!P34</f>
        <v>1</v>
      </c>
      <c r="Q34" s="871">
        <f>'[9]Диспан.набл.взрослых Пр.16- 23'!Q34+'[9]Уточнение Пр.17-23  '!Q34</f>
        <v>86</v>
      </c>
      <c r="R34" s="871">
        <f>'[9]Диспан.набл.взрослых Пр.16- 23'!R34+'[9]Уточнение Пр.17-23  '!R34</f>
        <v>9</v>
      </c>
      <c r="S34" s="871">
        <f t="shared" si="4"/>
        <v>16901</v>
      </c>
      <c r="T34" s="870">
        <f>D34-'[9]Диспан.набл.взрослых Пр.16- 23'!D34</f>
        <v>0</v>
      </c>
    </row>
    <row r="35" spans="1:20" x14ac:dyDescent="0.25">
      <c r="A35" s="873">
        <v>22</v>
      </c>
      <c r="B35" s="874" t="s">
        <v>58</v>
      </c>
      <c r="C35" s="875" t="s">
        <v>59</v>
      </c>
      <c r="D35" s="871">
        <f t="shared" si="3"/>
        <v>17702</v>
      </c>
      <c r="E35" s="871">
        <f>'[9]Диспан.набл.взрослых Пр.16- 23'!E35+'[9]Уточнение Пр.17-23  '!E35</f>
        <v>16049</v>
      </c>
      <c r="F35" s="871">
        <f>'[9]Диспан.набл.взрослых Пр.16- 23'!F35+'[9]Уточнение Пр.17-23  '!F35</f>
        <v>1481</v>
      </c>
      <c r="G35" s="871">
        <f>'[9]Диспан.набл.взрослых Пр.16- 23'!G35+'[9]Уточнение Пр.17-23  '!G35</f>
        <v>117</v>
      </c>
      <c r="H35" s="871">
        <f>'[9]Диспан.набл.взрослых Пр.16- 23'!H35+'[9]Уточнение Пр.17-23  '!H35</f>
        <v>24</v>
      </c>
      <c r="I35" s="871">
        <f>'[9]Диспан.набл.взрослых Пр.16- 23'!I35+'[9]Уточнение Пр.17-23  '!I35</f>
        <v>0</v>
      </c>
      <c r="J35" s="871">
        <f>'[9]Диспан.набл.взрослых Пр.16- 23'!J35+'[9]Уточнение Пр.17-23  '!J35</f>
        <v>0</v>
      </c>
      <c r="K35" s="871">
        <f>'[9]Диспан.набл.взрослых Пр.16- 23'!K35+'[9]Уточнение Пр.17-23  '!K35</f>
        <v>0</v>
      </c>
      <c r="L35" s="871">
        <f>'[9]Диспан.набл.взрослых Пр.16- 23'!L35+'[9]Уточнение Пр.17-23  '!L35</f>
        <v>0</v>
      </c>
      <c r="M35" s="871">
        <f>'[9]Диспан.набл.взрослых Пр.16- 23'!M35+'[9]Уточнение Пр.17-23  '!M35</f>
        <v>2</v>
      </c>
      <c r="N35" s="871">
        <f>'[9]Диспан.набл.взрослых Пр.16- 23'!N35+'[9]Уточнение Пр.17-23  '!N35</f>
        <v>1</v>
      </c>
      <c r="O35" s="871">
        <f>'[9]Диспан.набл.взрослых Пр.16- 23'!O35+'[9]Уточнение Пр.17-23  '!O35</f>
        <v>0</v>
      </c>
      <c r="P35" s="871">
        <f>'[9]Диспан.набл.взрослых Пр.16- 23'!P35+'[9]Уточнение Пр.17-23  '!P35</f>
        <v>5</v>
      </c>
      <c r="Q35" s="871">
        <f>'[9]Диспан.набл.взрослых Пр.16- 23'!Q35+'[9]Уточнение Пр.17-23  '!Q35</f>
        <v>22</v>
      </c>
      <c r="R35" s="871">
        <f>'[9]Диспан.набл.взрослых Пр.16- 23'!R35+'[9]Уточнение Пр.17-23  '!R35</f>
        <v>1</v>
      </c>
      <c r="S35" s="871">
        <f t="shared" si="4"/>
        <v>16049</v>
      </c>
      <c r="T35" s="870">
        <f>D35-'[9]Диспан.набл.взрослых Пр.16- 23'!D35</f>
        <v>0</v>
      </c>
    </row>
    <row r="36" spans="1:20" x14ac:dyDescent="0.25">
      <c r="A36" s="873">
        <v>23</v>
      </c>
      <c r="B36" s="877" t="s">
        <v>60</v>
      </c>
      <c r="C36" s="567" t="s">
        <v>61</v>
      </c>
      <c r="D36" s="871">
        <f t="shared" si="3"/>
        <v>2092</v>
      </c>
      <c r="E36" s="871">
        <f>'[9]Диспан.набл.взрослых Пр.16- 23'!E36+'[9]Уточнение Пр.17-23  '!E36</f>
        <v>1984</v>
      </c>
      <c r="F36" s="871">
        <f>'[9]Диспан.набл.взрослых Пр.16- 23'!F36+'[9]Уточнение Пр.17-23  '!F36</f>
        <v>0</v>
      </c>
      <c r="G36" s="871">
        <f>'[9]Диспан.набл.взрослых Пр.16- 23'!G36+'[9]Уточнение Пр.17-23  '!G36</f>
        <v>45</v>
      </c>
      <c r="H36" s="871">
        <f>'[9]Диспан.набл.взрослых Пр.16- 23'!H36+'[9]Уточнение Пр.17-23  '!H36</f>
        <v>32</v>
      </c>
      <c r="I36" s="871">
        <f>'[9]Диспан.набл.взрослых Пр.16- 23'!I36+'[9]Уточнение Пр.17-23  '!I36</f>
        <v>0</v>
      </c>
      <c r="J36" s="871">
        <f>'[9]Диспан.набл.взрослых Пр.16- 23'!J36+'[9]Уточнение Пр.17-23  '!J36</f>
        <v>1</v>
      </c>
      <c r="K36" s="871">
        <f>'[9]Диспан.набл.взрослых Пр.16- 23'!K36+'[9]Уточнение Пр.17-23  '!K36</f>
        <v>0</v>
      </c>
      <c r="L36" s="871">
        <f>'[9]Диспан.набл.взрослых Пр.16- 23'!L36+'[9]Уточнение Пр.17-23  '!L36</f>
        <v>0</v>
      </c>
      <c r="M36" s="871">
        <f>'[9]Диспан.набл.взрослых Пр.16- 23'!M36+'[9]Уточнение Пр.17-23  '!M36</f>
        <v>4</v>
      </c>
      <c r="N36" s="871">
        <f>'[9]Диспан.набл.взрослых Пр.16- 23'!N36+'[9]Уточнение Пр.17-23  '!N36</f>
        <v>13</v>
      </c>
      <c r="O36" s="871">
        <f>'[9]Диспан.набл.взрослых Пр.16- 23'!O36+'[9]Уточнение Пр.17-23  '!O36</f>
        <v>4</v>
      </c>
      <c r="P36" s="871">
        <f>'[9]Диспан.набл.взрослых Пр.16- 23'!P36+'[9]Уточнение Пр.17-23  '!P36</f>
        <v>0</v>
      </c>
      <c r="Q36" s="871">
        <f>'[9]Диспан.набл.взрослых Пр.16- 23'!Q36+'[9]Уточнение Пр.17-23  '!Q36</f>
        <v>9</v>
      </c>
      <c r="R36" s="871">
        <f>'[9]Диспан.набл.взрослых Пр.16- 23'!R36+'[9]Уточнение Пр.17-23  '!R36</f>
        <v>0</v>
      </c>
      <c r="S36" s="871">
        <f t="shared" si="4"/>
        <v>1984</v>
      </c>
      <c r="T36" s="870">
        <f>D36-'[9]Диспан.набл.взрослых Пр.16- 23'!D36</f>
        <v>0</v>
      </c>
    </row>
    <row r="37" spans="1:20" x14ac:dyDescent="0.25">
      <c r="A37" s="873">
        <v>24</v>
      </c>
      <c r="B37" s="877" t="s">
        <v>62</v>
      </c>
      <c r="C37" s="567" t="s">
        <v>63</v>
      </c>
      <c r="D37" s="871">
        <f t="shared" si="3"/>
        <v>0</v>
      </c>
      <c r="E37" s="871">
        <f>'[9]Диспан.набл.взрослых Пр.16- 23'!E37+'[9]Уточнение Пр.17-23  '!E37</f>
        <v>0</v>
      </c>
      <c r="F37" s="871">
        <f>'[9]Диспан.набл.взрослых Пр.16- 23'!F37+'[9]Уточнение Пр.17-23  '!F37</f>
        <v>0</v>
      </c>
      <c r="G37" s="871">
        <f>'[9]Диспан.набл.взрослых Пр.16- 23'!G37+'[9]Уточнение Пр.17-23  '!G37</f>
        <v>0</v>
      </c>
      <c r="H37" s="871">
        <f>'[9]Диспан.набл.взрослых Пр.16- 23'!H37+'[9]Уточнение Пр.17-23  '!H37</f>
        <v>0</v>
      </c>
      <c r="I37" s="871">
        <f>'[9]Диспан.набл.взрослых Пр.16- 23'!I37+'[9]Уточнение Пр.17-23  '!I37</f>
        <v>0</v>
      </c>
      <c r="J37" s="871">
        <f>'[9]Диспан.набл.взрослых Пр.16- 23'!J37+'[9]Уточнение Пр.17-23  '!J37</f>
        <v>0</v>
      </c>
      <c r="K37" s="871">
        <f>'[9]Диспан.набл.взрослых Пр.16- 23'!K37+'[9]Уточнение Пр.17-23  '!K37</f>
        <v>0</v>
      </c>
      <c r="L37" s="871">
        <f>'[9]Диспан.набл.взрослых Пр.16- 23'!L37+'[9]Уточнение Пр.17-23  '!L37</f>
        <v>0</v>
      </c>
      <c r="M37" s="871">
        <f>'[9]Диспан.набл.взрослых Пр.16- 23'!M37+'[9]Уточнение Пр.17-23  '!M37</f>
        <v>0</v>
      </c>
      <c r="N37" s="871">
        <f>'[9]Диспан.набл.взрослых Пр.16- 23'!N37+'[9]Уточнение Пр.17-23  '!N37</f>
        <v>0</v>
      </c>
      <c r="O37" s="871">
        <f>'[9]Диспан.набл.взрослых Пр.16- 23'!O37+'[9]Уточнение Пр.17-23  '!O37</f>
        <v>0</v>
      </c>
      <c r="P37" s="871">
        <f>'[9]Диспан.набл.взрослых Пр.16- 23'!P37+'[9]Уточнение Пр.17-23  '!P37</f>
        <v>0</v>
      </c>
      <c r="Q37" s="871">
        <f>'[9]Диспан.набл.взрослых Пр.16- 23'!Q37+'[9]Уточнение Пр.17-23  '!Q37</f>
        <v>0</v>
      </c>
      <c r="R37" s="871">
        <f>'[9]Диспан.набл.взрослых Пр.16- 23'!R37+'[9]Уточнение Пр.17-23  '!R37</f>
        <v>0</v>
      </c>
      <c r="S37" s="871">
        <f t="shared" si="4"/>
        <v>0</v>
      </c>
      <c r="T37" s="870">
        <f>D37-'[9]Диспан.набл.взрослых Пр.16- 23'!D37</f>
        <v>0</v>
      </c>
    </row>
    <row r="38" spans="1:20" ht="24" x14ac:dyDescent="0.25">
      <c r="A38" s="873">
        <v>25</v>
      </c>
      <c r="B38" s="877" t="s">
        <v>64</v>
      </c>
      <c r="C38" s="567" t="s">
        <v>65</v>
      </c>
      <c r="D38" s="871">
        <f t="shared" si="3"/>
        <v>0</v>
      </c>
      <c r="E38" s="871">
        <f>'[9]Диспан.набл.взрослых Пр.16- 23'!E38+'[9]Уточнение Пр.17-23  '!E38</f>
        <v>0</v>
      </c>
      <c r="F38" s="871">
        <f>'[9]Диспан.набл.взрослых Пр.16- 23'!F38+'[9]Уточнение Пр.17-23  '!F38</f>
        <v>0</v>
      </c>
      <c r="G38" s="871">
        <f>'[9]Диспан.набл.взрослых Пр.16- 23'!G38+'[9]Уточнение Пр.17-23  '!G38</f>
        <v>0</v>
      </c>
      <c r="H38" s="871">
        <f>'[9]Диспан.набл.взрослых Пр.16- 23'!H38+'[9]Уточнение Пр.17-23  '!H38</f>
        <v>0</v>
      </c>
      <c r="I38" s="871">
        <f>'[9]Диспан.набл.взрослых Пр.16- 23'!I38+'[9]Уточнение Пр.17-23  '!I38</f>
        <v>0</v>
      </c>
      <c r="J38" s="871">
        <f>'[9]Диспан.набл.взрослых Пр.16- 23'!J38+'[9]Уточнение Пр.17-23  '!J38</f>
        <v>0</v>
      </c>
      <c r="K38" s="871">
        <f>'[9]Диспан.набл.взрослых Пр.16- 23'!K38+'[9]Уточнение Пр.17-23  '!K38</f>
        <v>0</v>
      </c>
      <c r="L38" s="871">
        <f>'[9]Диспан.набл.взрослых Пр.16- 23'!L38+'[9]Уточнение Пр.17-23  '!L38</f>
        <v>0</v>
      </c>
      <c r="M38" s="871">
        <f>'[9]Диспан.набл.взрослых Пр.16- 23'!M38+'[9]Уточнение Пр.17-23  '!M38</f>
        <v>0</v>
      </c>
      <c r="N38" s="871">
        <f>'[9]Диспан.набл.взрослых Пр.16- 23'!N38+'[9]Уточнение Пр.17-23  '!N38</f>
        <v>0</v>
      </c>
      <c r="O38" s="871">
        <f>'[9]Диспан.набл.взрослых Пр.16- 23'!O38+'[9]Уточнение Пр.17-23  '!O38</f>
        <v>0</v>
      </c>
      <c r="P38" s="871">
        <f>'[9]Диспан.набл.взрослых Пр.16- 23'!P38+'[9]Уточнение Пр.17-23  '!P38</f>
        <v>0</v>
      </c>
      <c r="Q38" s="871">
        <f>'[9]Диспан.набл.взрослых Пр.16- 23'!Q38+'[9]Уточнение Пр.17-23  '!Q38</f>
        <v>0</v>
      </c>
      <c r="R38" s="871">
        <f>'[9]Диспан.набл.взрослых Пр.16- 23'!R38+'[9]Уточнение Пр.17-23  '!R38</f>
        <v>0</v>
      </c>
      <c r="S38" s="871">
        <f t="shared" si="4"/>
        <v>0</v>
      </c>
      <c r="T38" s="870">
        <f>D38-'[9]Диспан.набл.взрослых Пр.16- 23'!D38</f>
        <v>0</v>
      </c>
    </row>
    <row r="39" spans="1:20" ht="14.25" customHeight="1" x14ac:dyDescent="0.25">
      <c r="A39" s="873">
        <v>26</v>
      </c>
      <c r="B39" s="874" t="s">
        <v>66</v>
      </c>
      <c r="C39" s="1" t="s">
        <v>67</v>
      </c>
      <c r="D39" s="871">
        <f t="shared" si="3"/>
        <v>43837</v>
      </c>
      <c r="E39" s="871">
        <f>'[9]Диспан.набл.взрослых Пр.16- 23'!E39+'[9]Уточнение Пр.17-23  '!E39</f>
        <v>39091</v>
      </c>
      <c r="F39" s="871">
        <f>'[9]Диспан.набл.взрослых Пр.16- 23'!F39+'[9]Уточнение Пр.17-23  '!F39</f>
        <v>2465</v>
      </c>
      <c r="G39" s="871">
        <f>'[9]Диспан.набл.взрослых Пр.16- 23'!G39+'[9]Уточнение Пр.17-23  '!G39</f>
        <v>975</v>
      </c>
      <c r="H39" s="871">
        <f>'[9]Диспан.набл.взрослых Пр.16- 23'!H39+'[9]Уточнение Пр.17-23  '!H39</f>
        <v>1145</v>
      </c>
      <c r="I39" s="871">
        <f>'[9]Диспан.набл.взрослых Пр.16- 23'!I39+'[9]Уточнение Пр.17-23  '!I39</f>
        <v>0</v>
      </c>
      <c r="J39" s="871">
        <f>'[9]Диспан.набл.взрослых Пр.16- 23'!J39+'[9]Уточнение Пр.17-23  '!J39</f>
        <v>1</v>
      </c>
      <c r="K39" s="871">
        <f>'[9]Диспан.набл.взрослых Пр.16- 23'!K39+'[9]Уточнение Пр.17-23  '!K39</f>
        <v>4</v>
      </c>
      <c r="L39" s="871">
        <f>'[9]Диспан.набл.взрослых Пр.16- 23'!L39+'[9]Уточнение Пр.17-23  '!L39</f>
        <v>17</v>
      </c>
      <c r="M39" s="871">
        <f>'[9]Диспан.набл.взрослых Пр.16- 23'!M39+'[9]Уточнение Пр.17-23  '!M39</f>
        <v>4</v>
      </c>
      <c r="N39" s="871">
        <f>'[9]Диспан.набл.взрослых Пр.16- 23'!N39+'[9]Уточнение Пр.17-23  '!N39</f>
        <v>36</v>
      </c>
      <c r="O39" s="871">
        <f>'[9]Диспан.набл.взрослых Пр.16- 23'!O39+'[9]Уточнение Пр.17-23  '!O39</f>
        <v>6</v>
      </c>
      <c r="P39" s="871">
        <f>'[9]Диспан.набл.взрослых Пр.16- 23'!P39+'[9]Уточнение Пр.17-23  '!P39</f>
        <v>5</v>
      </c>
      <c r="Q39" s="871">
        <f>'[9]Диспан.набл.взрослых Пр.16- 23'!Q39+'[9]Уточнение Пр.17-23  '!Q39</f>
        <v>8</v>
      </c>
      <c r="R39" s="871">
        <f>'[9]Диспан.набл.взрослых Пр.16- 23'!R39+'[9]Уточнение Пр.17-23  '!R39</f>
        <v>80</v>
      </c>
      <c r="S39" s="871">
        <f t="shared" si="4"/>
        <v>39091</v>
      </c>
      <c r="T39" s="870">
        <f>D39-'[9]Диспан.набл.взрослых Пр.16- 23'!D39</f>
        <v>0</v>
      </c>
    </row>
    <row r="40" spans="1:20" x14ac:dyDescent="0.25">
      <c r="A40" s="873">
        <v>27</v>
      </c>
      <c r="B40" s="877" t="s">
        <v>68</v>
      </c>
      <c r="C40" s="567" t="s">
        <v>69</v>
      </c>
      <c r="D40" s="871">
        <f t="shared" si="3"/>
        <v>11602</v>
      </c>
      <c r="E40" s="871">
        <f>'[9]Диспан.набл.взрослых Пр.16- 23'!E40+'[9]Уточнение Пр.17-23  '!E40</f>
        <v>10821</v>
      </c>
      <c r="F40" s="871">
        <f>'[9]Диспан.набл.взрослых Пр.16- 23'!F40+'[9]Уточнение Пр.17-23  '!F40</f>
        <v>458</v>
      </c>
      <c r="G40" s="871">
        <f>'[9]Диспан.набл.взрослых Пр.16- 23'!G40+'[9]Уточнение Пр.17-23  '!G40</f>
        <v>0</v>
      </c>
      <c r="H40" s="871">
        <f>'[9]Диспан.набл.взрослых Пр.16- 23'!H40+'[9]Уточнение Пр.17-23  '!H40</f>
        <v>185</v>
      </c>
      <c r="I40" s="871">
        <f>'[9]Диспан.набл.взрослых Пр.16- 23'!I40+'[9]Уточнение Пр.17-23  '!I40</f>
        <v>0</v>
      </c>
      <c r="J40" s="871">
        <f>'[9]Диспан.набл.взрослых Пр.16- 23'!J40+'[9]Уточнение Пр.17-23  '!J40</f>
        <v>0</v>
      </c>
      <c r="K40" s="871">
        <f>'[9]Диспан.набл.взрослых Пр.16- 23'!K40+'[9]Уточнение Пр.17-23  '!K40</f>
        <v>13</v>
      </c>
      <c r="L40" s="871">
        <f>'[9]Диспан.набл.взрослых Пр.16- 23'!L40+'[9]Уточнение Пр.17-23  '!L40</f>
        <v>0</v>
      </c>
      <c r="M40" s="871">
        <f>'[9]Диспан.набл.взрослых Пр.16- 23'!M40+'[9]Уточнение Пр.17-23  '!M40</f>
        <v>3</v>
      </c>
      <c r="N40" s="871">
        <f>'[9]Диспан.набл.взрослых Пр.16- 23'!N40+'[9]Уточнение Пр.17-23  '!N40</f>
        <v>63</v>
      </c>
      <c r="O40" s="871">
        <f>'[9]Диспан.набл.взрослых Пр.16- 23'!O40+'[9]Уточнение Пр.17-23  '!O40</f>
        <v>0</v>
      </c>
      <c r="P40" s="871">
        <f>'[9]Диспан.набл.взрослых Пр.16- 23'!P40+'[9]Уточнение Пр.17-23  '!P40</f>
        <v>1</v>
      </c>
      <c r="Q40" s="871">
        <f>'[9]Диспан.набл.взрослых Пр.16- 23'!Q40+'[9]Уточнение Пр.17-23  '!Q40</f>
        <v>13</v>
      </c>
      <c r="R40" s="871">
        <f>'[9]Диспан.набл.взрослых Пр.16- 23'!R40+'[9]Уточнение Пр.17-23  '!R40</f>
        <v>45</v>
      </c>
      <c r="S40" s="871">
        <f t="shared" si="4"/>
        <v>10821</v>
      </c>
      <c r="T40" s="870">
        <f>D40-'[9]Диспан.набл.взрослых Пр.16- 23'!D40</f>
        <v>0</v>
      </c>
    </row>
    <row r="41" spans="1:20" x14ac:dyDescent="0.25">
      <c r="A41" s="873">
        <v>28</v>
      </c>
      <c r="B41" s="877" t="s">
        <v>70</v>
      </c>
      <c r="C41" s="567" t="s">
        <v>71</v>
      </c>
      <c r="D41" s="871">
        <f t="shared" si="3"/>
        <v>0</v>
      </c>
      <c r="E41" s="871">
        <f>'[9]Диспан.набл.взрослых Пр.16- 23'!E41+'[9]Уточнение Пр.17-23  '!E41</f>
        <v>0</v>
      </c>
      <c r="F41" s="871">
        <f>'[9]Диспан.набл.взрослых Пр.16- 23'!F41+'[9]Уточнение Пр.17-23  '!F41</f>
        <v>0</v>
      </c>
      <c r="G41" s="871">
        <f>'[9]Диспан.набл.взрослых Пр.16- 23'!G41+'[9]Уточнение Пр.17-23  '!G41</f>
        <v>0</v>
      </c>
      <c r="H41" s="871">
        <f>'[9]Диспан.набл.взрослых Пр.16- 23'!H41+'[9]Уточнение Пр.17-23  '!H41</f>
        <v>0</v>
      </c>
      <c r="I41" s="871">
        <f>'[9]Диспан.набл.взрослых Пр.16- 23'!I41+'[9]Уточнение Пр.17-23  '!I41</f>
        <v>0</v>
      </c>
      <c r="J41" s="871">
        <f>'[9]Диспан.набл.взрослых Пр.16- 23'!J41+'[9]Уточнение Пр.17-23  '!J41</f>
        <v>0</v>
      </c>
      <c r="K41" s="871">
        <f>'[9]Диспан.набл.взрослых Пр.16- 23'!K41+'[9]Уточнение Пр.17-23  '!K41</f>
        <v>0</v>
      </c>
      <c r="L41" s="871">
        <f>'[9]Диспан.набл.взрослых Пр.16- 23'!L41+'[9]Уточнение Пр.17-23  '!L41</f>
        <v>0</v>
      </c>
      <c r="M41" s="871">
        <f>'[9]Диспан.набл.взрослых Пр.16- 23'!M41+'[9]Уточнение Пр.17-23  '!M41</f>
        <v>0</v>
      </c>
      <c r="N41" s="871">
        <f>'[9]Диспан.набл.взрослых Пр.16- 23'!N41+'[9]Уточнение Пр.17-23  '!N41</f>
        <v>0</v>
      </c>
      <c r="O41" s="871">
        <f>'[9]Диспан.набл.взрослых Пр.16- 23'!O41+'[9]Уточнение Пр.17-23  '!O41</f>
        <v>0</v>
      </c>
      <c r="P41" s="871">
        <f>'[9]Диспан.набл.взрослых Пр.16- 23'!P41+'[9]Уточнение Пр.17-23  '!P41</f>
        <v>0</v>
      </c>
      <c r="Q41" s="871">
        <f>'[9]Диспан.набл.взрослых Пр.16- 23'!Q41+'[9]Уточнение Пр.17-23  '!Q41</f>
        <v>0</v>
      </c>
      <c r="R41" s="871">
        <f>'[9]Диспан.набл.взрослых Пр.16- 23'!R41+'[9]Уточнение Пр.17-23  '!R41</f>
        <v>0</v>
      </c>
      <c r="S41" s="871">
        <f t="shared" si="4"/>
        <v>0</v>
      </c>
      <c r="T41" s="870">
        <f>D41-'[9]Диспан.набл.взрослых Пр.16- 23'!D41</f>
        <v>0</v>
      </c>
    </row>
    <row r="42" spans="1:20" x14ac:dyDescent="0.25">
      <c r="A42" s="873">
        <v>29</v>
      </c>
      <c r="B42" s="876" t="s">
        <v>72</v>
      </c>
      <c r="C42" s="1" t="s">
        <v>73</v>
      </c>
      <c r="D42" s="871">
        <f t="shared" si="3"/>
        <v>0</v>
      </c>
      <c r="E42" s="871">
        <f>'[9]Диспан.набл.взрослых Пр.16- 23'!E42+'[9]Уточнение Пр.17-23  '!E42</f>
        <v>0</v>
      </c>
      <c r="F42" s="871">
        <f>'[9]Диспан.набл.взрослых Пр.16- 23'!F42+'[9]Уточнение Пр.17-23  '!F42</f>
        <v>0</v>
      </c>
      <c r="G42" s="871">
        <f>'[9]Диспан.набл.взрослых Пр.16- 23'!G42+'[9]Уточнение Пр.17-23  '!G42</f>
        <v>0</v>
      </c>
      <c r="H42" s="871">
        <f>'[9]Диспан.набл.взрослых Пр.16- 23'!H42+'[9]Уточнение Пр.17-23  '!H42</f>
        <v>0</v>
      </c>
      <c r="I42" s="871">
        <f>'[9]Диспан.набл.взрослых Пр.16- 23'!I42+'[9]Уточнение Пр.17-23  '!I42</f>
        <v>0</v>
      </c>
      <c r="J42" s="871">
        <f>'[9]Диспан.набл.взрослых Пр.16- 23'!J42+'[9]Уточнение Пр.17-23  '!J42</f>
        <v>0</v>
      </c>
      <c r="K42" s="871">
        <f>'[9]Диспан.набл.взрослых Пр.16- 23'!K42+'[9]Уточнение Пр.17-23  '!K42</f>
        <v>0</v>
      </c>
      <c r="L42" s="871">
        <f>'[9]Диспан.набл.взрослых Пр.16- 23'!L42+'[9]Уточнение Пр.17-23  '!L42</f>
        <v>0</v>
      </c>
      <c r="M42" s="871">
        <f>'[9]Диспан.набл.взрослых Пр.16- 23'!M42+'[9]Уточнение Пр.17-23  '!M42</f>
        <v>0</v>
      </c>
      <c r="N42" s="871">
        <f>'[9]Диспан.набл.взрослых Пр.16- 23'!N42+'[9]Уточнение Пр.17-23  '!N42</f>
        <v>0</v>
      </c>
      <c r="O42" s="871">
        <f>'[9]Диспан.набл.взрослых Пр.16- 23'!O42+'[9]Уточнение Пр.17-23  '!O42</f>
        <v>0</v>
      </c>
      <c r="P42" s="871">
        <f>'[9]Диспан.набл.взрослых Пр.16- 23'!P42+'[9]Уточнение Пр.17-23  '!P42</f>
        <v>0</v>
      </c>
      <c r="Q42" s="871">
        <f>'[9]Диспан.набл.взрослых Пр.16- 23'!Q42+'[9]Уточнение Пр.17-23  '!Q42</f>
        <v>0</v>
      </c>
      <c r="R42" s="871">
        <f>'[9]Диспан.набл.взрослых Пр.16- 23'!R42+'[9]Уточнение Пр.17-23  '!R42</f>
        <v>0</v>
      </c>
      <c r="S42" s="871">
        <f t="shared" si="4"/>
        <v>0</v>
      </c>
      <c r="T42" s="870">
        <f>D42-'[9]Диспан.набл.взрослых Пр.16- 23'!D42</f>
        <v>0</v>
      </c>
    </row>
    <row r="43" spans="1:20" ht="24" x14ac:dyDescent="0.25">
      <c r="A43" s="873">
        <v>30</v>
      </c>
      <c r="B43" s="874" t="s">
        <v>74</v>
      </c>
      <c r="C43" s="875" t="s">
        <v>377</v>
      </c>
      <c r="D43" s="871">
        <f t="shared" si="3"/>
        <v>0</v>
      </c>
      <c r="E43" s="871">
        <f>'[9]Диспан.набл.взрослых Пр.16- 23'!E43+'[9]Уточнение Пр.17-23  '!E43</f>
        <v>0</v>
      </c>
      <c r="F43" s="871">
        <f>'[9]Диспан.набл.взрослых Пр.16- 23'!F43+'[9]Уточнение Пр.17-23  '!F43</f>
        <v>0</v>
      </c>
      <c r="G43" s="871">
        <f>'[9]Диспан.набл.взрослых Пр.16- 23'!G43+'[9]Уточнение Пр.17-23  '!G43</f>
        <v>0</v>
      </c>
      <c r="H43" s="871">
        <f>'[9]Диспан.набл.взрослых Пр.16- 23'!H43+'[9]Уточнение Пр.17-23  '!H43</f>
        <v>0</v>
      </c>
      <c r="I43" s="871">
        <f>'[9]Диспан.набл.взрослых Пр.16- 23'!I43+'[9]Уточнение Пр.17-23  '!I43</f>
        <v>0</v>
      </c>
      <c r="J43" s="871">
        <f>'[9]Диспан.набл.взрослых Пр.16- 23'!J43+'[9]Уточнение Пр.17-23  '!J43</f>
        <v>0</v>
      </c>
      <c r="K43" s="871">
        <f>'[9]Диспан.набл.взрослых Пр.16- 23'!K43+'[9]Уточнение Пр.17-23  '!K43</f>
        <v>0</v>
      </c>
      <c r="L43" s="871">
        <f>'[9]Диспан.набл.взрослых Пр.16- 23'!L43+'[9]Уточнение Пр.17-23  '!L43</f>
        <v>0</v>
      </c>
      <c r="M43" s="871">
        <f>'[9]Диспан.набл.взрослых Пр.16- 23'!M43+'[9]Уточнение Пр.17-23  '!M43</f>
        <v>0</v>
      </c>
      <c r="N43" s="871">
        <f>'[9]Диспан.набл.взрослых Пр.16- 23'!N43+'[9]Уточнение Пр.17-23  '!N43</f>
        <v>0</v>
      </c>
      <c r="O43" s="871">
        <f>'[9]Диспан.набл.взрослых Пр.16- 23'!O43+'[9]Уточнение Пр.17-23  '!O43</f>
        <v>0</v>
      </c>
      <c r="P43" s="871">
        <f>'[9]Диспан.набл.взрослых Пр.16- 23'!P43+'[9]Уточнение Пр.17-23  '!P43</f>
        <v>0</v>
      </c>
      <c r="Q43" s="871">
        <f>'[9]Диспан.набл.взрослых Пр.16- 23'!Q43+'[9]Уточнение Пр.17-23  '!Q43</f>
        <v>0</v>
      </c>
      <c r="R43" s="871">
        <f>'[9]Диспан.набл.взрослых Пр.16- 23'!R43+'[9]Уточнение Пр.17-23  '!R43</f>
        <v>0</v>
      </c>
      <c r="S43" s="871">
        <f t="shared" si="4"/>
        <v>0</v>
      </c>
      <c r="T43" s="870">
        <f>D43-'[9]Диспан.набл.взрослых Пр.16- 23'!D43</f>
        <v>0</v>
      </c>
    </row>
    <row r="44" spans="1:20" x14ac:dyDescent="0.25">
      <c r="A44" s="873">
        <v>31</v>
      </c>
      <c r="B44" s="877" t="s">
        <v>75</v>
      </c>
      <c r="C44" s="567" t="s">
        <v>76</v>
      </c>
      <c r="D44" s="871">
        <f t="shared" si="3"/>
        <v>156</v>
      </c>
      <c r="E44" s="871">
        <f>'[9]Диспан.набл.взрослых Пр.16- 23'!E44+'[9]Уточнение Пр.17-23  '!E44</f>
        <v>2</v>
      </c>
      <c r="F44" s="871">
        <f>'[9]Диспан.набл.взрослых Пр.16- 23'!F44+'[9]Уточнение Пр.17-23  '!F44</f>
        <v>85</v>
      </c>
      <c r="G44" s="871">
        <f>'[9]Диспан.набл.взрослых Пр.16- 23'!G44+'[9]Уточнение Пр.17-23  '!G44</f>
        <v>3</v>
      </c>
      <c r="H44" s="871">
        <f>'[9]Диспан.набл.взрослых Пр.16- 23'!H44+'[9]Уточнение Пр.17-23  '!H44</f>
        <v>11</v>
      </c>
      <c r="I44" s="871">
        <f>'[9]Диспан.набл.взрослых Пр.16- 23'!I44+'[9]Уточнение Пр.17-23  '!I44</f>
        <v>0</v>
      </c>
      <c r="J44" s="871">
        <f>'[9]Диспан.набл.взрослых Пр.16- 23'!J44+'[9]Уточнение Пр.17-23  '!J44</f>
        <v>0</v>
      </c>
      <c r="K44" s="871">
        <f>'[9]Диспан.набл.взрослых Пр.16- 23'!K44+'[9]Уточнение Пр.17-23  '!K44</f>
        <v>0</v>
      </c>
      <c r="L44" s="871">
        <f>'[9]Диспан.набл.взрослых Пр.16- 23'!L44+'[9]Уточнение Пр.17-23  '!L44</f>
        <v>0</v>
      </c>
      <c r="M44" s="871">
        <f>'[9]Диспан.набл.взрослых Пр.16- 23'!M44+'[9]Уточнение Пр.17-23  '!M44</f>
        <v>1</v>
      </c>
      <c r="N44" s="871">
        <f>'[9]Диспан.набл.взрослых Пр.16- 23'!N44+'[9]Уточнение Пр.17-23  '!N44</f>
        <v>4</v>
      </c>
      <c r="O44" s="871">
        <f>'[9]Диспан.набл.взрослых Пр.16- 23'!O44+'[9]Уточнение Пр.17-23  '!O44</f>
        <v>0</v>
      </c>
      <c r="P44" s="871">
        <f>'[9]Диспан.набл.взрослых Пр.16- 23'!P44+'[9]Уточнение Пр.17-23  '!P44</f>
        <v>0</v>
      </c>
      <c r="Q44" s="871">
        <f>'[9]Диспан.набл.взрослых Пр.16- 23'!Q44+'[9]Уточнение Пр.17-23  '!Q44</f>
        <v>50</v>
      </c>
      <c r="R44" s="871">
        <f>'[9]Диспан.набл.взрослых Пр.16- 23'!R44+'[9]Уточнение Пр.17-23  '!R44</f>
        <v>0</v>
      </c>
      <c r="S44" s="871">
        <f t="shared" si="4"/>
        <v>2</v>
      </c>
      <c r="T44" s="870">
        <f>D44-'[9]Диспан.набл.взрослых Пр.16- 23'!D44</f>
        <v>0</v>
      </c>
    </row>
    <row r="45" spans="1:20" x14ac:dyDescent="0.25">
      <c r="A45" s="873">
        <v>32</v>
      </c>
      <c r="B45" s="876" t="s">
        <v>77</v>
      </c>
      <c r="C45" s="875" t="s">
        <v>78</v>
      </c>
      <c r="D45" s="871">
        <f t="shared" si="3"/>
        <v>18204</v>
      </c>
      <c r="E45" s="871">
        <f>'[9]Диспан.набл.взрослых Пр.16- 23'!E45+'[9]Уточнение Пр.17-23  '!E45</f>
        <v>16961</v>
      </c>
      <c r="F45" s="871">
        <f>'[9]Диспан.набл.взрослых Пр.16- 23'!F45+'[9]Уточнение Пр.17-23  '!F45</f>
        <v>556</v>
      </c>
      <c r="G45" s="871">
        <f>'[9]Диспан.набл.взрослых Пр.16- 23'!G45+'[9]Уточнение Пр.17-23  '!G45</f>
        <v>418</v>
      </c>
      <c r="H45" s="871">
        <f>'[9]Диспан.набл.взрослых Пр.16- 23'!H45+'[9]Уточнение Пр.17-23  '!H45</f>
        <v>254</v>
      </c>
      <c r="I45" s="871">
        <f>'[9]Диспан.набл.взрослых Пр.16- 23'!I45+'[9]Уточнение Пр.17-23  '!I45</f>
        <v>0</v>
      </c>
      <c r="J45" s="871">
        <f>'[9]Диспан.набл.взрослых Пр.16- 23'!J45+'[9]Уточнение Пр.17-23  '!J45</f>
        <v>0</v>
      </c>
      <c r="K45" s="871">
        <f>'[9]Диспан.набл.взрослых Пр.16- 23'!K45+'[9]Уточнение Пр.17-23  '!K45</f>
        <v>0</v>
      </c>
      <c r="L45" s="871">
        <f>'[9]Диспан.набл.взрослых Пр.16- 23'!L45+'[9]Уточнение Пр.17-23  '!L45</f>
        <v>0</v>
      </c>
      <c r="M45" s="871">
        <f>'[9]Диспан.набл.взрослых Пр.16- 23'!M45+'[9]Уточнение Пр.17-23  '!M45</f>
        <v>0</v>
      </c>
      <c r="N45" s="871">
        <f>'[9]Диспан.набл.взрослых Пр.16- 23'!N45+'[9]Уточнение Пр.17-23  '!N45</f>
        <v>4</v>
      </c>
      <c r="O45" s="871">
        <f>'[9]Диспан.набл.взрослых Пр.16- 23'!O45+'[9]Уточнение Пр.17-23  '!O45</f>
        <v>6</v>
      </c>
      <c r="P45" s="871">
        <f>'[9]Диспан.набл.взрослых Пр.16- 23'!P45+'[9]Уточнение Пр.17-23  '!P45</f>
        <v>2</v>
      </c>
      <c r="Q45" s="871">
        <f>'[9]Диспан.набл.взрослых Пр.16- 23'!Q45+'[9]Уточнение Пр.17-23  '!Q45</f>
        <v>3</v>
      </c>
      <c r="R45" s="871">
        <f>'[9]Диспан.набл.взрослых Пр.16- 23'!R45+'[9]Уточнение Пр.17-23  '!R45</f>
        <v>0</v>
      </c>
      <c r="S45" s="871">
        <f t="shared" si="4"/>
        <v>16961</v>
      </c>
      <c r="T45" s="870">
        <f>D45-'[9]Диспан.набл.взрослых Пр.16- 23'!D45</f>
        <v>0</v>
      </c>
    </row>
    <row r="46" spans="1:20" x14ac:dyDescent="0.25">
      <c r="A46" s="873">
        <v>33</v>
      </c>
      <c r="B46" s="878" t="s">
        <v>79</v>
      </c>
      <c r="C46" s="1" t="s">
        <v>80</v>
      </c>
      <c r="D46" s="871">
        <f t="shared" si="3"/>
        <v>26101</v>
      </c>
      <c r="E46" s="871">
        <f>'[9]Диспан.набл.взрослых Пр.16- 23'!E46+'[9]Уточнение Пр.17-23  '!E46</f>
        <v>24034</v>
      </c>
      <c r="F46" s="871">
        <f>'[9]Диспан.набл.взрослых Пр.16- 23'!F46+'[9]Уточнение Пр.17-23  '!F46</f>
        <v>920</v>
      </c>
      <c r="G46" s="871">
        <f>'[9]Диспан.набл.взрослых Пр.16- 23'!G46+'[9]Уточнение Пр.17-23  '!G46</f>
        <v>625</v>
      </c>
      <c r="H46" s="871">
        <f>'[9]Диспан.набл.взрослых Пр.16- 23'!H46+'[9]Уточнение Пр.17-23  '!H46</f>
        <v>41</v>
      </c>
      <c r="I46" s="871">
        <f>'[9]Диспан.набл.взрослых Пр.16- 23'!I46+'[9]Уточнение Пр.17-23  '!I46</f>
        <v>1</v>
      </c>
      <c r="J46" s="871">
        <f>'[9]Диспан.набл.взрослых Пр.16- 23'!J46+'[9]Уточнение Пр.17-23  '!J46</f>
        <v>0</v>
      </c>
      <c r="K46" s="871">
        <f>'[9]Диспан.набл.взрослых Пр.16- 23'!K46+'[9]Уточнение Пр.17-23  '!K46</f>
        <v>1</v>
      </c>
      <c r="L46" s="871">
        <f>'[9]Диспан.набл.взрослых Пр.16- 23'!L46+'[9]Уточнение Пр.17-23  '!L46</f>
        <v>5</v>
      </c>
      <c r="M46" s="871">
        <f>'[9]Диспан.набл.взрослых Пр.16- 23'!M46+'[9]Уточнение Пр.17-23  '!M46</f>
        <v>0</v>
      </c>
      <c r="N46" s="871">
        <f>'[9]Диспан.набл.взрослых Пр.16- 23'!N46+'[9]Уточнение Пр.17-23  '!N46</f>
        <v>30</v>
      </c>
      <c r="O46" s="871">
        <f>'[9]Диспан.набл.взрослых Пр.16- 23'!O46+'[9]Уточнение Пр.17-23  '!O46</f>
        <v>0</v>
      </c>
      <c r="P46" s="871">
        <f>'[9]Диспан.набл.взрослых Пр.16- 23'!P46+'[9]Уточнение Пр.17-23  '!P46</f>
        <v>0</v>
      </c>
      <c r="Q46" s="871">
        <f>'[9]Диспан.набл.взрослых Пр.16- 23'!Q46+'[9]Уточнение Пр.17-23  '!Q46</f>
        <v>426</v>
      </c>
      <c r="R46" s="871">
        <f>'[9]Диспан.набл.взрослых Пр.16- 23'!R46+'[9]Уточнение Пр.17-23  '!R46</f>
        <v>18</v>
      </c>
      <c r="S46" s="871">
        <f t="shared" si="4"/>
        <v>24034</v>
      </c>
      <c r="T46" s="870">
        <f>D46-'[9]Диспан.набл.взрослых Пр.16- 23'!D46</f>
        <v>0</v>
      </c>
    </row>
    <row r="47" spans="1:20" x14ac:dyDescent="0.25">
      <c r="A47" s="873">
        <v>34</v>
      </c>
      <c r="B47" s="876" t="s">
        <v>81</v>
      </c>
      <c r="C47" s="875" t="s">
        <v>82</v>
      </c>
      <c r="D47" s="871">
        <f t="shared" si="3"/>
        <v>4276</v>
      </c>
      <c r="E47" s="871">
        <f>'[9]Диспан.набл.взрослых Пр.16- 23'!E47+'[9]Уточнение Пр.17-23  '!E47</f>
        <v>3024</v>
      </c>
      <c r="F47" s="871">
        <f>'[9]Диспан.набл.взрослых Пр.16- 23'!F47+'[9]Уточнение Пр.17-23  '!F47</f>
        <v>1186</v>
      </c>
      <c r="G47" s="871">
        <f>'[9]Диспан.набл.взрослых Пр.16- 23'!G47+'[9]Уточнение Пр.17-23  '!G47</f>
        <v>8</v>
      </c>
      <c r="H47" s="871">
        <f>'[9]Диспан.набл.взрослых Пр.16- 23'!H47+'[9]Уточнение Пр.17-23  '!H47</f>
        <v>37</v>
      </c>
      <c r="I47" s="871">
        <f>'[9]Диспан.набл.взрослых Пр.16- 23'!I47+'[9]Уточнение Пр.17-23  '!I47</f>
        <v>0</v>
      </c>
      <c r="J47" s="871">
        <f>'[9]Диспан.набл.взрослых Пр.16- 23'!J47+'[9]Уточнение Пр.17-23  '!J47</f>
        <v>0</v>
      </c>
      <c r="K47" s="871">
        <f>'[9]Диспан.набл.взрослых Пр.16- 23'!K47+'[9]Уточнение Пр.17-23  '!K47</f>
        <v>0</v>
      </c>
      <c r="L47" s="871">
        <f>'[9]Диспан.набл.взрослых Пр.16- 23'!L47+'[9]Уточнение Пр.17-23  '!L47</f>
        <v>0</v>
      </c>
      <c r="M47" s="871">
        <f>'[9]Диспан.набл.взрослых Пр.16- 23'!M47+'[9]Уточнение Пр.17-23  '!M47</f>
        <v>0</v>
      </c>
      <c r="N47" s="871">
        <f>'[9]Диспан.набл.взрослых Пр.16- 23'!N47+'[9]Уточнение Пр.17-23  '!N47</f>
        <v>0</v>
      </c>
      <c r="O47" s="871">
        <f>'[9]Диспан.набл.взрослых Пр.16- 23'!O47+'[9]Уточнение Пр.17-23  '!O47</f>
        <v>0</v>
      </c>
      <c r="P47" s="871">
        <f>'[9]Диспан.набл.взрослых Пр.16- 23'!P47+'[9]Уточнение Пр.17-23  '!P47</f>
        <v>0</v>
      </c>
      <c r="Q47" s="871">
        <f>'[9]Диспан.набл.взрослых Пр.16- 23'!Q47+'[9]Уточнение Пр.17-23  '!Q47</f>
        <v>21</v>
      </c>
      <c r="R47" s="871">
        <f>'[9]Диспан.набл.взрослых Пр.16- 23'!R47+'[9]Уточнение Пр.17-23  '!R47</f>
        <v>0</v>
      </c>
      <c r="S47" s="871">
        <f t="shared" si="4"/>
        <v>3024</v>
      </c>
      <c r="T47" s="870">
        <f>D47-'[9]Диспан.набл.взрослых Пр.16- 23'!D47</f>
        <v>0</v>
      </c>
    </row>
    <row r="48" spans="1:20" x14ac:dyDescent="0.25">
      <c r="A48" s="873">
        <v>35</v>
      </c>
      <c r="B48" s="877" t="s">
        <v>83</v>
      </c>
      <c r="C48" s="567" t="s">
        <v>84</v>
      </c>
      <c r="D48" s="871">
        <f t="shared" si="3"/>
        <v>16198</v>
      </c>
      <c r="E48" s="871">
        <f>'[9]Диспан.набл.взрослых Пр.16- 23'!E48+'[9]Уточнение Пр.17-23  '!E48</f>
        <v>15130</v>
      </c>
      <c r="F48" s="871">
        <f>'[9]Диспан.набл.взрослых Пр.16- 23'!F48+'[9]Уточнение Пр.17-23  '!F48</f>
        <v>253</v>
      </c>
      <c r="G48" s="871">
        <f>'[9]Диспан.набл.взрослых Пр.16- 23'!G48+'[9]Уточнение Пр.17-23  '!G48</f>
        <v>443</v>
      </c>
      <c r="H48" s="871">
        <f>'[9]Диспан.набл.взрослых Пр.16- 23'!H48+'[9]Уточнение Пр.17-23  '!H48</f>
        <v>51</v>
      </c>
      <c r="I48" s="871">
        <f>'[9]Диспан.набл.взрослых Пр.16- 23'!I48+'[9]Уточнение Пр.17-23  '!I48</f>
        <v>0</v>
      </c>
      <c r="J48" s="871">
        <f>'[9]Диспан.набл.взрослых Пр.16- 23'!J48+'[9]Уточнение Пр.17-23  '!J48</f>
        <v>1</v>
      </c>
      <c r="K48" s="871">
        <f>'[9]Диспан.набл.взрослых Пр.16- 23'!K48+'[9]Уточнение Пр.17-23  '!K48</f>
        <v>20</v>
      </c>
      <c r="L48" s="871">
        <f>'[9]Диспан.набл.взрослых Пр.16- 23'!L48+'[9]Уточнение Пр.17-23  '!L48</f>
        <v>8</v>
      </c>
      <c r="M48" s="871">
        <f>'[9]Диспан.набл.взрослых Пр.16- 23'!M48+'[9]Уточнение Пр.17-23  '!M48</f>
        <v>1</v>
      </c>
      <c r="N48" s="871">
        <f>'[9]Диспан.набл.взрослых Пр.16- 23'!N48+'[9]Уточнение Пр.17-23  '!N48</f>
        <v>13</v>
      </c>
      <c r="O48" s="871">
        <f>'[9]Диспан.набл.взрослых Пр.16- 23'!O48+'[9]Уточнение Пр.17-23  '!O48</f>
        <v>3</v>
      </c>
      <c r="P48" s="871">
        <f>'[9]Диспан.набл.взрослых Пр.16- 23'!P48+'[9]Уточнение Пр.17-23  '!P48</f>
        <v>0</v>
      </c>
      <c r="Q48" s="871">
        <f>'[9]Диспан.набл.взрослых Пр.16- 23'!Q48+'[9]Уточнение Пр.17-23  '!Q48</f>
        <v>217</v>
      </c>
      <c r="R48" s="871">
        <f>'[9]Диспан.набл.взрослых Пр.16- 23'!R48+'[9]Уточнение Пр.17-23  '!R48</f>
        <v>58</v>
      </c>
      <c r="S48" s="871">
        <f t="shared" si="4"/>
        <v>15130</v>
      </c>
      <c r="T48" s="870">
        <f>D48-'[9]Диспан.набл.взрослых Пр.16- 23'!D48</f>
        <v>0</v>
      </c>
    </row>
    <row r="49" spans="1:20" x14ac:dyDescent="0.25">
      <c r="A49" s="873">
        <v>36</v>
      </c>
      <c r="B49" s="876" t="s">
        <v>85</v>
      </c>
      <c r="C49" s="875" t="s">
        <v>86</v>
      </c>
      <c r="D49" s="871">
        <f t="shared" si="3"/>
        <v>6751</v>
      </c>
      <c r="E49" s="871">
        <f>'[9]Диспан.набл.взрослых Пр.16- 23'!E49+'[9]Уточнение Пр.17-23  '!E49</f>
        <v>6259</v>
      </c>
      <c r="F49" s="871">
        <f>'[9]Диспан.набл.взрослых Пр.16- 23'!F49+'[9]Уточнение Пр.17-23  '!F49</f>
        <v>242</v>
      </c>
      <c r="G49" s="871">
        <f>'[9]Диспан.набл.взрослых Пр.16- 23'!G49+'[9]Уточнение Пр.17-23  '!G49</f>
        <v>130</v>
      </c>
      <c r="H49" s="871">
        <f>'[9]Диспан.набл.взрослых Пр.16- 23'!H49+'[9]Уточнение Пр.17-23  '!H49</f>
        <v>78</v>
      </c>
      <c r="I49" s="871">
        <f>'[9]Диспан.набл.взрослых Пр.16- 23'!I49+'[9]Уточнение Пр.17-23  '!I49</f>
        <v>0</v>
      </c>
      <c r="J49" s="871">
        <f>'[9]Диспан.набл.взрослых Пр.16- 23'!J49+'[9]Уточнение Пр.17-23  '!J49</f>
        <v>0</v>
      </c>
      <c r="K49" s="871">
        <f>'[9]Диспан.набл.взрослых Пр.16- 23'!K49+'[9]Уточнение Пр.17-23  '!K49</f>
        <v>3</v>
      </c>
      <c r="L49" s="871">
        <f>'[9]Диспан.набл.взрослых Пр.16- 23'!L49+'[9]Уточнение Пр.17-23  '!L49</f>
        <v>2</v>
      </c>
      <c r="M49" s="871">
        <f>'[9]Диспан.набл.взрослых Пр.16- 23'!M49+'[9]Уточнение Пр.17-23  '!M49</f>
        <v>2</v>
      </c>
      <c r="N49" s="871">
        <f>'[9]Диспан.набл.взрослых Пр.16- 23'!N49+'[9]Уточнение Пр.17-23  '!N49</f>
        <v>27</v>
      </c>
      <c r="O49" s="871">
        <f>'[9]Диспан.набл.взрослых Пр.16- 23'!O49+'[9]Уточнение Пр.17-23  '!O49</f>
        <v>1</v>
      </c>
      <c r="P49" s="871">
        <f>'[9]Диспан.набл.взрослых Пр.16- 23'!P49+'[9]Уточнение Пр.17-23  '!P49</f>
        <v>0</v>
      </c>
      <c r="Q49" s="871">
        <f>'[9]Диспан.набл.взрослых Пр.16- 23'!Q49+'[9]Уточнение Пр.17-23  '!Q49</f>
        <v>7</v>
      </c>
      <c r="R49" s="871">
        <f>'[9]Диспан.набл.взрослых Пр.16- 23'!R49+'[9]Уточнение Пр.17-23  '!R49</f>
        <v>0</v>
      </c>
      <c r="S49" s="871">
        <f t="shared" si="4"/>
        <v>6259</v>
      </c>
      <c r="T49" s="870">
        <f>D49-'[9]Диспан.набл.взрослых Пр.16- 23'!D49</f>
        <v>0</v>
      </c>
    </row>
    <row r="50" spans="1:20" x14ac:dyDescent="0.25">
      <c r="A50" s="873">
        <v>37</v>
      </c>
      <c r="B50" s="874" t="s">
        <v>87</v>
      </c>
      <c r="C50" s="875" t="s">
        <v>88</v>
      </c>
      <c r="D50" s="871">
        <f t="shared" si="3"/>
        <v>30682</v>
      </c>
      <c r="E50" s="871">
        <f>'[9]Диспан.набл.взрослых Пр.16- 23'!E50+'[9]Уточнение Пр.17-23  '!E50</f>
        <v>26192</v>
      </c>
      <c r="F50" s="871">
        <f>'[9]Диспан.набл.взрослых Пр.16- 23'!F50+'[9]Уточнение Пр.17-23  '!F50</f>
        <v>3487</v>
      </c>
      <c r="G50" s="871">
        <f>'[9]Диспан.набл.взрослых Пр.16- 23'!G50+'[9]Уточнение Пр.17-23  '!G50</f>
        <v>594</v>
      </c>
      <c r="H50" s="871">
        <f>'[9]Диспан.набл.взрослых Пр.16- 23'!H50+'[9]Уточнение Пр.17-23  '!H50</f>
        <v>336</v>
      </c>
      <c r="I50" s="871">
        <f>'[9]Диспан.набл.взрослых Пр.16- 23'!I50+'[9]Уточнение Пр.17-23  '!I50</f>
        <v>0</v>
      </c>
      <c r="J50" s="871">
        <f>'[9]Диспан.набл.взрослых Пр.16- 23'!J50+'[9]Уточнение Пр.17-23  '!J50</f>
        <v>2</v>
      </c>
      <c r="K50" s="871">
        <f>'[9]Диспан.набл.взрослых Пр.16- 23'!K50+'[9]Уточнение Пр.17-23  '!K50</f>
        <v>21</v>
      </c>
      <c r="L50" s="871">
        <f>'[9]Диспан.набл.взрослых Пр.16- 23'!L50+'[9]Уточнение Пр.17-23  '!L50</f>
        <v>5</v>
      </c>
      <c r="M50" s="871">
        <f>'[9]Диспан.набл.взрослых Пр.16- 23'!M50+'[9]Уточнение Пр.17-23  '!M50</f>
        <v>2</v>
      </c>
      <c r="N50" s="871">
        <f>'[9]Диспан.набл.взрослых Пр.16- 23'!N50+'[9]Уточнение Пр.17-23  '!N50</f>
        <v>2</v>
      </c>
      <c r="O50" s="871">
        <f>'[9]Диспан.набл.взрослых Пр.16- 23'!O50+'[9]Уточнение Пр.17-23  '!O50</f>
        <v>2</v>
      </c>
      <c r="P50" s="871">
        <f>'[9]Диспан.набл.взрослых Пр.16- 23'!P50+'[9]Уточнение Пр.17-23  '!P50</f>
        <v>0</v>
      </c>
      <c r="Q50" s="871">
        <f>'[9]Диспан.набл.взрослых Пр.16- 23'!Q50+'[9]Уточнение Пр.17-23  '!Q50</f>
        <v>31</v>
      </c>
      <c r="R50" s="871">
        <f>'[9]Диспан.набл.взрослых Пр.16- 23'!R50+'[9]Уточнение Пр.17-23  '!R50</f>
        <v>8</v>
      </c>
      <c r="S50" s="871">
        <f t="shared" si="4"/>
        <v>26192</v>
      </c>
      <c r="T50" s="870">
        <f>D50-'[9]Диспан.набл.взрослых Пр.16- 23'!D50</f>
        <v>0</v>
      </c>
    </row>
    <row r="51" spans="1:20" x14ac:dyDescent="0.25">
      <c r="A51" s="873">
        <v>38</v>
      </c>
      <c r="B51" s="879" t="s">
        <v>89</v>
      </c>
      <c r="C51" s="880" t="s">
        <v>90</v>
      </c>
      <c r="D51" s="871">
        <f t="shared" si="3"/>
        <v>6892</v>
      </c>
      <c r="E51" s="871">
        <f>'[9]Диспан.набл.взрослых Пр.16- 23'!E51+'[9]Уточнение Пр.17-23  '!E51</f>
        <v>6400</v>
      </c>
      <c r="F51" s="871">
        <f>'[9]Диспан.набл.взрослых Пр.16- 23'!F51+'[9]Уточнение Пр.17-23  '!F51</f>
        <v>433</v>
      </c>
      <c r="G51" s="871">
        <f>'[9]Диспан.набл.взрослых Пр.16- 23'!G51+'[9]Уточнение Пр.17-23  '!G51</f>
        <v>0</v>
      </c>
      <c r="H51" s="871">
        <f>'[9]Диспан.набл.взрослых Пр.16- 23'!H51+'[9]Уточнение Пр.17-23  '!H51</f>
        <v>39</v>
      </c>
      <c r="I51" s="871">
        <f>'[9]Диспан.набл.взрослых Пр.16- 23'!I51+'[9]Уточнение Пр.17-23  '!I51</f>
        <v>0</v>
      </c>
      <c r="J51" s="871">
        <f>'[9]Диспан.набл.взрослых Пр.16- 23'!J51+'[9]Уточнение Пр.17-23  '!J51</f>
        <v>0</v>
      </c>
      <c r="K51" s="871">
        <f>'[9]Диспан.набл.взрослых Пр.16- 23'!K51+'[9]Уточнение Пр.17-23  '!K51</f>
        <v>13</v>
      </c>
      <c r="L51" s="871">
        <f>'[9]Диспан.набл.взрослых Пр.16- 23'!L51+'[9]Уточнение Пр.17-23  '!L51</f>
        <v>2</v>
      </c>
      <c r="M51" s="871">
        <f>'[9]Диспан.набл.взрослых Пр.16- 23'!M51+'[9]Уточнение Пр.17-23  '!M51</f>
        <v>3</v>
      </c>
      <c r="N51" s="871">
        <f>'[9]Диспан.набл.взрослых Пр.16- 23'!N51+'[9]Уточнение Пр.17-23  '!N51</f>
        <v>0</v>
      </c>
      <c r="O51" s="871">
        <f>'[9]Диспан.набл.взрослых Пр.16- 23'!O51+'[9]Уточнение Пр.17-23  '!O51</f>
        <v>0</v>
      </c>
      <c r="P51" s="871">
        <f>'[9]Диспан.набл.взрослых Пр.16- 23'!P51+'[9]Уточнение Пр.17-23  '!P51</f>
        <v>0</v>
      </c>
      <c r="Q51" s="871">
        <f>'[9]Диспан.набл.взрослых Пр.16- 23'!Q51+'[9]Уточнение Пр.17-23  '!Q51</f>
        <v>0</v>
      </c>
      <c r="R51" s="871">
        <f>'[9]Диспан.набл.взрослых Пр.16- 23'!R51+'[9]Уточнение Пр.17-23  '!R51</f>
        <v>2</v>
      </c>
      <c r="S51" s="871">
        <f t="shared" si="4"/>
        <v>6400</v>
      </c>
      <c r="T51" s="870">
        <f>D51-'[9]Диспан.набл.взрослых Пр.16- 23'!D51</f>
        <v>0</v>
      </c>
    </row>
    <row r="52" spans="1:20" x14ac:dyDescent="0.25">
      <c r="A52" s="873">
        <v>39</v>
      </c>
      <c r="B52" s="874" t="s">
        <v>91</v>
      </c>
      <c r="C52" s="875" t="s">
        <v>92</v>
      </c>
      <c r="D52" s="871">
        <f t="shared" si="3"/>
        <v>7075</v>
      </c>
      <c r="E52" s="871">
        <f>'[9]Диспан.набл.взрослых Пр.16- 23'!E52+'[9]Уточнение Пр.17-23  '!E52</f>
        <v>6886</v>
      </c>
      <c r="F52" s="871">
        <f>'[9]Диспан.набл.взрослых Пр.16- 23'!F52+'[9]Уточнение Пр.17-23  '!F52</f>
        <v>133</v>
      </c>
      <c r="G52" s="871">
        <f>'[9]Диспан.набл.взрослых Пр.16- 23'!G52+'[9]Уточнение Пр.17-23  '!G52</f>
        <v>8</v>
      </c>
      <c r="H52" s="871">
        <f>'[9]Диспан.набл.взрослых Пр.16- 23'!H52+'[9]Уточнение Пр.17-23  '!H52</f>
        <v>0</v>
      </c>
      <c r="I52" s="871">
        <f>'[9]Диспан.набл.взрослых Пр.16- 23'!I52+'[9]Уточнение Пр.17-23  '!I52</f>
        <v>0</v>
      </c>
      <c r="J52" s="871">
        <f>'[9]Диспан.набл.взрослых Пр.16- 23'!J52+'[9]Уточнение Пр.17-23  '!J52</f>
        <v>0</v>
      </c>
      <c r="K52" s="871">
        <f>'[9]Диспан.набл.взрослых Пр.16- 23'!K52+'[9]Уточнение Пр.17-23  '!K52</f>
        <v>0</v>
      </c>
      <c r="L52" s="871">
        <f>'[9]Диспан.набл.взрослых Пр.16- 23'!L52+'[9]Уточнение Пр.17-23  '!L52</f>
        <v>0</v>
      </c>
      <c r="M52" s="871">
        <f>'[9]Диспан.набл.взрослых Пр.16- 23'!M52+'[9]Уточнение Пр.17-23  '!M52</f>
        <v>0</v>
      </c>
      <c r="N52" s="871">
        <f>'[9]Диспан.набл.взрослых Пр.16- 23'!N52+'[9]Уточнение Пр.17-23  '!N52</f>
        <v>6</v>
      </c>
      <c r="O52" s="871">
        <f>'[9]Диспан.набл.взрослых Пр.16- 23'!O52+'[9]Уточнение Пр.17-23  '!O52</f>
        <v>0</v>
      </c>
      <c r="P52" s="871">
        <f>'[9]Диспан.набл.взрослых Пр.16- 23'!P52+'[9]Уточнение Пр.17-23  '!P52</f>
        <v>0</v>
      </c>
      <c r="Q52" s="871">
        <f>'[9]Диспан.набл.взрослых Пр.16- 23'!Q52+'[9]Уточнение Пр.17-23  '!Q52</f>
        <v>42</v>
      </c>
      <c r="R52" s="871">
        <f>'[9]Диспан.набл.взрослых Пр.16- 23'!R52+'[9]Уточнение Пр.17-23  '!R52</f>
        <v>0</v>
      </c>
      <c r="S52" s="871">
        <f t="shared" si="4"/>
        <v>6886</v>
      </c>
      <c r="T52" s="870">
        <f>D52-'[9]Диспан.набл.взрослых Пр.16- 23'!D52</f>
        <v>0</v>
      </c>
    </row>
    <row r="53" spans="1:20" x14ac:dyDescent="0.25">
      <c r="A53" s="873">
        <v>40</v>
      </c>
      <c r="B53" s="878" t="s">
        <v>93</v>
      </c>
      <c r="C53" s="1" t="s">
        <v>94</v>
      </c>
      <c r="D53" s="871">
        <f t="shared" si="3"/>
        <v>11151</v>
      </c>
      <c r="E53" s="871">
        <f>'[9]Диспан.набл.взрослых Пр.16- 23'!E53+'[9]Уточнение Пр.17-23  '!E53</f>
        <v>9771</v>
      </c>
      <c r="F53" s="871">
        <f>'[9]Диспан.набл.взрослых Пр.16- 23'!F53+'[9]Уточнение Пр.17-23  '!F53</f>
        <v>736</v>
      </c>
      <c r="G53" s="871">
        <f>'[9]Диспан.набл.взрослых Пр.16- 23'!G53+'[9]Уточнение Пр.17-23  '!G53</f>
        <v>141</v>
      </c>
      <c r="H53" s="871">
        <f>'[9]Диспан.набл.взрослых Пр.16- 23'!H53+'[9]Уточнение Пр.17-23  '!H53</f>
        <v>384</v>
      </c>
      <c r="I53" s="871">
        <f>'[9]Диспан.набл.взрослых Пр.16- 23'!I53+'[9]Уточнение Пр.17-23  '!I53</f>
        <v>0</v>
      </c>
      <c r="J53" s="871">
        <f>'[9]Диспан.набл.взрослых Пр.16- 23'!J53+'[9]Уточнение Пр.17-23  '!J53</f>
        <v>0</v>
      </c>
      <c r="K53" s="871">
        <f>'[9]Диспан.набл.взрослых Пр.16- 23'!K53+'[9]Уточнение Пр.17-23  '!K53</f>
        <v>0</v>
      </c>
      <c r="L53" s="871">
        <f>'[9]Диспан.набл.взрослых Пр.16- 23'!L53+'[9]Уточнение Пр.17-23  '!L53</f>
        <v>0</v>
      </c>
      <c r="M53" s="871">
        <f>'[9]Диспан.набл.взрослых Пр.16- 23'!M53+'[9]Уточнение Пр.17-23  '!M53</f>
        <v>2</v>
      </c>
      <c r="N53" s="871">
        <f>'[9]Диспан.набл.взрослых Пр.16- 23'!N53+'[9]Уточнение Пр.17-23  '!N53</f>
        <v>77</v>
      </c>
      <c r="O53" s="871">
        <f>'[9]Диспан.набл.взрослых Пр.16- 23'!O53+'[9]Уточнение Пр.17-23  '!O53</f>
        <v>7</v>
      </c>
      <c r="P53" s="871">
        <f>'[9]Диспан.набл.взрослых Пр.16- 23'!P53+'[9]Уточнение Пр.17-23  '!P53</f>
        <v>0</v>
      </c>
      <c r="Q53" s="871">
        <f>'[9]Диспан.набл.взрослых Пр.16- 23'!Q53+'[9]Уточнение Пр.17-23  '!Q53</f>
        <v>33</v>
      </c>
      <c r="R53" s="871">
        <f>'[9]Диспан.набл.взрослых Пр.16- 23'!R53+'[9]Уточнение Пр.17-23  '!R53</f>
        <v>0</v>
      </c>
      <c r="S53" s="871">
        <f t="shared" si="4"/>
        <v>9771</v>
      </c>
      <c r="T53" s="870">
        <f>D53-'[9]Диспан.набл.взрослых Пр.16- 23'!D53</f>
        <v>0</v>
      </c>
    </row>
    <row r="54" spans="1:20" x14ac:dyDescent="0.25">
      <c r="A54" s="873">
        <v>41</v>
      </c>
      <c r="B54" s="877" t="s">
        <v>95</v>
      </c>
      <c r="C54" s="567" t="s">
        <v>96</v>
      </c>
      <c r="D54" s="871">
        <f t="shared" si="3"/>
        <v>4778</v>
      </c>
      <c r="E54" s="871">
        <f>'[9]Диспан.набл.взрослых Пр.16- 23'!E54+'[9]Уточнение Пр.17-23  '!E54</f>
        <v>4575</v>
      </c>
      <c r="F54" s="871">
        <f>'[9]Диспан.набл.взрослых Пр.16- 23'!F54+'[9]Уточнение Пр.17-23  '!F54</f>
        <v>135</v>
      </c>
      <c r="G54" s="871">
        <f>'[9]Диспан.набл.взрослых Пр.16- 23'!G54+'[9]Уточнение Пр.17-23  '!G54</f>
        <v>0</v>
      </c>
      <c r="H54" s="871">
        <f>'[9]Диспан.набл.взрослых Пр.16- 23'!H54+'[9]Уточнение Пр.17-23  '!H54</f>
        <v>8</v>
      </c>
      <c r="I54" s="871">
        <f>'[9]Диспан.набл.взрослых Пр.16- 23'!I54+'[9]Уточнение Пр.17-23  '!I54</f>
        <v>0</v>
      </c>
      <c r="J54" s="871">
        <f>'[9]Диспан.набл.взрослых Пр.16- 23'!J54+'[9]Уточнение Пр.17-23  '!J54</f>
        <v>2</v>
      </c>
      <c r="K54" s="871">
        <f>'[9]Диспан.набл.взрослых Пр.16- 23'!K54+'[9]Уточнение Пр.17-23  '!K54</f>
        <v>0</v>
      </c>
      <c r="L54" s="871">
        <f>'[9]Диспан.набл.взрослых Пр.16- 23'!L54+'[9]Уточнение Пр.17-23  '!L54</f>
        <v>0</v>
      </c>
      <c r="M54" s="871">
        <f>'[9]Диспан.набл.взрослых Пр.16- 23'!M54+'[9]Уточнение Пр.17-23  '!M54</f>
        <v>1</v>
      </c>
      <c r="N54" s="871">
        <f>'[9]Диспан.набл.взрослых Пр.16- 23'!N54+'[9]Уточнение Пр.17-23  '!N54</f>
        <v>35</v>
      </c>
      <c r="O54" s="871">
        <f>'[9]Диспан.набл.взрослых Пр.16- 23'!O54+'[9]Уточнение Пр.17-23  '!O54</f>
        <v>3</v>
      </c>
      <c r="P54" s="871">
        <f>'[9]Диспан.набл.взрослых Пр.16- 23'!P54+'[9]Уточнение Пр.17-23  '!P54</f>
        <v>0</v>
      </c>
      <c r="Q54" s="871">
        <f>'[9]Диспан.набл.взрослых Пр.16- 23'!Q54+'[9]Уточнение Пр.17-23  '!Q54</f>
        <v>19</v>
      </c>
      <c r="R54" s="871">
        <f>'[9]Диспан.набл.взрослых Пр.16- 23'!R54+'[9]Уточнение Пр.17-23  '!R54</f>
        <v>0</v>
      </c>
      <c r="S54" s="871">
        <f t="shared" si="4"/>
        <v>4575</v>
      </c>
      <c r="T54" s="870">
        <f>D54-'[9]Диспан.набл.взрослых Пр.16- 23'!D54</f>
        <v>0</v>
      </c>
    </row>
    <row r="55" spans="1:20" x14ac:dyDescent="0.25">
      <c r="A55" s="873">
        <v>42</v>
      </c>
      <c r="B55" s="876" t="s">
        <v>97</v>
      </c>
      <c r="C55" s="875" t="s">
        <v>98</v>
      </c>
      <c r="D55" s="871">
        <f t="shared" si="3"/>
        <v>1380</v>
      </c>
      <c r="E55" s="871">
        <f>'[9]Диспан.набл.взрослых Пр.16- 23'!E55+'[9]Уточнение Пр.17-23  '!E55</f>
        <v>1015</v>
      </c>
      <c r="F55" s="871">
        <f>'[9]Диспан.набл.взрослых Пр.16- 23'!F55+'[9]Уточнение Пр.17-23  '!F55</f>
        <v>318</v>
      </c>
      <c r="G55" s="871">
        <f>'[9]Диспан.набл.взрослых Пр.16- 23'!G55+'[9]Уточнение Пр.17-23  '!G55</f>
        <v>38</v>
      </c>
      <c r="H55" s="871">
        <f>'[9]Диспан.набл.взрослых Пр.16- 23'!H55+'[9]Уточнение Пр.17-23  '!H55</f>
        <v>2</v>
      </c>
      <c r="I55" s="871">
        <f>'[9]Диспан.набл.взрослых Пр.16- 23'!I55+'[9]Уточнение Пр.17-23  '!I55</f>
        <v>0</v>
      </c>
      <c r="J55" s="871">
        <f>'[9]Диспан.набл.взрослых Пр.16- 23'!J55+'[9]Уточнение Пр.17-23  '!J55</f>
        <v>0</v>
      </c>
      <c r="K55" s="871">
        <f>'[9]Диспан.набл.взрослых Пр.16- 23'!K55+'[9]Уточнение Пр.17-23  '!K55</f>
        <v>0</v>
      </c>
      <c r="L55" s="871">
        <f>'[9]Диспан.набл.взрослых Пр.16- 23'!L55+'[9]Уточнение Пр.17-23  '!L55</f>
        <v>0</v>
      </c>
      <c r="M55" s="871">
        <f>'[9]Диспан.набл.взрослых Пр.16- 23'!M55+'[9]Уточнение Пр.17-23  '!M55</f>
        <v>0</v>
      </c>
      <c r="N55" s="871">
        <f>'[9]Диспан.набл.взрослых Пр.16- 23'!N55+'[9]Уточнение Пр.17-23  '!N55</f>
        <v>5</v>
      </c>
      <c r="O55" s="871">
        <f>'[9]Диспан.набл.взрослых Пр.16- 23'!O55+'[9]Уточнение Пр.17-23  '!O55</f>
        <v>0</v>
      </c>
      <c r="P55" s="871">
        <f>'[9]Диспан.набл.взрослых Пр.16- 23'!P55+'[9]Уточнение Пр.17-23  '!P55</f>
        <v>0</v>
      </c>
      <c r="Q55" s="871">
        <f>'[9]Диспан.набл.взрослых Пр.16- 23'!Q55+'[9]Уточнение Пр.17-23  '!Q55</f>
        <v>1</v>
      </c>
      <c r="R55" s="871">
        <f>'[9]Диспан.набл.взрослых Пр.16- 23'!R55+'[9]Уточнение Пр.17-23  '!R55</f>
        <v>1</v>
      </c>
      <c r="S55" s="871">
        <f t="shared" si="4"/>
        <v>1015</v>
      </c>
      <c r="T55" s="870">
        <f>D55-'[9]Диспан.набл.взрослых Пр.16- 23'!D55</f>
        <v>0</v>
      </c>
    </row>
    <row r="56" spans="1:20" x14ac:dyDescent="0.25">
      <c r="A56" s="873">
        <v>43</v>
      </c>
      <c r="B56" s="877" t="s">
        <v>99</v>
      </c>
      <c r="C56" s="567" t="s">
        <v>100</v>
      </c>
      <c r="D56" s="871">
        <f t="shared" si="3"/>
        <v>30550</v>
      </c>
      <c r="E56" s="871">
        <f>'[9]Диспан.набл.взрослых Пр.16- 23'!E56+'[9]Уточнение Пр.17-23  '!E56</f>
        <v>28024</v>
      </c>
      <c r="F56" s="871">
        <f>'[9]Диспан.набл.взрослых Пр.16- 23'!F56+'[9]Уточнение Пр.17-23  '!F56</f>
        <v>995</v>
      </c>
      <c r="G56" s="871">
        <f>'[9]Диспан.набл.взрослых Пр.16- 23'!G56+'[9]Уточнение Пр.17-23  '!G56</f>
        <v>1158</v>
      </c>
      <c r="H56" s="871">
        <f>'[9]Диспан.набл.взрослых Пр.16- 23'!H56+'[9]Уточнение Пр.17-23  '!H56</f>
        <v>126</v>
      </c>
      <c r="I56" s="871">
        <f>'[9]Диспан.набл.взрослых Пр.16- 23'!I56+'[9]Уточнение Пр.17-23  '!I56</f>
        <v>0</v>
      </c>
      <c r="J56" s="871">
        <f>'[9]Диспан.набл.взрослых Пр.16- 23'!J56+'[9]Уточнение Пр.17-23  '!J56</f>
        <v>5</v>
      </c>
      <c r="K56" s="871">
        <f>'[9]Диспан.набл.взрослых Пр.16- 23'!K56+'[9]Уточнение Пр.17-23  '!K56</f>
        <v>13</v>
      </c>
      <c r="L56" s="871">
        <f>'[9]Диспан.набл.взрослых Пр.16- 23'!L56+'[9]Уточнение Пр.17-23  '!L56</f>
        <v>1</v>
      </c>
      <c r="M56" s="871">
        <f>'[9]Диспан.набл.взрослых Пр.16- 23'!M56+'[9]Уточнение Пр.17-23  '!M56</f>
        <v>6</v>
      </c>
      <c r="N56" s="871">
        <f>'[9]Диспан.набл.взрослых Пр.16- 23'!N56+'[9]Уточнение Пр.17-23  '!N56</f>
        <v>142</v>
      </c>
      <c r="O56" s="871">
        <f>'[9]Диспан.набл.взрослых Пр.16- 23'!O56+'[9]Уточнение Пр.17-23  '!O56</f>
        <v>6</v>
      </c>
      <c r="P56" s="871">
        <f>'[9]Диспан.набл.взрослых Пр.16- 23'!P56+'[9]Уточнение Пр.17-23  '!P56</f>
        <v>0</v>
      </c>
      <c r="Q56" s="871">
        <f>'[9]Диспан.набл.взрослых Пр.16- 23'!Q56+'[9]Уточнение Пр.17-23  '!Q56</f>
        <v>72</v>
      </c>
      <c r="R56" s="871">
        <f>'[9]Диспан.набл.взрослых Пр.16- 23'!R56+'[9]Уточнение Пр.17-23  '!R56</f>
        <v>2</v>
      </c>
      <c r="S56" s="871">
        <f t="shared" si="4"/>
        <v>28024</v>
      </c>
      <c r="T56" s="870">
        <f>D56-'[9]Диспан.набл.взрослых Пр.16- 23'!D56</f>
        <v>0</v>
      </c>
    </row>
    <row r="57" spans="1:20" x14ac:dyDescent="0.25">
      <c r="A57" s="873">
        <v>44</v>
      </c>
      <c r="B57" s="874" t="s">
        <v>101</v>
      </c>
      <c r="C57" s="875" t="s">
        <v>102</v>
      </c>
      <c r="D57" s="871">
        <f t="shared" si="3"/>
        <v>7669</v>
      </c>
      <c r="E57" s="871">
        <f>'[9]Диспан.набл.взрослых Пр.16- 23'!E57+'[9]Уточнение Пр.17-23  '!E57</f>
        <v>6154</v>
      </c>
      <c r="F57" s="871">
        <f>'[9]Диспан.набл.взрослых Пр.16- 23'!F57+'[9]Уточнение Пр.17-23  '!F57</f>
        <v>1220</v>
      </c>
      <c r="G57" s="871">
        <f>'[9]Диспан.набл.взрослых Пр.16- 23'!G57+'[9]Уточнение Пр.17-23  '!G57</f>
        <v>92</v>
      </c>
      <c r="H57" s="871">
        <f>'[9]Диспан.набл.взрослых Пр.16- 23'!H57+'[9]Уточнение Пр.17-23  '!H57</f>
        <v>173</v>
      </c>
      <c r="I57" s="871">
        <f>'[9]Диспан.набл.взрослых Пр.16- 23'!I57+'[9]Уточнение Пр.17-23  '!I57</f>
        <v>0</v>
      </c>
      <c r="J57" s="871">
        <f>'[9]Диспан.набл.взрослых Пр.16- 23'!J57+'[9]Уточнение Пр.17-23  '!J57</f>
        <v>0</v>
      </c>
      <c r="K57" s="871">
        <f>'[9]Диспан.набл.взрослых Пр.16- 23'!K57+'[9]Уточнение Пр.17-23  '!K57</f>
        <v>0</v>
      </c>
      <c r="L57" s="871">
        <f>'[9]Диспан.набл.взрослых Пр.16- 23'!L57+'[9]Уточнение Пр.17-23  '!L57</f>
        <v>0</v>
      </c>
      <c r="M57" s="871">
        <f>'[9]Диспан.набл.взрослых Пр.16- 23'!M57+'[9]Уточнение Пр.17-23  '!M57</f>
        <v>0</v>
      </c>
      <c r="N57" s="871">
        <f>'[9]Диспан.набл.взрослых Пр.16- 23'!N57+'[9]Уточнение Пр.17-23  '!N57</f>
        <v>14</v>
      </c>
      <c r="O57" s="871">
        <f>'[9]Диспан.набл.взрослых Пр.16- 23'!O57+'[9]Уточнение Пр.17-23  '!O57</f>
        <v>1</v>
      </c>
      <c r="P57" s="871">
        <f>'[9]Диспан.набл.взрослых Пр.16- 23'!P57+'[9]Уточнение Пр.17-23  '!P57</f>
        <v>0</v>
      </c>
      <c r="Q57" s="871">
        <f>'[9]Диспан.набл.взрослых Пр.16- 23'!Q57+'[9]Уточнение Пр.17-23  '!Q57</f>
        <v>15</v>
      </c>
      <c r="R57" s="871">
        <f>'[9]Диспан.набл.взрослых Пр.16- 23'!R57+'[9]Уточнение Пр.17-23  '!R57</f>
        <v>0</v>
      </c>
      <c r="S57" s="871">
        <f t="shared" si="4"/>
        <v>6154</v>
      </c>
      <c r="T57" s="870">
        <f>D57-'[9]Диспан.набл.взрослых Пр.16- 23'!D57</f>
        <v>0</v>
      </c>
    </row>
    <row r="58" spans="1:20" x14ac:dyDescent="0.25">
      <c r="A58" s="873">
        <v>45</v>
      </c>
      <c r="B58" s="874" t="s">
        <v>103</v>
      </c>
      <c r="C58" s="875" t="s">
        <v>104</v>
      </c>
      <c r="D58" s="871">
        <f t="shared" si="3"/>
        <v>11826</v>
      </c>
      <c r="E58" s="871">
        <f>'[9]Диспан.набл.взрослых Пр.16- 23'!E58+'[9]Уточнение Пр.17-23  '!E58</f>
        <v>11538</v>
      </c>
      <c r="F58" s="871">
        <f>'[9]Диспан.набл.взрослых Пр.16- 23'!F58+'[9]Уточнение Пр.17-23  '!F58</f>
        <v>94</v>
      </c>
      <c r="G58" s="871">
        <f>'[9]Диспан.набл.взрослых Пр.16- 23'!G58+'[9]Уточнение Пр.17-23  '!G58</f>
        <v>78</v>
      </c>
      <c r="H58" s="871">
        <f>'[9]Диспан.набл.взрослых Пр.16- 23'!H58+'[9]Уточнение Пр.17-23  '!H58</f>
        <v>9</v>
      </c>
      <c r="I58" s="871">
        <f>'[9]Диспан.набл.взрослых Пр.16- 23'!I58+'[9]Уточнение Пр.17-23  '!I58</f>
        <v>0</v>
      </c>
      <c r="J58" s="871">
        <f>'[9]Диспан.набл.взрослых Пр.16- 23'!J58+'[9]Уточнение Пр.17-23  '!J58</f>
        <v>0</v>
      </c>
      <c r="K58" s="871">
        <f>'[9]Диспан.набл.взрослых Пр.16- 23'!K58+'[9]Уточнение Пр.17-23  '!K58</f>
        <v>0</v>
      </c>
      <c r="L58" s="871">
        <f>'[9]Диспан.набл.взрослых Пр.16- 23'!L58+'[9]Уточнение Пр.17-23  '!L58</f>
        <v>1</v>
      </c>
      <c r="M58" s="871">
        <f>'[9]Диспан.набл.взрослых Пр.16- 23'!M58+'[9]Уточнение Пр.17-23  '!M58</f>
        <v>1</v>
      </c>
      <c r="N58" s="871">
        <f>'[9]Диспан.набл.взрослых Пр.16- 23'!N58+'[9]Уточнение Пр.17-23  '!N58</f>
        <v>7</v>
      </c>
      <c r="O58" s="871">
        <f>'[9]Диспан.набл.взрослых Пр.16- 23'!O58+'[9]Уточнение Пр.17-23  '!O58</f>
        <v>1</v>
      </c>
      <c r="P58" s="871">
        <f>'[9]Диспан.набл.взрослых Пр.16- 23'!P58+'[9]Уточнение Пр.17-23  '!P58</f>
        <v>0</v>
      </c>
      <c r="Q58" s="871">
        <f>'[9]Диспан.набл.взрослых Пр.16- 23'!Q58+'[9]Уточнение Пр.17-23  '!Q58</f>
        <v>83</v>
      </c>
      <c r="R58" s="871">
        <f>'[9]Диспан.набл.взрослых Пр.16- 23'!R58+'[9]Уточнение Пр.17-23  '!R58</f>
        <v>14</v>
      </c>
      <c r="S58" s="871">
        <f t="shared" si="4"/>
        <v>11538</v>
      </c>
      <c r="T58" s="870">
        <f>D58-'[9]Диспан.набл.взрослых Пр.16- 23'!D58</f>
        <v>0</v>
      </c>
    </row>
    <row r="59" spans="1:20" x14ac:dyDescent="0.25">
      <c r="A59" s="873">
        <v>46</v>
      </c>
      <c r="B59" s="877" t="s">
        <v>105</v>
      </c>
      <c r="C59" s="567" t="s">
        <v>106</v>
      </c>
      <c r="D59" s="871">
        <f t="shared" si="3"/>
        <v>6876</v>
      </c>
      <c r="E59" s="871">
        <f>'[9]Диспан.набл.взрослых Пр.16- 23'!E59+'[9]Уточнение Пр.17-23  '!E59</f>
        <v>6802</v>
      </c>
      <c r="F59" s="871">
        <f>'[9]Диспан.набл.взрослых Пр.16- 23'!F59+'[9]Уточнение Пр.17-23  '!F59</f>
        <v>1</v>
      </c>
      <c r="G59" s="871">
        <f>'[9]Диспан.набл.взрослых Пр.16- 23'!G59+'[9]Уточнение Пр.17-23  '!G59</f>
        <v>8</v>
      </c>
      <c r="H59" s="871">
        <f>'[9]Диспан.набл.взрослых Пр.16- 23'!H59+'[9]Уточнение Пр.17-23  '!H59</f>
        <v>29</v>
      </c>
      <c r="I59" s="871">
        <f>'[9]Диспан.набл.взрослых Пр.16- 23'!I59+'[9]Уточнение Пр.17-23  '!I59</f>
        <v>0</v>
      </c>
      <c r="J59" s="871">
        <f>'[9]Диспан.набл.взрослых Пр.16- 23'!J59+'[9]Уточнение Пр.17-23  '!J59</f>
        <v>1</v>
      </c>
      <c r="K59" s="871">
        <f>'[9]Диспан.набл.взрослых Пр.16- 23'!K59+'[9]Уточнение Пр.17-23  '!K59</f>
        <v>0</v>
      </c>
      <c r="L59" s="871">
        <f>'[9]Диспан.набл.взрослых Пр.16- 23'!L59+'[9]Уточнение Пр.17-23  '!L59</f>
        <v>0</v>
      </c>
      <c r="M59" s="871">
        <f>'[9]Диспан.набл.взрослых Пр.16- 23'!M59+'[9]Уточнение Пр.17-23  '!M59</f>
        <v>1</v>
      </c>
      <c r="N59" s="871">
        <f>'[9]Диспан.набл.взрослых Пр.16- 23'!N59+'[9]Уточнение Пр.17-23  '!N59</f>
        <v>3</v>
      </c>
      <c r="O59" s="871">
        <f>'[9]Диспан.набл.взрослых Пр.16- 23'!O59+'[9]Уточнение Пр.17-23  '!O59</f>
        <v>2</v>
      </c>
      <c r="P59" s="871">
        <f>'[9]Диспан.набл.взрослых Пр.16- 23'!P59+'[9]Уточнение Пр.17-23  '!P59</f>
        <v>9</v>
      </c>
      <c r="Q59" s="871">
        <f>'[9]Диспан.набл.взрослых Пр.16- 23'!Q59+'[9]Уточнение Пр.17-23  '!Q59</f>
        <v>18</v>
      </c>
      <c r="R59" s="871">
        <f>'[9]Диспан.набл.взрослых Пр.16- 23'!R59+'[9]Уточнение Пр.17-23  '!R59</f>
        <v>2</v>
      </c>
      <c r="S59" s="871">
        <f t="shared" si="4"/>
        <v>6802</v>
      </c>
      <c r="T59" s="870">
        <f>D59-'[9]Диспан.набл.взрослых Пр.16- 23'!D59</f>
        <v>0</v>
      </c>
    </row>
    <row r="60" spans="1:20" x14ac:dyDescent="0.25">
      <c r="A60" s="873">
        <v>47</v>
      </c>
      <c r="B60" s="877" t="s">
        <v>107</v>
      </c>
      <c r="C60" s="567" t="s">
        <v>108</v>
      </c>
      <c r="D60" s="871">
        <f t="shared" si="3"/>
        <v>10643</v>
      </c>
      <c r="E60" s="871">
        <f>'[9]Диспан.набл.взрослых Пр.16- 23'!E60+'[9]Уточнение Пр.17-23  '!E60</f>
        <v>9798</v>
      </c>
      <c r="F60" s="871">
        <f>'[9]Диспан.набл.взрослых Пр.16- 23'!F60+'[9]Уточнение Пр.17-23  '!F60</f>
        <v>427</v>
      </c>
      <c r="G60" s="871">
        <f>'[9]Диспан.набл.взрослых Пр.16- 23'!G60+'[9]Уточнение Пр.17-23  '!G60</f>
        <v>137</v>
      </c>
      <c r="H60" s="871">
        <f>'[9]Диспан.набл.взрослых Пр.16- 23'!H60+'[9]Уточнение Пр.17-23  '!H60</f>
        <v>227</v>
      </c>
      <c r="I60" s="871">
        <f>'[9]Диспан.набл.взрослых Пр.16- 23'!I60+'[9]Уточнение Пр.17-23  '!I60</f>
        <v>0</v>
      </c>
      <c r="J60" s="871">
        <f>'[9]Диспан.набл.взрослых Пр.16- 23'!J60+'[9]Уточнение Пр.17-23  '!J60</f>
        <v>3</v>
      </c>
      <c r="K60" s="871">
        <f>'[9]Диспан.набл.взрослых Пр.16- 23'!K60+'[9]Уточнение Пр.17-23  '!K60</f>
        <v>0</v>
      </c>
      <c r="L60" s="871">
        <f>'[9]Диспан.набл.взрослых Пр.16- 23'!L60+'[9]Уточнение Пр.17-23  '!L60</f>
        <v>0</v>
      </c>
      <c r="M60" s="871">
        <f>'[9]Диспан.набл.взрослых Пр.16- 23'!M60+'[9]Уточнение Пр.17-23  '!M60</f>
        <v>3</v>
      </c>
      <c r="N60" s="871">
        <f>'[9]Диспан.набл.взрослых Пр.16- 23'!N60+'[9]Уточнение Пр.17-23  '!N60</f>
        <v>11</v>
      </c>
      <c r="O60" s="871">
        <f>'[9]Диспан.набл.взрослых Пр.16- 23'!O60+'[9]Уточнение Пр.17-23  '!O60</f>
        <v>8</v>
      </c>
      <c r="P60" s="871">
        <f>'[9]Диспан.набл.взрослых Пр.16- 23'!P60+'[9]Уточнение Пр.17-23  '!P60</f>
        <v>3</v>
      </c>
      <c r="Q60" s="871">
        <f>'[9]Диспан.набл.взрослых Пр.16- 23'!Q60+'[9]Уточнение Пр.17-23  '!Q60</f>
        <v>26</v>
      </c>
      <c r="R60" s="871">
        <f>'[9]Диспан.набл.взрослых Пр.16- 23'!R60+'[9]Уточнение Пр.17-23  '!R60</f>
        <v>0</v>
      </c>
      <c r="S60" s="871">
        <f t="shared" si="4"/>
        <v>9798</v>
      </c>
      <c r="T60" s="870">
        <f>D60-'[9]Диспан.набл.взрослых Пр.16- 23'!D60</f>
        <v>0</v>
      </c>
    </row>
    <row r="61" spans="1:20" x14ac:dyDescent="0.25">
      <c r="A61" s="873">
        <v>48</v>
      </c>
      <c r="B61" s="876" t="s">
        <v>109</v>
      </c>
      <c r="C61" s="875" t="s">
        <v>110</v>
      </c>
      <c r="D61" s="871">
        <f t="shared" si="3"/>
        <v>10150</v>
      </c>
      <c r="E61" s="871">
        <f>'[9]Диспан.набл.взрослых Пр.16- 23'!E61+'[9]Уточнение Пр.17-23  '!E61</f>
        <v>9702</v>
      </c>
      <c r="F61" s="871">
        <f>'[9]Диспан.набл.взрослых Пр.16- 23'!F61+'[9]Уточнение Пр.17-23  '!F61</f>
        <v>119</v>
      </c>
      <c r="G61" s="871">
        <f>'[9]Диспан.набл.взрослых Пр.16- 23'!G61+'[9]Уточнение Пр.17-23  '!G61</f>
        <v>253</v>
      </c>
      <c r="H61" s="871">
        <f>'[9]Диспан.набл.взрослых Пр.16- 23'!H61+'[9]Уточнение Пр.17-23  '!H61</f>
        <v>36</v>
      </c>
      <c r="I61" s="871">
        <f>'[9]Диспан.набл.взрослых Пр.16- 23'!I61+'[9]Уточнение Пр.17-23  '!I61</f>
        <v>0</v>
      </c>
      <c r="J61" s="871">
        <f>'[9]Диспан.набл.взрослых Пр.16- 23'!J61+'[9]Уточнение Пр.17-23  '!J61</f>
        <v>0</v>
      </c>
      <c r="K61" s="871">
        <f>'[9]Диспан.набл.взрослых Пр.16- 23'!K61+'[9]Уточнение Пр.17-23  '!K61</f>
        <v>0</v>
      </c>
      <c r="L61" s="871">
        <f>'[9]Диспан.набл.взрослых Пр.16- 23'!L61+'[9]Уточнение Пр.17-23  '!L61</f>
        <v>0</v>
      </c>
      <c r="M61" s="871">
        <f>'[9]Диспан.набл.взрослых Пр.16- 23'!M61+'[9]Уточнение Пр.17-23  '!M61</f>
        <v>3</v>
      </c>
      <c r="N61" s="871">
        <f>'[9]Диспан.набл.взрослых Пр.16- 23'!N61+'[9]Уточнение Пр.17-23  '!N61</f>
        <v>6</v>
      </c>
      <c r="O61" s="871">
        <f>'[9]Диспан.набл.взрослых Пр.16- 23'!O61+'[9]Уточнение Пр.17-23  '!O61</f>
        <v>1</v>
      </c>
      <c r="P61" s="871">
        <f>'[9]Диспан.набл.взрослых Пр.16- 23'!P61+'[9]Уточнение Пр.17-23  '!P61</f>
        <v>0</v>
      </c>
      <c r="Q61" s="871">
        <f>'[9]Диспан.набл.взрослых Пр.16- 23'!Q61+'[9]Уточнение Пр.17-23  '!Q61</f>
        <v>30</v>
      </c>
      <c r="R61" s="871">
        <f>'[9]Диспан.набл.взрослых Пр.16- 23'!R61+'[9]Уточнение Пр.17-23  '!R61</f>
        <v>0</v>
      </c>
      <c r="S61" s="871">
        <f t="shared" si="4"/>
        <v>9702</v>
      </c>
      <c r="T61" s="870">
        <f>D61-'[9]Диспан.набл.взрослых Пр.16- 23'!D61</f>
        <v>0</v>
      </c>
    </row>
    <row r="62" spans="1:20" x14ac:dyDescent="0.25">
      <c r="A62" s="873">
        <v>49</v>
      </c>
      <c r="B62" s="877" t="s">
        <v>111</v>
      </c>
      <c r="C62" s="567" t="s">
        <v>112</v>
      </c>
      <c r="D62" s="871">
        <f t="shared" si="3"/>
        <v>3976</v>
      </c>
      <c r="E62" s="871">
        <f>'[9]Диспан.набл.взрослых Пр.16- 23'!E62+'[9]Уточнение Пр.17-23  '!E62</f>
        <v>2953</v>
      </c>
      <c r="F62" s="871">
        <f>'[9]Диспан.набл.взрослых Пр.16- 23'!F62+'[9]Уточнение Пр.17-23  '!F62</f>
        <v>168</v>
      </c>
      <c r="G62" s="871">
        <f>'[9]Диспан.набл.взрослых Пр.16- 23'!G62+'[9]Уточнение Пр.17-23  '!G62</f>
        <v>10</v>
      </c>
      <c r="H62" s="871">
        <f>'[9]Диспан.набл.взрослых Пр.16- 23'!H62+'[9]Уточнение Пр.17-23  '!H62</f>
        <v>35</v>
      </c>
      <c r="I62" s="871">
        <f>'[9]Диспан.набл.взрослых Пр.16- 23'!I62+'[9]Уточнение Пр.17-23  '!I62</f>
        <v>0</v>
      </c>
      <c r="J62" s="871">
        <f>'[9]Диспан.набл.взрослых Пр.16- 23'!J62+'[9]Уточнение Пр.17-23  '!J62</f>
        <v>0</v>
      </c>
      <c r="K62" s="871">
        <f>'[9]Диспан.набл.взрослых Пр.16- 23'!K62+'[9]Уточнение Пр.17-23  '!K62</f>
        <v>0</v>
      </c>
      <c r="L62" s="871">
        <f>'[9]Диспан.набл.взрослых Пр.16- 23'!L62+'[9]Уточнение Пр.17-23  '!L62</f>
        <v>0</v>
      </c>
      <c r="M62" s="871">
        <f>'[9]Диспан.набл.взрослых Пр.16- 23'!M62+'[9]Уточнение Пр.17-23  '!M62</f>
        <v>0</v>
      </c>
      <c r="N62" s="871">
        <f>'[9]Диспан.набл.взрослых Пр.16- 23'!N62+'[9]Уточнение Пр.17-23  '!N62</f>
        <v>796</v>
      </c>
      <c r="O62" s="871">
        <f>'[9]Диспан.набл.взрослых Пр.16- 23'!O62+'[9]Уточнение Пр.17-23  '!O62</f>
        <v>0</v>
      </c>
      <c r="P62" s="871">
        <f>'[9]Диспан.набл.взрослых Пр.16- 23'!P62+'[9]Уточнение Пр.17-23  '!P62</f>
        <v>0</v>
      </c>
      <c r="Q62" s="871">
        <f>'[9]Диспан.набл.взрослых Пр.16- 23'!Q62+'[9]Уточнение Пр.17-23  '!Q62</f>
        <v>14</v>
      </c>
      <c r="R62" s="871">
        <f>'[9]Диспан.набл.взрослых Пр.16- 23'!R62+'[9]Уточнение Пр.17-23  '!R62</f>
        <v>0</v>
      </c>
      <c r="S62" s="871">
        <f t="shared" si="4"/>
        <v>2953</v>
      </c>
      <c r="T62" s="870">
        <f>D62-'[9]Диспан.набл.взрослых Пр.16- 23'!D62</f>
        <v>0</v>
      </c>
    </row>
    <row r="63" spans="1:20" x14ac:dyDescent="0.25">
      <c r="A63" s="873">
        <v>50</v>
      </c>
      <c r="B63" s="876" t="s">
        <v>113</v>
      </c>
      <c r="C63" s="875" t="s">
        <v>114</v>
      </c>
      <c r="D63" s="871">
        <f t="shared" si="3"/>
        <v>5429</v>
      </c>
      <c r="E63" s="871">
        <f>'[9]Диспан.набл.взрослых Пр.16- 23'!E63+'[9]Уточнение Пр.17-23  '!E63</f>
        <v>5102</v>
      </c>
      <c r="F63" s="871">
        <f>'[9]Диспан.набл.взрослых Пр.16- 23'!F63+'[9]Уточнение Пр.17-23  '!F63</f>
        <v>164</v>
      </c>
      <c r="G63" s="871">
        <f>'[9]Диспан.набл.взрослых Пр.16- 23'!G63+'[9]Уточнение Пр.17-23  '!G63</f>
        <v>100</v>
      </c>
      <c r="H63" s="871">
        <f>'[9]Диспан.набл.взрослых Пр.16- 23'!H63+'[9]Уточнение Пр.17-23  '!H63</f>
        <v>32</v>
      </c>
      <c r="I63" s="871">
        <f>'[9]Диспан.набл.взрослых Пр.16- 23'!I63+'[9]Уточнение Пр.17-23  '!I63</f>
        <v>0</v>
      </c>
      <c r="J63" s="871">
        <f>'[9]Диспан.набл.взрослых Пр.16- 23'!J63+'[9]Уточнение Пр.17-23  '!J63</f>
        <v>0</v>
      </c>
      <c r="K63" s="871">
        <f>'[9]Диспан.набл.взрослых Пр.16- 23'!K63+'[9]Уточнение Пр.17-23  '!K63</f>
        <v>1</v>
      </c>
      <c r="L63" s="871">
        <f>'[9]Диспан.набл.взрослых Пр.16- 23'!L63+'[9]Уточнение Пр.17-23  '!L63</f>
        <v>0</v>
      </c>
      <c r="M63" s="871">
        <f>'[9]Диспан.набл.взрослых Пр.16- 23'!M63+'[9]Уточнение Пр.17-23  '!M63</f>
        <v>0</v>
      </c>
      <c r="N63" s="871">
        <f>'[9]Диспан.набл.взрослых Пр.16- 23'!N63+'[9]Уточнение Пр.17-23  '!N63</f>
        <v>24</v>
      </c>
      <c r="O63" s="871">
        <f>'[9]Диспан.набл.взрослых Пр.16- 23'!O63+'[9]Уточнение Пр.17-23  '!O63</f>
        <v>0</v>
      </c>
      <c r="P63" s="871">
        <f>'[9]Диспан.набл.взрослых Пр.16- 23'!P63+'[9]Уточнение Пр.17-23  '!P63</f>
        <v>0</v>
      </c>
      <c r="Q63" s="871">
        <f>'[9]Диспан.набл.взрослых Пр.16- 23'!Q63+'[9]Уточнение Пр.17-23  '!Q63</f>
        <v>6</v>
      </c>
      <c r="R63" s="871">
        <f>'[9]Диспан.набл.взрослых Пр.16- 23'!R63+'[9]Уточнение Пр.17-23  '!R63</f>
        <v>0</v>
      </c>
      <c r="S63" s="871">
        <f t="shared" si="4"/>
        <v>5102</v>
      </c>
      <c r="T63" s="870">
        <f>D63-'[9]Диспан.набл.взрослых Пр.16- 23'!D63</f>
        <v>0</v>
      </c>
    </row>
    <row r="64" spans="1:20" x14ac:dyDescent="0.25">
      <c r="A64" s="873">
        <v>51</v>
      </c>
      <c r="B64" s="877" t="s">
        <v>115</v>
      </c>
      <c r="C64" s="567" t="s">
        <v>116</v>
      </c>
      <c r="D64" s="871">
        <f t="shared" si="3"/>
        <v>12912</v>
      </c>
      <c r="E64" s="871">
        <f>'[9]Диспан.набл.взрослых Пр.16- 23'!E64+'[9]Уточнение Пр.17-23  '!E64</f>
        <v>11219</v>
      </c>
      <c r="F64" s="871">
        <f>'[9]Диспан.набл.взрослых Пр.16- 23'!F64+'[9]Уточнение Пр.17-23  '!F64</f>
        <v>1258</v>
      </c>
      <c r="G64" s="871">
        <f>'[9]Диспан.набл.взрослых Пр.16- 23'!G64+'[9]Уточнение Пр.17-23  '!G64</f>
        <v>243</v>
      </c>
      <c r="H64" s="871">
        <f>'[9]Диспан.набл.взрослых Пр.16- 23'!H64+'[9]Уточнение Пр.17-23  '!H64</f>
        <v>1</v>
      </c>
      <c r="I64" s="871">
        <f>'[9]Диспан.набл.взрослых Пр.16- 23'!I64+'[9]Уточнение Пр.17-23  '!I64</f>
        <v>0</v>
      </c>
      <c r="J64" s="871">
        <f>'[9]Диспан.набл.взрослых Пр.16- 23'!J64+'[9]Уточнение Пр.17-23  '!J64</f>
        <v>0</v>
      </c>
      <c r="K64" s="871">
        <f>'[9]Диспан.набл.взрослых Пр.16- 23'!K64+'[9]Уточнение Пр.17-23  '!K64</f>
        <v>5</v>
      </c>
      <c r="L64" s="871">
        <f>'[9]Диспан.набл.взрослых Пр.16- 23'!L64+'[9]Уточнение Пр.17-23  '!L64</f>
        <v>0</v>
      </c>
      <c r="M64" s="871">
        <f>'[9]Диспан.набл.взрослых Пр.16- 23'!M64+'[9]Уточнение Пр.17-23  '!M64</f>
        <v>4</v>
      </c>
      <c r="N64" s="871">
        <f>'[9]Диспан.набл.взрослых Пр.16- 23'!N64+'[9]Уточнение Пр.17-23  '!N64</f>
        <v>51</v>
      </c>
      <c r="O64" s="871">
        <f>'[9]Диспан.набл.взрослых Пр.16- 23'!O64+'[9]Уточнение Пр.17-23  '!O64</f>
        <v>2</v>
      </c>
      <c r="P64" s="871">
        <f>'[9]Диспан.набл.взрослых Пр.16- 23'!P64+'[9]Уточнение Пр.17-23  '!P64</f>
        <v>0</v>
      </c>
      <c r="Q64" s="871">
        <f>'[9]Диспан.набл.взрослых Пр.16- 23'!Q64+'[9]Уточнение Пр.17-23  '!Q64</f>
        <v>128</v>
      </c>
      <c r="R64" s="871">
        <f>'[9]Диспан.набл.взрослых Пр.16- 23'!R64+'[9]Уточнение Пр.17-23  '!R64</f>
        <v>1</v>
      </c>
      <c r="S64" s="871">
        <f t="shared" si="4"/>
        <v>11219</v>
      </c>
      <c r="T64" s="870">
        <f>D64-'[9]Диспан.набл.взрослых Пр.16- 23'!D64</f>
        <v>0</v>
      </c>
    </row>
    <row r="65" spans="1:20" x14ac:dyDescent="0.25">
      <c r="A65" s="873">
        <v>52</v>
      </c>
      <c r="B65" s="877" t="s">
        <v>117</v>
      </c>
      <c r="C65" s="567" t="s">
        <v>118</v>
      </c>
      <c r="D65" s="871">
        <f t="shared" si="3"/>
        <v>35668</v>
      </c>
      <c r="E65" s="871">
        <f>'[9]Диспан.набл.взрослых Пр.16- 23'!E65+'[9]Уточнение Пр.17-23  '!E65</f>
        <v>33912</v>
      </c>
      <c r="F65" s="871">
        <f>'[9]Диспан.набл.взрослых Пр.16- 23'!F65+'[9]Уточнение Пр.17-23  '!F65</f>
        <v>1014</v>
      </c>
      <c r="G65" s="871">
        <f>'[9]Диспан.набл.взрослых Пр.16- 23'!G65+'[9]Уточнение Пр.17-23  '!G65</f>
        <v>596</v>
      </c>
      <c r="H65" s="871">
        <f>'[9]Диспан.набл.взрослых Пр.16- 23'!H65+'[9]Уточнение Пр.17-23  '!H65</f>
        <v>1</v>
      </c>
      <c r="I65" s="871">
        <f>'[9]Диспан.набл.взрослых Пр.16- 23'!I65+'[9]Уточнение Пр.17-23  '!I65</f>
        <v>0</v>
      </c>
      <c r="J65" s="871">
        <f>'[9]Диспан.набл.взрослых Пр.16- 23'!J65+'[9]Уточнение Пр.17-23  '!J65</f>
        <v>0</v>
      </c>
      <c r="K65" s="871">
        <f>'[9]Диспан.набл.взрослых Пр.16- 23'!K65+'[9]Уточнение Пр.17-23  '!K65</f>
        <v>0</v>
      </c>
      <c r="L65" s="871">
        <f>'[9]Диспан.набл.взрослых Пр.16- 23'!L65+'[9]Уточнение Пр.17-23  '!L65</f>
        <v>2</v>
      </c>
      <c r="M65" s="871">
        <f>'[9]Диспан.набл.взрослых Пр.16- 23'!M65+'[9]Уточнение Пр.17-23  '!M65</f>
        <v>2</v>
      </c>
      <c r="N65" s="871">
        <f>'[9]Диспан.набл.взрослых Пр.16- 23'!N65+'[9]Уточнение Пр.17-23  '!N65</f>
        <v>4</v>
      </c>
      <c r="O65" s="871">
        <f>'[9]Диспан.набл.взрослых Пр.16- 23'!O65+'[9]Уточнение Пр.17-23  '!O65</f>
        <v>11</v>
      </c>
      <c r="P65" s="871">
        <f>'[9]Диспан.набл.взрослых Пр.16- 23'!P65+'[9]Уточнение Пр.17-23  '!P65</f>
        <v>0</v>
      </c>
      <c r="Q65" s="871">
        <f>'[9]Диспан.набл.взрослых Пр.16- 23'!Q65+'[9]Уточнение Пр.17-23  '!Q65</f>
        <v>126</v>
      </c>
      <c r="R65" s="871">
        <f>'[9]Диспан.набл.взрослых Пр.16- 23'!R65+'[9]Уточнение Пр.17-23  '!R65</f>
        <v>0</v>
      </c>
      <c r="S65" s="871">
        <f t="shared" si="4"/>
        <v>33912</v>
      </c>
      <c r="T65" s="870">
        <f>D65-'[9]Диспан.набл.взрослых Пр.16- 23'!D65</f>
        <v>0</v>
      </c>
    </row>
    <row r="66" spans="1:20" x14ac:dyDescent="0.25">
      <c r="A66" s="873">
        <v>53</v>
      </c>
      <c r="B66" s="877" t="s">
        <v>119</v>
      </c>
      <c r="C66" s="567" t="s">
        <v>120</v>
      </c>
      <c r="D66" s="871">
        <f t="shared" si="3"/>
        <v>5969</v>
      </c>
      <c r="E66" s="871">
        <f>'[9]Диспан.набл.взрослых Пр.16- 23'!E66+'[9]Уточнение Пр.17-23  '!E66</f>
        <v>5866</v>
      </c>
      <c r="F66" s="871">
        <f>'[9]Диспан.набл.взрослых Пр.16- 23'!F66+'[9]Уточнение Пр.17-23  '!F66</f>
        <v>22</v>
      </c>
      <c r="G66" s="871">
        <f>'[9]Диспан.набл.взрослых Пр.16- 23'!G66+'[9]Уточнение Пр.17-23  '!G66</f>
        <v>56</v>
      </c>
      <c r="H66" s="871">
        <f>'[9]Диспан.набл.взрослых Пр.16- 23'!H66+'[9]Уточнение Пр.17-23  '!H66</f>
        <v>2</v>
      </c>
      <c r="I66" s="871">
        <f>'[9]Диспан.набл.взрослых Пр.16- 23'!I66+'[9]Уточнение Пр.17-23  '!I66</f>
        <v>0</v>
      </c>
      <c r="J66" s="871">
        <f>'[9]Диспан.набл.взрослых Пр.16- 23'!J66+'[9]Уточнение Пр.17-23  '!J66</f>
        <v>0</v>
      </c>
      <c r="K66" s="871">
        <f>'[9]Диспан.набл.взрослых Пр.16- 23'!K66+'[9]Уточнение Пр.17-23  '!K66</f>
        <v>3</v>
      </c>
      <c r="L66" s="871">
        <f>'[9]Диспан.набл.взрослых Пр.16- 23'!L66+'[9]Уточнение Пр.17-23  '!L66</f>
        <v>1</v>
      </c>
      <c r="M66" s="871">
        <f>'[9]Диспан.набл.взрослых Пр.16- 23'!M66+'[9]Уточнение Пр.17-23  '!M66</f>
        <v>0</v>
      </c>
      <c r="N66" s="871">
        <f>'[9]Диспан.набл.взрослых Пр.16- 23'!N66+'[9]Уточнение Пр.17-23  '!N66</f>
        <v>9</v>
      </c>
      <c r="O66" s="871">
        <f>'[9]Диспан.набл.взрослых Пр.16- 23'!O66+'[9]Уточнение Пр.17-23  '!O66</f>
        <v>1</v>
      </c>
      <c r="P66" s="871">
        <f>'[9]Диспан.набл.взрослых Пр.16- 23'!P66+'[9]Уточнение Пр.17-23  '!P66</f>
        <v>0</v>
      </c>
      <c r="Q66" s="871">
        <f>'[9]Диспан.набл.взрослых Пр.16- 23'!Q66+'[9]Уточнение Пр.17-23  '!Q66</f>
        <v>9</v>
      </c>
      <c r="R66" s="871">
        <f>'[9]Диспан.набл.взрослых Пр.16- 23'!R66+'[9]Уточнение Пр.17-23  '!R66</f>
        <v>0</v>
      </c>
      <c r="S66" s="871">
        <f t="shared" si="4"/>
        <v>5866</v>
      </c>
      <c r="T66" s="870">
        <f>D66-'[9]Диспан.набл.взрослых Пр.16- 23'!D66</f>
        <v>0</v>
      </c>
    </row>
    <row r="67" spans="1:20" x14ac:dyDescent="0.25">
      <c r="A67" s="873">
        <v>54</v>
      </c>
      <c r="B67" s="877" t="s">
        <v>121</v>
      </c>
      <c r="C67" s="567" t="s">
        <v>122</v>
      </c>
      <c r="D67" s="871">
        <f t="shared" si="3"/>
        <v>0</v>
      </c>
      <c r="E67" s="871">
        <f>'[9]Диспан.набл.взрослых Пр.16- 23'!E67+'[9]Уточнение Пр.17-23  '!E67</f>
        <v>0</v>
      </c>
      <c r="F67" s="871">
        <f>'[9]Диспан.набл.взрослых Пр.16- 23'!F67+'[9]Уточнение Пр.17-23  '!F67</f>
        <v>0</v>
      </c>
      <c r="G67" s="871">
        <f>'[9]Диспан.набл.взрослых Пр.16- 23'!G67+'[9]Уточнение Пр.17-23  '!G67</f>
        <v>0</v>
      </c>
      <c r="H67" s="871">
        <f>'[9]Диспан.набл.взрослых Пр.16- 23'!H67+'[9]Уточнение Пр.17-23  '!H67</f>
        <v>0</v>
      </c>
      <c r="I67" s="871">
        <f>'[9]Диспан.набл.взрослых Пр.16- 23'!I67+'[9]Уточнение Пр.17-23  '!I67</f>
        <v>0</v>
      </c>
      <c r="J67" s="871">
        <f>'[9]Диспан.набл.взрослых Пр.16- 23'!J67+'[9]Уточнение Пр.17-23  '!J67</f>
        <v>0</v>
      </c>
      <c r="K67" s="871">
        <f>'[9]Диспан.набл.взрослых Пр.16- 23'!K67+'[9]Уточнение Пр.17-23  '!K67</f>
        <v>0</v>
      </c>
      <c r="L67" s="871">
        <f>'[9]Диспан.набл.взрослых Пр.16- 23'!L67+'[9]Уточнение Пр.17-23  '!L67</f>
        <v>0</v>
      </c>
      <c r="M67" s="871">
        <f>'[9]Диспан.набл.взрослых Пр.16- 23'!M67+'[9]Уточнение Пр.17-23  '!M67</f>
        <v>0</v>
      </c>
      <c r="N67" s="871">
        <f>'[9]Диспан.набл.взрослых Пр.16- 23'!N67+'[9]Уточнение Пр.17-23  '!N67</f>
        <v>0</v>
      </c>
      <c r="O67" s="871">
        <f>'[9]Диспан.набл.взрослых Пр.16- 23'!O67+'[9]Уточнение Пр.17-23  '!O67</f>
        <v>0</v>
      </c>
      <c r="P67" s="871">
        <f>'[9]Диспан.набл.взрослых Пр.16- 23'!P67+'[9]Уточнение Пр.17-23  '!P67</f>
        <v>0</v>
      </c>
      <c r="Q67" s="871">
        <f>'[9]Диспан.набл.взрослых Пр.16- 23'!Q67+'[9]Уточнение Пр.17-23  '!Q67</f>
        <v>0</v>
      </c>
      <c r="R67" s="871">
        <f>'[9]Диспан.набл.взрослых Пр.16- 23'!R67+'[9]Уточнение Пр.17-23  '!R67</f>
        <v>0</v>
      </c>
      <c r="S67" s="871">
        <f t="shared" si="4"/>
        <v>0</v>
      </c>
      <c r="T67" s="870">
        <f>D67-'[9]Диспан.набл.взрослых Пр.16- 23'!D67</f>
        <v>0</v>
      </c>
    </row>
    <row r="68" spans="1:20" x14ac:dyDescent="0.25">
      <c r="A68" s="873">
        <v>55</v>
      </c>
      <c r="B68" s="877" t="s">
        <v>123</v>
      </c>
      <c r="C68" s="567" t="s">
        <v>124</v>
      </c>
      <c r="D68" s="871">
        <f t="shared" si="3"/>
        <v>0</v>
      </c>
      <c r="E68" s="871">
        <f>'[9]Диспан.набл.взрослых Пр.16- 23'!E68+'[9]Уточнение Пр.17-23  '!E68</f>
        <v>0</v>
      </c>
      <c r="F68" s="871">
        <f>'[9]Диспан.набл.взрослых Пр.16- 23'!F68+'[9]Уточнение Пр.17-23  '!F68</f>
        <v>0</v>
      </c>
      <c r="G68" s="871">
        <f>'[9]Диспан.набл.взрослых Пр.16- 23'!G68+'[9]Уточнение Пр.17-23  '!G68</f>
        <v>0</v>
      </c>
      <c r="H68" s="871">
        <f>'[9]Диспан.набл.взрослых Пр.16- 23'!H68+'[9]Уточнение Пр.17-23  '!H68</f>
        <v>0</v>
      </c>
      <c r="I68" s="871">
        <f>'[9]Диспан.набл.взрослых Пр.16- 23'!I68+'[9]Уточнение Пр.17-23  '!I68</f>
        <v>0</v>
      </c>
      <c r="J68" s="871">
        <f>'[9]Диспан.набл.взрослых Пр.16- 23'!J68+'[9]Уточнение Пр.17-23  '!J68</f>
        <v>0</v>
      </c>
      <c r="K68" s="871">
        <f>'[9]Диспан.набл.взрослых Пр.16- 23'!K68+'[9]Уточнение Пр.17-23  '!K68</f>
        <v>0</v>
      </c>
      <c r="L68" s="871">
        <f>'[9]Диспан.набл.взрослых Пр.16- 23'!L68+'[9]Уточнение Пр.17-23  '!L68</f>
        <v>0</v>
      </c>
      <c r="M68" s="871">
        <f>'[9]Диспан.набл.взрослых Пр.16- 23'!M68+'[9]Уточнение Пр.17-23  '!M68</f>
        <v>0</v>
      </c>
      <c r="N68" s="871">
        <f>'[9]Диспан.набл.взрослых Пр.16- 23'!N68+'[9]Уточнение Пр.17-23  '!N68</f>
        <v>0</v>
      </c>
      <c r="O68" s="871">
        <f>'[9]Диспан.набл.взрослых Пр.16- 23'!O68+'[9]Уточнение Пр.17-23  '!O68</f>
        <v>0</v>
      </c>
      <c r="P68" s="871">
        <f>'[9]Диспан.набл.взрослых Пр.16- 23'!P68+'[9]Уточнение Пр.17-23  '!P68</f>
        <v>0</v>
      </c>
      <c r="Q68" s="871">
        <f>'[9]Диспан.набл.взрослых Пр.16- 23'!Q68+'[9]Уточнение Пр.17-23  '!Q68</f>
        <v>0</v>
      </c>
      <c r="R68" s="871">
        <f>'[9]Диспан.набл.взрослых Пр.16- 23'!R68+'[9]Уточнение Пр.17-23  '!R68</f>
        <v>0</v>
      </c>
      <c r="S68" s="871">
        <f t="shared" si="4"/>
        <v>0</v>
      </c>
      <c r="T68" s="870">
        <f>D68-'[9]Диспан.набл.взрослых Пр.16- 23'!D68</f>
        <v>0</v>
      </c>
    </row>
    <row r="69" spans="1:20" x14ac:dyDescent="0.25">
      <c r="A69" s="873">
        <v>56</v>
      </c>
      <c r="B69" s="566" t="s">
        <v>125</v>
      </c>
      <c r="C69" s="1" t="s">
        <v>126</v>
      </c>
      <c r="D69" s="871">
        <f t="shared" si="3"/>
        <v>0</v>
      </c>
      <c r="E69" s="871">
        <f>'[9]Диспан.набл.взрослых Пр.16- 23'!E69+'[9]Уточнение Пр.17-23  '!E69</f>
        <v>0</v>
      </c>
      <c r="F69" s="871">
        <f>'[9]Диспан.набл.взрослых Пр.16- 23'!F69+'[9]Уточнение Пр.17-23  '!F69</f>
        <v>0</v>
      </c>
      <c r="G69" s="871">
        <f>'[9]Диспан.набл.взрослых Пр.16- 23'!G69+'[9]Уточнение Пр.17-23  '!G69</f>
        <v>0</v>
      </c>
      <c r="H69" s="871">
        <f>'[9]Диспан.набл.взрослых Пр.16- 23'!H69+'[9]Уточнение Пр.17-23  '!H69</f>
        <v>0</v>
      </c>
      <c r="I69" s="871">
        <f>'[9]Диспан.набл.взрослых Пр.16- 23'!I69+'[9]Уточнение Пр.17-23  '!I69</f>
        <v>0</v>
      </c>
      <c r="J69" s="871">
        <f>'[9]Диспан.набл.взрослых Пр.16- 23'!J69+'[9]Уточнение Пр.17-23  '!J69</f>
        <v>0</v>
      </c>
      <c r="K69" s="871">
        <f>'[9]Диспан.набл.взрослых Пр.16- 23'!K69+'[9]Уточнение Пр.17-23  '!K69</f>
        <v>0</v>
      </c>
      <c r="L69" s="871">
        <f>'[9]Диспан.набл.взрослых Пр.16- 23'!L69+'[9]Уточнение Пр.17-23  '!L69</f>
        <v>0</v>
      </c>
      <c r="M69" s="871">
        <f>'[9]Диспан.набл.взрослых Пр.16- 23'!M69+'[9]Уточнение Пр.17-23  '!M69</f>
        <v>0</v>
      </c>
      <c r="N69" s="871">
        <f>'[9]Диспан.набл.взрослых Пр.16- 23'!N69+'[9]Уточнение Пр.17-23  '!N69</f>
        <v>0</v>
      </c>
      <c r="O69" s="871">
        <f>'[9]Диспан.набл.взрослых Пр.16- 23'!O69+'[9]Уточнение Пр.17-23  '!O69</f>
        <v>0</v>
      </c>
      <c r="P69" s="871">
        <f>'[9]Диспан.набл.взрослых Пр.16- 23'!P69+'[9]Уточнение Пр.17-23  '!P69</f>
        <v>0</v>
      </c>
      <c r="Q69" s="871">
        <f>'[9]Диспан.набл.взрослых Пр.16- 23'!Q69+'[9]Уточнение Пр.17-23  '!Q69</f>
        <v>0</v>
      </c>
      <c r="R69" s="871">
        <f>'[9]Диспан.набл.взрослых Пр.16- 23'!R69+'[9]Уточнение Пр.17-23  '!R69</f>
        <v>0</v>
      </c>
      <c r="S69" s="871">
        <f t="shared" si="4"/>
        <v>0</v>
      </c>
      <c r="T69" s="870">
        <f>D69-'[9]Диспан.набл.взрослых Пр.16- 23'!D69</f>
        <v>0</v>
      </c>
    </row>
    <row r="70" spans="1:20" ht="24" x14ac:dyDescent="0.25">
      <c r="A70" s="873">
        <v>57</v>
      </c>
      <c r="B70" s="877" t="s">
        <v>127</v>
      </c>
      <c r="C70" s="567" t="s">
        <v>128</v>
      </c>
      <c r="D70" s="871">
        <f t="shared" si="3"/>
        <v>0</v>
      </c>
      <c r="E70" s="871">
        <f>'[9]Диспан.набл.взрослых Пр.16- 23'!E70+'[9]Уточнение Пр.17-23  '!E70</f>
        <v>0</v>
      </c>
      <c r="F70" s="871">
        <f>'[9]Диспан.набл.взрослых Пр.16- 23'!F70+'[9]Уточнение Пр.17-23  '!F70</f>
        <v>0</v>
      </c>
      <c r="G70" s="871">
        <f>'[9]Диспан.набл.взрослых Пр.16- 23'!G70+'[9]Уточнение Пр.17-23  '!G70</f>
        <v>0</v>
      </c>
      <c r="H70" s="871">
        <f>'[9]Диспан.набл.взрослых Пр.16- 23'!H70+'[9]Уточнение Пр.17-23  '!H70</f>
        <v>0</v>
      </c>
      <c r="I70" s="871">
        <f>'[9]Диспан.набл.взрослых Пр.16- 23'!I70+'[9]Уточнение Пр.17-23  '!I70</f>
        <v>0</v>
      </c>
      <c r="J70" s="871">
        <f>'[9]Диспан.набл.взрослых Пр.16- 23'!J70+'[9]Уточнение Пр.17-23  '!J70</f>
        <v>0</v>
      </c>
      <c r="K70" s="871">
        <f>'[9]Диспан.набл.взрослых Пр.16- 23'!K70+'[9]Уточнение Пр.17-23  '!K70</f>
        <v>0</v>
      </c>
      <c r="L70" s="871">
        <f>'[9]Диспан.набл.взрослых Пр.16- 23'!L70+'[9]Уточнение Пр.17-23  '!L70</f>
        <v>0</v>
      </c>
      <c r="M70" s="871">
        <f>'[9]Диспан.набл.взрослых Пр.16- 23'!M70+'[9]Уточнение Пр.17-23  '!M70</f>
        <v>0</v>
      </c>
      <c r="N70" s="871">
        <f>'[9]Диспан.набл.взрослых Пр.16- 23'!N70+'[9]Уточнение Пр.17-23  '!N70</f>
        <v>0</v>
      </c>
      <c r="O70" s="871">
        <f>'[9]Диспан.набл.взрослых Пр.16- 23'!O70+'[9]Уточнение Пр.17-23  '!O70</f>
        <v>0</v>
      </c>
      <c r="P70" s="871">
        <f>'[9]Диспан.набл.взрослых Пр.16- 23'!P70+'[9]Уточнение Пр.17-23  '!P70</f>
        <v>0</v>
      </c>
      <c r="Q70" s="871">
        <f>'[9]Диспан.набл.взрослых Пр.16- 23'!Q70+'[9]Уточнение Пр.17-23  '!Q70</f>
        <v>0</v>
      </c>
      <c r="R70" s="871">
        <f>'[9]Диспан.набл.взрослых Пр.16- 23'!R70+'[9]Уточнение Пр.17-23  '!R70</f>
        <v>0</v>
      </c>
      <c r="S70" s="871">
        <f t="shared" si="4"/>
        <v>0</v>
      </c>
      <c r="T70" s="870">
        <f>D70-'[9]Диспан.набл.взрослых Пр.16- 23'!D70</f>
        <v>0</v>
      </c>
    </row>
    <row r="71" spans="1:20" ht="24" x14ac:dyDescent="0.25">
      <c r="A71" s="873">
        <v>58</v>
      </c>
      <c r="B71" s="876" t="s">
        <v>129</v>
      </c>
      <c r="C71" s="567" t="s">
        <v>130</v>
      </c>
      <c r="D71" s="871">
        <f t="shared" si="3"/>
        <v>0</v>
      </c>
      <c r="E71" s="871">
        <f>'[9]Диспан.набл.взрослых Пр.16- 23'!E71+'[9]Уточнение Пр.17-23  '!E71</f>
        <v>0</v>
      </c>
      <c r="F71" s="871">
        <f>'[9]Диспан.набл.взрослых Пр.16- 23'!F71+'[9]Уточнение Пр.17-23  '!F71</f>
        <v>0</v>
      </c>
      <c r="G71" s="871">
        <f>'[9]Диспан.набл.взрослых Пр.16- 23'!G71+'[9]Уточнение Пр.17-23  '!G71</f>
        <v>0</v>
      </c>
      <c r="H71" s="871">
        <f>'[9]Диспан.набл.взрослых Пр.16- 23'!H71+'[9]Уточнение Пр.17-23  '!H71</f>
        <v>0</v>
      </c>
      <c r="I71" s="871">
        <f>'[9]Диспан.набл.взрослых Пр.16- 23'!I71+'[9]Уточнение Пр.17-23  '!I71</f>
        <v>0</v>
      </c>
      <c r="J71" s="871">
        <f>'[9]Диспан.набл.взрослых Пр.16- 23'!J71+'[9]Уточнение Пр.17-23  '!J71</f>
        <v>0</v>
      </c>
      <c r="K71" s="871">
        <f>'[9]Диспан.набл.взрослых Пр.16- 23'!K71+'[9]Уточнение Пр.17-23  '!K71</f>
        <v>0</v>
      </c>
      <c r="L71" s="871">
        <f>'[9]Диспан.набл.взрослых Пр.16- 23'!L71+'[9]Уточнение Пр.17-23  '!L71</f>
        <v>0</v>
      </c>
      <c r="M71" s="871">
        <f>'[9]Диспан.набл.взрослых Пр.16- 23'!M71+'[9]Уточнение Пр.17-23  '!M71</f>
        <v>0</v>
      </c>
      <c r="N71" s="871">
        <f>'[9]Диспан.набл.взрослых Пр.16- 23'!N71+'[9]Уточнение Пр.17-23  '!N71</f>
        <v>0</v>
      </c>
      <c r="O71" s="871">
        <f>'[9]Диспан.набл.взрослых Пр.16- 23'!O71+'[9]Уточнение Пр.17-23  '!O71</f>
        <v>0</v>
      </c>
      <c r="P71" s="871">
        <f>'[9]Диспан.набл.взрослых Пр.16- 23'!P71+'[9]Уточнение Пр.17-23  '!P71</f>
        <v>0</v>
      </c>
      <c r="Q71" s="871">
        <f>'[9]Диспан.набл.взрослых Пр.16- 23'!Q71+'[9]Уточнение Пр.17-23  '!Q71</f>
        <v>0</v>
      </c>
      <c r="R71" s="871">
        <f>'[9]Диспан.набл.взрослых Пр.16- 23'!R71+'[9]Уточнение Пр.17-23  '!R71</f>
        <v>0</v>
      </c>
      <c r="S71" s="871">
        <f t="shared" si="4"/>
        <v>0</v>
      </c>
      <c r="T71" s="870">
        <f>D71-'[9]Диспан.набл.взрослых Пр.16- 23'!D71</f>
        <v>0</v>
      </c>
    </row>
    <row r="72" spans="1:20" ht="24" x14ac:dyDescent="0.25">
      <c r="A72" s="873">
        <v>59</v>
      </c>
      <c r="B72" s="878" t="s">
        <v>131</v>
      </c>
      <c r="C72" s="1" t="s">
        <v>132</v>
      </c>
      <c r="D72" s="871">
        <f t="shared" si="3"/>
        <v>0</v>
      </c>
      <c r="E72" s="871">
        <f>'[9]Диспан.набл.взрослых Пр.16- 23'!E72+'[9]Уточнение Пр.17-23  '!E72</f>
        <v>0</v>
      </c>
      <c r="F72" s="871">
        <f>'[9]Диспан.набл.взрослых Пр.16- 23'!F72+'[9]Уточнение Пр.17-23  '!F72</f>
        <v>0</v>
      </c>
      <c r="G72" s="871">
        <f>'[9]Диспан.набл.взрослых Пр.16- 23'!G72+'[9]Уточнение Пр.17-23  '!G72</f>
        <v>0</v>
      </c>
      <c r="H72" s="871">
        <f>'[9]Диспан.набл.взрослых Пр.16- 23'!H72+'[9]Уточнение Пр.17-23  '!H72</f>
        <v>0</v>
      </c>
      <c r="I72" s="871">
        <f>'[9]Диспан.набл.взрослых Пр.16- 23'!I72+'[9]Уточнение Пр.17-23  '!I72</f>
        <v>0</v>
      </c>
      <c r="J72" s="871">
        <f>'[9]Диспан.набл.взрослых Пр.16- 23'!J72+'[9]Уточнение Пр.17-23  '!J72</f>
        <v>0</v>
      </c>
      <c r="K72" s="871">
        <f>'[9]Диспан.набл.взрослых Пр.16- 23'!K72+'[9]Уточнение Пр.17-23  '!K72</f>
        <v>0</v>
      </c>
      <c r="L72" s="871">
        <f>'[9]Диспан.набл.взрослых Пр.16- 23'!L72+'[9]Уточнение Пр.17-23  '!L72</f>
        <v>0</v>
      </c>
      <c r="M72" s="871">
        <f>'[9]Диспан.набл.взрослых Пр.16- 23'!M72+'[9]Уточнение Пр.17-23  '!M72</f>
        <v>0</v>
      </c>
      <c r="N72" s="871">
        <f>'[9]Диспан.набл.взрослых Пр.16- 23'!N72+'[9]Уточнение Пр.17-23  '!N72</f>
        <v>0</v>
      </c>
      <c r="O72" s="871">
        <f>'[9]Диспан.набл.взрослых Пр.16- 23'!O72+'[9]Уточнение Пр.17-23  '!O72</f>
        <v>0</v>
      </c>
      <c r="P72" s="871">
        <f>'[9]Диспан.набл.взрослых Пр.16- 23'!P72+'[9]Уточнение Пр.17-23  '!P72</f>
        <v>0</v>
      </c>
      <c r="Q72" s="871">
        <f>'[9]Диспан.набл.взрослых Пр.16- 23'!Q72+'[9]Уточнение Пр.17-23  '!Q72</f>
        <v>0</v>
      </c>
      <c r="R72" s="871">
        <f>'[9]Диспан.набл.взрослых Пр.16- 23'!R72+'[9]Уточнение Пр.17-23  '!R72</f>
        <v>0</v>
      </c>
      <c r="S72" s="871">
        <f t="shared" si="4"/>
        <v>0</v>
      </c>
      <c r="T72" s="870">
        <f>D72-'[9]Диспан.набл.взрослых Пр.16- 23'!D72</f>
        <v>0</v>
      </c>
    </row>
    <row r="73" spans="1:20" ht="24" x14ac:dyDescent="0.25">
      <c r="A73" s="873">
        <v>60</v>
      </c>
      <c r="B73" s="876" t="s">
        <v>133</v>
      </c>
      <c r="C73" s="567" t="s">
        <v>134</v>
      </c>
      <c r="D73" s="871">
        <f t="shared" si="3"/>
        <v>0</v>
      </c>
      <c r="E73" s="871">
        <f>'[9]Диспан.набл.взрослых Пр.16- 23'!E73+'[9]Уточнение Пр.17-23  '!E73</f>
        <v>0</v>
      </c>
      <c r="F73" s="871">
        <f>'[9]Диспан.набл.взрослых Пр.16- 23'!F73+'[9]Уточнение Пр.17-23  '!F73</f>
        <v>0</v>
      </c>
      <c r="G73" s="871">
        <f>'[9]Диспан.набл.взрослых Пр.16- 23'!G73+'[9]Уточнение Пр.17-23  '!G73</f>
        <v>0</v>
      </c>
      <c r="H73" s="871">
        <f>'[9]Диспан.набл.взрослых Пр.16- 23'!H73+'[9]Уточнение Пр.17-23  '!H73</f>
        <v>0</v>
      </c>
      <c r="I73" s="871">
        <f>'[9]Диспан.набл.взрослых Пр.16- 23'!I73+'[9]Уточнение Пр.17-23  '!I73</f>
        <v>0</v>
      </c>
      <c r="J73" s="871">
        <f>'[9]Диспан.набл.взрослых Пр.16- 23'!J73+'[9]Уточнение Пр.17-23  '!J73</f>
        <v>0</v>
      </c>
      <c r="K73" s="871">
        <f>'[9]Диспан.набл.взрослых Пр.16- 23'!K73+'[9]Уточнение Пр.17-23  '!K73</f>
        <v>0</v>
      </c>
      <c r="L73" s="871">
        <f>'[9]Диспан.набл.взрослых Пр.16- 23'!L73+'[9]Уточнение Пр.17-23  '!L73</f>
        <v>0</v>
      </c>
      <c r="M73" s="871">
        <f>'[9]Диспан.набл.взрослых Пр.16- 23'!M73+'[9]Уточнение Пр.17-23  '!M73</f>
        <v>0</v>
      </c>
      <c r="N73" s="871">
        <f>'[9]Диспан.набл.взрослых Пр.16- 23'!N73+'[9]Уточнение Пр.17-23  '!N73</f>
        <v>0</v>
      </c>
      <c r="O73" s="871">
        <f>'[9]Диспан.набл.взрослых Пр.16- 23'!O73+'[9]Уточнение Пр.17-23  '!O73</f>
        <v>0</v>
      </c>
      <c r="P73" s="871">
        <f>'[9]Диспан.набл.взрослых Пр.16- 23'!P73+'[9]Уточнение Пр.17-23  '!P73</f>
        <v>0</v>
      </c>
      <c r="Q73" s="871">
        <f>'[9]Диспан.набл.взрослых Пр.16- 23'!Q73+'[9]Уточнение Пр.17-23  '!Q73</f>
        <v>0</v>
      </c>
      <c r="R73" s="871">
        <f>'[9]Диспан.набл.взрослых Пр.16- 23'!R73+'[9]Уточнение Пр.17-23  '!R73</f>
        <v>0</v>
      </c>
      <c r="S73" s="871">
        <f t="shared" si="4"/>
        <v>0</v>
      </c>
      <c r="T73" s="870">
        <f>D73-'[9]Диспан.набл.взрослых Пр.16- 23'!D73</f>
        <v>0</v>
      </c>
    </row>
    <row r="74" spans="1:20" ht="24" x14ac:dyDescent="0.25">
      <c r="A74" s="873">
        <v>61</v>
      </c>
      <c r="B74" s="877" t="s">
        <v>135</v>
      </c>
      <c r="C74" s="567" t="s">
        <v>136</v>
      </c>
      <c r="D74" s="871">
        <f t="shared" si="3"/>
        <v>0</v>
      </c>
      <c r="E74" s="871">
        <f>'[9]Диспан.набл.взрослых Пр.16- 23'!E74+'[9]Уточнение Пр.17-23  '!E74</f>
        <v>0</v>
      </c>
      <c r="F74" s="871">
        <f>'[9]Диспан.набл.взрослых Пр.16- 23'!F74+'[9]Уточнение Пр.17-23  '!F74</f>
        <v>0</v>
      </c>
      <c r="G74" s="871">
        <f>'[9]Диспан.набл.взрослых Пр.16- 23'!G74+'[9]Уточнение Пр.17-23  '!G74</f>
        <v>0</v>
      </c>
      <c r="H74" s="871">
        <f>'[9]Диспан.набл.взрослых Пр.16- 23'!H74+'[9]Уточнение Пр.17-23  '!H74</f>
        <v>0</v>
      </c>
      <c r="I74" s="871">
        <f>'[9]Диспан.набл.взрослых Пр.16- 23'!I74+'[9]Уточнение Пр.17-23  '!I74</f>
        <v>0</v>
      </c>
      <c r="J74" s="871">
        <f>'[9]Диспан.набл.взрослых Пр.16- 23'!J74+'[9]Уточнение Пр.17-23  '!J74</f>
        <v>0</v>
      </c>
      <c r="K74" s="871">
        <f>'[9]Диспан.набл.взрослых Пр.16- 23'!K74+'[9]Уточнение Пр.17-23  '!K74</f>
        <v>0</v>
      </c>
      <c r="L74" s="871">
        <f>'[9]Диспан.набл.взрослых Пр.16- 23'!L74+'[9]Уточнение Пр.17-23  '!L74</f>
        <v>0</v>
      </c>
      <c r="M74" s="871">
        <f>'[9]Диспан.набл.взрослых Пр.16- 23'!M74+'[9]Уточнение Пр.17-23  '!M74</f>
        <v>0</v>
      </c>
      <c r="N74" s="871">
        <f>'[9]Диспан.набл.взрослых Пр.16- 23'!N74+'[9]Уточнение Пр.17-23  '!N74</f>
        <v>0</v>
      </c>
      <c r="O74" s="871">
        <f>'[9]Диспан.набл.взрослых Пр.16- 23'!O74+'[9]Уточнение Пр.17-23  '!O74</f>
        <v>0</v>
      </c>
      <c r="P74" s="871">
        <f>'[9]Диспан.набл.взрослых Пр.16- 23'!P74+'[9]Уточнение Пр.17-23  '!P74</f>
        <v>0</v>
      </c>
      <c r="Q74" s="871">
        <f>'[9]Диспан.набл.взрослых Пр.16- 23'!Q74+'[9]Уточнение Пр.17-23  '!Q74</f>
        <v>0</v>
      </c>
      <c r="R74" s="871">
        <f>'[9]Диспан.набл.взрослых Пр.16- 23'!R74+'[9]Уточнение Пр.17-23  '!R74</f>
        <v>0</v>
      </c>
      <c r="S74" s="871">
        <f t="shared" si="4"/>
        <v>0</v>
      </c>
      <c r="T74" s="870">
        <f>D74-'[9]Диспан.набл.взрослых Пр.16- 23'!D74</f>
        <v>0</v>
      </c>
    </row>
    <row r="75" spans="1:20" ht="24" x14ac:dyDescent="0.25">
      <c r="A75" s="873">
        <v>62</v>
      </c>
      <c r="B75" s="874" t="s">
        <v>137</v>
      </c>
      <c r="C75" s="567" t="s">
        <v>138</v>
      </c>
      <c r="D75" s="871">
        <f t="shared" si="3"/>
        <v>0</v>
      </c>
      <c r="E75" s="871">
        <f>'[9]Диспан.набл.взрослых Пр.16- 23'!E75+'[9]Уточнение Пр.17-23  '!E75</f>
        <v>0</v>
      </c>
      <c r="F75" s="871">
        <f>'[9]Диспан.набл.взрослых Пр.16- 23'!F75+'[9]Уточнение Пр.17-23  '!F75</f>
        <v>0</v>
      </c>
      <c r="G75" s="871">
        <f>'[9]Диспан.набл.взрослых Пр.16- 23'!G75+'[9]Уточнение Пр.17-23  '!G75</f>
        <v>0</v>
      </c>
      <c r="H75" s="871">
        <f>'[9]Диспан.набл.взрослых Пр.16- 23'!H75+'[9]Уточнение Пр.17-23  '!H75</f>
        <v>0</v>
      </c>
      <c r="I75" s="871">
        <f>'[9]Диспан.набл.взрослых Пр.16- 23'!I75+'[9]Уточнение Пр.17-23  '!I75</f>
        <v>0</v>
      </c>
      <c r="J75" s="871">
        <f>'[9]Диспан.набл.взрослых Пр.16- 23'!J75+'[9]Уточнение Пр.17-23  '!J75</f>
        <v>0</v>
      </c>
      <c r="K75" s="871">
        <f>'[9]Диспан.набл.взрослых Пр.16- 23'!K75+'[9]Уточнение Пр.17-23  '!K75</f>
        <v>0</v>
      </c>
      <c r="L75" s="871">
        <f>'[9]Диспан.набл.взрослых Пр.16- 23'!L75+'[9]Уточнение Пр.17-23  '!L75</f>
        <v>0</v>
      </c>
      <c r="M75" s="871">
        <f>'[9]Диспан.набл.взрослых Пр.16- 23'!M75+'[9]Уточнение Пр.17-23  '!M75</f>
        <v>0</v>
      </c>
      <c r="N75" s="871">
        <f>'[9]Диспан.набл.взрослых Пр.16- 23'!N75+'[9]Уточнение Пр.17-23  '!N75</f>
        <v>0</v>
      </c>
      <c r="O75" s="871">
        <f>'[9]Диспан.набл.взрослых Пр.16- 23'!O75+'[9]Уточнение Пр.17-23  '!O75</f>
        <v>0</v>
      </c>
      <c r="P75" s="871">
        <f>'[9]Диспан.набл.взрослых Пр.16- 23'!P75+'[9]Уточнение Пр.17-23  '!P75</f>
        <v>0</v>
      </c>
      <c r="Q75" s="871">
        <f>'[9]Диспан.набл.взрослых Пр.16- 23'!Q75+'[9]Уточнение Пр.17-23  '!Q75</f>
        <v>0</v>
      </c>
      <c r="R75" s="871">
        <f>'[9]Диспан.набл.взрослых Пр.16- 23'!R75+'[9]Уточнение Пр.17-23  '!R75</f>
        <v>0</v>
      </c>
      <c r="S75" s="871">
        <f t="shared" si="4"/>
        <v>0</v>
      </c>
      <c r="T75" s="870">
        <f>D75-'[9]Диспан.набл.взрослых Пр.16- 23'!D75</f>
        <v>0</v>
      </c>
    </row>
    <row r="76" spans="1:20" ht="24" x14ac:dyDescent="0.25">
      <c r="A76" s="873">
        <v>63</v>
      </c>
      <c r="B76" s="874" t="s">
        <v>139</v>
      </c>
      <c r="C76" s="567" t="s">
        <v>140</v>
      </c>
      <c r="D76" s="871">
        <f t="shared" si="3"/>
        <v>0</v>
      </c>
      <c r="E76" s="871">
        <f>'[9]Диспан.набл.взрослых Пр.16- 23'!E76+'[9]Уточнение Пр.17-23  '!E76</f>
        <v>0</v>
      </c>
      <c r="F76" s="871">
        <f>'[9]Диспан.набл.взрослых Пр.16- 23'!F76+'[9]Уточнение Пр.17-23  '!F76</f>
        <v>0</v>
      </c>
      <c r="G76" s="871">
        <f>'[9]Диспан.набл.взрослых Пр.16- 23'!G76+'[9]Уточнение Пр.17-23  '!G76</f>
        <v>0</v>
      </c>
      <c r="H76" s="871">
        <f>'[9]Диспан.набл.взрослых Пр.16- 23'!H76+'[9]Уточнение Пр.17-23  '!H76</f>
        <v>0</v>
      </c>
      <c r="I76" s="871">
        <f>'[9]Диспан.набл.взрослых Пр.16- 23'!I76+'[9]Уточнение Пр.17-23  '!I76</f>
        <v>0</v>
      </c>
      <c r="J76" s="871">
        <f>'[9]Диспан.набл.взрослых Пр.16- 23'!J76+'[9]Уточнение Пр.17-23  '!J76</f>
        <v>0</v>
      </c>
      <c r="K76" s="871">
        <f>'[9]Диспан.набл.взрослых Пр.16- 23'!K76+'[9]Уточнение Пр.17-23  '!K76</f>
        <v>0</v>
      </c>
      <c r="L76" s="871">
        <f>'[9]Диспан.набл.взрослых Пр.16- 23'!L76+'[9]Уточнение Пр.17-23  '!L76</f>
        <v>0</v>
      </c>
      <c r="M76" s="871">
        <f>'[9]Диспан.набл.взрослых Пр.16- 23'!M76+'[9]Уточнение Пр.17-23  '!M76</f>
        <v>0</v>
      </c>
      <c r="N76" s="871">
        <f>'[9]Диспан.набл.взрослых Пр.16- 23'!N76+'[9]Уточнение Пр.17-23  '!N76</f>
        <v>0</v>
      </c>
      <c r="O76" s="871">
        <f>'[9]Диспан.набл.взрослых Пр.16- 23'!O76+'[9]Уточнение Пр.17-23  '!O76</f>
        <v>0</v>
      </c>
      <c r="P76" s="871">
        <f>'[9]Диспан.набл.взрослых Пр.16- 23'!P76+'[9]Уточнение Пр.17-23  '!P76</f>
        <v>0</v>
      </c>
      <c r="Q76" s="871">
        <f>'[9]Диспан.набл.взрослых Пр.16- 23'!Q76+'[9]Уточнение Пр.17-23  '!Q76</f>
        <v>0</v>
      </c>
      <c r="R76" s="871">
        <f>'[9]Диспан.набл.взрослых Пр.16- 23'!R76+'[9]Уточнение Пр.17-23  '!R76</f>
        <v>0</v>
      </c>
      <c r="S76" s="871">
        <f t="shared" si="4"/>
        <v>0</v>
      </c>
      <c r="T76" s="870">
        <f>D76-'[9]Диспан.набл.взрослых Пр.16- 23'!D76</f>
        <v>0</v>
      </c>
    </row>
    <row r="77" spans="1:20" x14ac:dyDescent="0.25">
      <c r="A77" s="873">
        <v>64</v>
      </c>
      <c r="B77" s="876" t="s">
        <v>141</v>
      </c>
      <c r="C77" s="567" t="s">
        <v>142</v>
      </c>
      <c r="D77" s="871">
        <f t="shared" si="3"/>
        <v>26470</v>
      </c>
      <c r="E77" s="871">
        <f>'[9]Диспан.набл.взрослых Пр.16- 23'!E77+'[9]Уточнение Пр.17-23  '!E77</f>
        <v>23465</v>
      </c>
      <c r="F77" s="871">
        <f>'[9]Диспан.набл.взрослых Пр.16- 23'!F77+'[9]Уточнение Пр.17-23  '!F77</f>
        <v>1388</v>
      </c>
      <c r="G77" s="871">
        <f>'[9]Диспан.набл.взрослых Пр.16- 23'!G77+'[9]Уточнение Пр.17-23  '!G77</f>
        <v>1256</v>
      </c>
      <c r="H77" s="871">
        <f>'[9]Диспан.набл.взрослых Пр.16- 23'!H77+'[9]Уточнение Пр.17-23  '!H77</f>
        <v>59</v>
      </c>
      <c r="I77" s="871">
        <f>'[9]Диспан.набл.взрослых Пр.16- 23'!I77+'[9]Уточнение Пр.17-23  '!I77</f>
        <v>0</v>
      </c>
      <c r="J77" s="871">
        <f>'[9]Диспан.набл.взрослых Пр.16- 23'!J77+'[9]Уточнение Пр.17-23  '!J77</f>
        <v>4</v>
      </c>
      <c r="K77" s="871">
        <f>'[9]Диспан.набл.взрослых Пр.16- 23'!K77+'[9]Уточнение Пр.17-23  '!K77</f>
        <v>3</v>
      </c>
      <c r="L77" s="871">
        <f>'[9]Диспан.набл.взрослых Пр.16- 23'!L77+'[9]Уточнение Пр.17-23  '!L77</f>
        <v>0</v>
      </c>
      <c r="M77" s="871">
        <f>'[9]Диспан.набл.взрослых Пр.16- 23'!M77+'[9]Уточнение Пр.17-23  '!M77</f>
        <v>10</v>
      </c>
      <c r="N77" s="871">
        <f>'[9]Диспан.набл.взрослых Пр.16- 23'!N77+'[9]Уточнение Пр.17-23  '!N77</f>
        <v>87</v>
      </c>
      <c r="O77" s="871">
        <f>'[9]Диспан.набл.взрослых Пр.16- 23'!O77+'[9]Уточнение Пр.17-23  '!O77</f>
        <v>0</v>
      </c>
      <c r="P77" s="871">
        <f>'[9]Диспан.набл.взрослых Пр.16- 23'!P77+'[9]Уточнение Пр.17-23  '!P77</f>
        <v>0</v>
      </c>
      <c r="Q77" s="871">
        <f>'[9]Диспан.набл.взрослых Пр.16- 23'!Q77+'[9]Уточнение Пр.17-23  '!Q77</f>
        <v>189</v>
      </c>
      <c r="R77" s="871">
        <f>'[9]Диспан.набл.взрослых Пр.16- 23'!R77+'[9]Уточнение Пр.17-23  '!R77</f>
        <v>9</v>
      </c>
      <c r="S77" s="871">
        <f t="shared" si="4"/>
        <v>23465</v>
      </c>
      <c r="T77" s="870">
        <f>D77-'[9]Диспан.набл.взрослых Пр.16- 23'!D77</f>
        <v>0</v>
      </c>
    </row>
    <row r="78" spans="1:20" x14ac:dyDescent="0.25">
      <c r="A78" s="873">
        <v>65</v>
      </c>
      <c r="B78" s="876" t="s">
        <v>143</v>
      </c>
      <c r="C78" s="875" t="s">
        <v>144</v>
      </c>
      <c r="D78" s="871">
        <f t="shared" si="3"/>
        <v>30027</v>
      </c>
      <c r="E78" s="871">
        <f>'[9]Диспан.набл.взрослых Пр.16- 23'!E78+'[9]Уточнение Пр.17-23  '!E78</f>
        <v>27108</v>
      </c>
      <c r="F78" s="871">
        <f>'[9]Диспан.набл.взрослых Пр.16- 23'!F78+'[9]Уточнение Пр.17-23  '!F78</f>
        <v>2029</v>
      </c>
      <c r="G78" s="871">
        <f>'[9]Диспан.набл.взрослых Пр.16- 23'!G78+'[9]Уточнение Пр.17-23  '!G78</f>
        <v>388</v>
      </c>
      <c r="H78" s="871">
        <f>'[9]Диспан.набл.взрослых Пр.16- 23'!H78+'[9]Уточнение Пр.17-23  '!H78</f>
        <v>71</v>
      </c>
      <c r="I78" s="871">
        <f>'[9]Диспан.набл.взрослых Пр.16- 23'!I78+'[9]Уточнение Пр.17-23  '!I78</f>
        <v>0</v>
      </c>
      <c r="J78" s="871">
        <f>'[9]Диспан.набл.взрослых Пр.16- 23'!J78+'[9]Уточнение Пр.17-23  '!J78</f>
        <v>0</v>
      </c>
      <c r="K78" s="871">
        <f>'[9]Диспан.набл.взрослых Пр.16- 23'!K78+'[9]Уточнение Пр.17-23  '!K78</f>
        <v>6</v>
      </c>
      <c r="L78" s="871">
        <f>'[9]Диспан.набл.взрослых Пр.16- 23'!L78+'[9]Уточнение Пр.17-23  '!L78</f>
        <v>0</v>
      </c>
      <c r="M78" s="871">
        <f>'[9]Диспан.набл.взрослых Пр.16- 23'!M78+'[9]Уточнение Пр.17-23  '!M78</f>
        <v>10</v>
      </c>
      <c r="N78" s="871">
        <f>'[9]Диспан.набл.взрослых Пр.16- 23'!N78+'[9]Уточнение Пр.17-23  '!N78</f>
        <v>234</v>
      </c>
      <c r="O78" s="871">
        <f>'[9]Диспан.набл.взрослых Пр.16- 23'!O78+'[9]Уточнение Пр.17-23  '!O78</f>
        <v>0</v>
      </c>
      <c r="P78" s="871">
        <f>'[9]Диспан.набл.взрослых Пр.16- 23'!P78+'[9]Уточнение Пр.17-23  '!P78</f>
        <v>181</v>
      </c>
      <c r="Q78" s="871">
        <f>'[9]Диспан.набл.взрослых Пр.16- 23'!Q78+'[9]Уточнение Пр.17-23  '!Q78</f>
        <v>0</v>
      </c>
      <c r="R78" s="871">
        <f>'[9]Диспан.набл.взрослых Пр.16- 23'!R78+'[9]Уточнение Пр.17-23  '!R78</f>
        <v>0</v>
      </c>
      <c r="S78" s="871">
        <f t="shared" si="4"/>
        <v>27108</v>
      </c>
      <c r="T78" s="870">
        <f>D78-'[9]Диспан.набл.взрослых Пр.16- 23'!D78</f>
        <v>0</v>
      </c>
    </row>
    <row r="79" spans="1:20" x14ac:dyDescent="0.25">
      <c r="A79" s="873">
        <v>66</v>
      </c>
      <c r="B79" s="876" t="s">
        <v>145</v>
      </c>
      <c r="C79" s="567" t="s">
        <v>146</v>
      </c>
      <c r="D79" s="871">
        <f t="shared" ref="D79:D142" si="5">SUM(E79:R79)</f>
        <v>42131</v>
      </c>
      <c r="E79" s="871">
        <f>'[9]Диспан.набл.взрослых Пр.16- 23'!E79+'[9]Уточнение Пр.17-23  '!E79</f>
        <v>37165</v>
      </c>
      <c r="F79" s="871">
        <f>'[9]Диспан.набл.взрослых Пр.16- 23'!F79+'[9]Уточнение Пр.17-23  '!F79</f>
        <v>3105</v>
      </c>
      <c r="G79" s="871">
        <f>'[9]Диспан.набл.взрослых Пр.16- 23'!G79+'[9]Уточнение Пр.17-23  '!G79</f>
        <v>497</v>
      </c>
      <c r="H79" s="871">
        <f>'[9]Диспан.набл.взрослых Пр.16- 23'!H79+'[9]Уточнение Пр.17-23  '!H79</f>
        <v>710</v>
      </c>
      <c r="I79" s="871">
        <f>'[9]Диспан.набл.взрослых Пр.16- 23'!I79+'[9]Уточнение Пр.17-23  '!I79</f>
        <v>0</v>
      </c>
      <c r="J79" s="871">
        <f>'[9]Диспан.набл.взрослых Пр.16- 23'!J79+'[9]Уточнение Пр.17-23  '!J79</f>
        <v>0</v>
      </c>
      <c r="K79" s="871">
        <f>'[9]Диспан.набл.взрослых Пр.16- 23'!K79+'[9]Уточнение Пр.17-23  '!K79</f>
        <v>46</v>
      </c>
      <c r="L79" s="871">
        <f>'[9]Диспан.набл.взрослых Пр.16- 23'!L79+'[9]Уточнение Пр.17-23  '!L79</f>
        <v>3</v>
      </c>
      <c r="M79" s="871">
        <f>'[9]Диспан.набл.взрослых Пр.16- 23'!M79+'[9]Уточнение Пр.17-23  '!M79</f>
        <v>24</v>
      </c>
      <c r="N79" s="871">
        <f>'[9]Диспан.набл.взрослых Пр.16- 23'!N79+'[9]Уточнение Пр.17-23  '!N79</f>
        <v>147</v>
      </c>
      <c r="O79" s="871">
        <f>'[9]Диспан.набл.взрослых Пр.16- 23'!O79+'[9]Уточнение Пр.17-23  '!O79</f>
        <v>0</v>
      </c>
      <c r="P79" s="871">
        <f>'[9]Диспан.набл.взрослых Пр.16- 23'!P79+'[9]Уточнение Пр.17-23  '!P79</f>
        <v>199</v>
      </c>
      <c r="Q79" s="871">
        <f>'[9]Диспан.набл.взрослых Пр.16- 23'!Q79+'[9]Уточнение Пр.17-23  '!Q79</f>
        <v>235</v>
      </c>
      <c r="R79" s="871">
        <f>'[9]Диспан.набл.взрослых Пр.16- 23'!R79+'[9]Уточнение Пр.17-23  '!R79</f>
        <v>0</v>
      </c>
      <c r="S79" s="871">
        <f t="shared" ref="S79:S142" si="6">ROUND(E79/$E$13*$S$8,0)</f>
        <v>37165</v>
      </c>
      <c r="T79" s="870">
        <f>D79-'[9]Диспан.набл.взрослых Пр.16- 23'!D79</f>
        <v>0</v>
      </c>
    </row>
    <row r="80" spans="1:20" ht="24" x14ac:dyDescent="0.25">
      <c r="A80" s="873">
        <v>67</v>
      </c>
      <c r="B80" s="876" t="s">
        <v>147</v>
      </c>
      <c r="C80" s="567" t="s">
        <v>148</v>
      </c>
      <c r="D80" s="871">
        <f t="shared" si="5"/>
        <v>7</v>
      </c>
      <c r="E80" s="871">
        <f>'[9]Диспан.набл.взрослых Пр.16- 23'!E80+'[9]Уточнение Пр.17-23  '!E80</f>
        <v>0</v>
      </c>
      <c r="F80" s="871">
        <f>'[9]Диспан.набл.взрослых Пр.16- 23'!F80+'[9]Уточнение Пр.17-23  '!F80</f>
        <v>0</v>
      </c>
      <c r="G80" s="871">
        <f>'[9]Диспан.набл.взрослых Пр.16- 23'!G80+'[9]Уточнение Пр.17-23  '!G80</f>
        <v>0</v>
      </c>
      <c r="H80" s="871">
        <f>'[9]Диспан.набл.взрослых Пр.16- 23'!H80+'[9]Уточнение Пр.17-23  '!H80</f>
        <v>0</v>
      </c>
      <c r="I80" s="871">
        <f>'[9]Диспан.набл.взрослых Пр.16- 23'!I80+'[9]Уточнение Пр.17-23  '!I80</f>
        <v>0</v>
      </c>
      <c r="J80" s="871">
        <f>'[9]Диспан.набл.взрослых Пр.16- 23'!J80+'[9]Уточнение Пр.17-23  '!J80</f>
        <v>0</v>
      </c>
      <c r="K80" s="871">
        <f>'[9]Диспан.набл.взрослых Пр.16- 23'!K80+'[9]Уточнение Пр.17-23  '!K80</f>
        <v>0</v>
      </c>
      <c r="L80" s="871">
        <f>'[9]Диспан.набл.взрослых Пр.16- 23'!L80+'[9]Уточнение Пр.17-23  '!L80</f>
        <v>0</v>
      </c>
      <c r="M80" s="871">
        <f>'[9]Диспан.набл.взрослых Пр.16- 23'!M80+'[9]Уточнение Пр.17-23  '!M80</f>
        <v>0</v>
      </c>
      <c r="N80" s="871">
        <f>'[9]Диспан.набл.взрослых Пр.16- 23'!N80+'[9]Уточнение Пр.17-23  '!N80</f>
        <v>0</v>
      </c>
      <c r="O80" s="871">
        <f>'[9]Диспан.набл.взрослых Пр.16- 23'!O80+'[9]Уточнение Пр.17-23  '!O80</f>
        <v>7</v>
      </c>
      <c r="P80" s="871">
        <f>'[9]Диспан.набл.взрослых Пр.16- 23'!P80+'[9]Уточнение Пр.17-23  '!P80</f>
        <v>0</v>
      </c>
      <c r="Q80" s="871">
        <f>'[9]Диспан.набл.взрослых Пр.16- 23'!Q80+'[9]Уточнение Пр.17-23  '!Q80</f>
        <v>0</v>
      </c>
      <c r="R80" s="871">
        <f>'[9]Диспан.набл.взрослых Пр.16- 23'!R80+'[9]Уточнение Пр.17-23  '!R80</f>
        <v>0</v>
      </c>
      <c r="S80" s="871">
        <f t="shared" si="6"/>
        <v>0</v>
      </c>
      <c r="T80" s="870">
        <f>D80-'[9]Диспан.набл.взрослых Пр.16- 23'!D80</f>
        <v>0</v>
      </c>
    </row>
    <row r="81" spans="1:20" ht="24" x14ac:dyDescent="0.25">
      <c r="A81" s="873">
        <v>68</v>
      </c>
      <c r="B81" s="874" t="s">
        <v>149</v>
      </c>
      <c r="C81" s="567" t="s">
        <v>150</v>
      </c>
      <c r="D81" s="871">
        <f t="shared" si="5"/>
        <v>0</v>
      </c>
      <c r="E81" s="871">
        <f>'[9]Диспан.набл.взрослых Пр.16- 23'!E81+'[9]Уточнение Пр.17-23  '!E81</f>
        <v>0</v>
      </c>
      <c r="F81" s="871">
        <f>'[9]Диспан.набл.взрослых Пр.16- 23'!F81+'[9]Уточнение Пр.17-23  '!F81</f>
        <v>0</v>
      </c>
      <c r="G81" s="871">
        <f>'[9]Диспан.набл.взрослых Пр.16- 23'!G81+'[9]Уточнение Пр.17-23  '!G81</f>
        <v>0</v>
      </c>
      <c r="H81" s="871">
        <f>'[9]Диспан.набл.взрослых Пр.16- 23'!H81+'[9]Уточнение Пр.17-23  '!H81</f>
        <v>0</v>
      </c>
      <c r="I81" s="871">
        <f>'[9]Диспан.набл.взрослых Пр.16- 23'!I81+'[9]Уточнение Пр.17-23  '!I81</f>
        <v>0</v>
      </c>
      <c r="J81" s="871">
        <f>'[9]Диспан.набл.взрослых Пр.16- 23'!J81+'[9]Уточнение Пр.17-23  '!J81</f>
        <v>0</v>
      </c>
      <c r="K81" s="871">
        <f>'[9]Диспан.набл.взрослых Пр.16- 23'!K81+'[9]Уточнение Пр.17-23  '!K81</f>
        <v>0</v>
      </c>
      <c r="L81" s="871">
        <f>'[9]Диспан.набл.взрослых Пр.16- 23'!L81+'[9]Уточнение Пр.17-23  '!L81</f>
        <v>0</v>
      </c>
      <c r="M81" s="871">
        <f>'[9]Диспан.набл.взрослых Пр.16- 23'!M81+'[9]Уточнение Пр.17-23  '!M81</f>
        <v>0</v>
      </c>
      <c r="N81" s="871">
        <f>'[9]Диспан.набл.взрослых Пр.16- 23'!N81+'[9]Уточнение Пр.17-23  '!N81</f>
        <v>0</v>
      </c>
      <c r="O81" s="871">
        <f>'[9]Диспан.набл.взрослых Пр.16- 23'!O81+'[9]Уточнение Пр.17-23  '!O81</f>
        <v>0</v>
      </c>
      <c r="P81" s="871">
        <f>'[9]Диспан.набл.взрослых Пр.16- 23'!P81+'[9]Уточнение Пр.17-23  '!P81</f>
        <v>0</v>
      </c>
      <c r="Q81" s="871">
        <f>'[9]Диспан.набл.взрослых Пр.16- 23'!Q81+'[9]Уточнение Пр.17-23  '!Q81</f>
        <v>0</v>
      </c>
      <c r="R81" s="871">
        <f>'[9]Диспан.набл.взрослых Пр.16- 23'!R81+'[9]Уточнение Пр.17-23  '!R81</f>
        <v>0</v>
      </c>
      <c r="S81" s="871">
        <f t="shared" si="6"/>
        <v>0</v>
      </c>
      <c r="T81" s="870">
        <f>D81-'[9]Диспан.набл.взрослых Пр.16- 23'!D81</f>
        <v>0</v>
      </c>
    </row>
    <row r="82" spans="1:20" ht="24" x14ac:dyDescent="0.25">
      <c r="A82" s="873">
        <v>69</v>
      </c>
      <c r="B82" s="876" t="s">
        <v>151</v>
      </c>
      <c r="C82" s="567" t="s">
        <v>152</v>
      </c>
      <c r="D82" s="871">
        <f t="shared" si="5"/>
        <v>12</v>
      </c>
      <c r="E82" s="871">
        <f>'[9]Диспан.набл.взрослых Пр.16- 23'!E82+'[9]Уточнение Пр.17-23  '!E82</f>
        <v>0</v>
      </c>
      <c r="F82" s="871">
        <f>'[9]Диспан.набл.взрослых Пр.16- 23'!F82+'[9]Уточнение Пр.17-23  '!F82</f>
        <v>0</v>
      </c>
      <c r="G82" s="871">
        <f>'[9]Диспан.набл.взрослых Пр.16- 23'!G82+'[9]Уточнение Пр.17-23  '!G82</f>
        <v>0</v>
      </c>
      <c r="H82" s="871">
        <f>'[9]Диспан.набл.взрослых Пр.16- 23'!H82+'[9]Уточнение Пр.17-23  '!H82</f>
        <v>0</v>
      </c>
      <c r="I82" s="871">
        <f>'[9]Диспан.набл.взрослых Пр.16- 23'!I82+'[9]Уточнение Пр.17-23  '!I82</f>
        <v>0</v>
      </c>
      <c r="J82" s="871">
        <f>'[9]Диспан.набл.взрослых Пр.16- 23'!J82+'[9]Уточнение Пр.17-23  '!J82</f>
        <v>0</v>
      </c>
      <c r="K82" s="871">
        <f>'[9]Диспан.набл.взрослых Пр.16- 23'!K82+'[9]Уточнение Пр.17-23  '!K82</f>
        <v>0</v>
      </c>
      <c r="L82" s="871">
        <f>'[9]Диспан.набл.взрослых Пр.16- 23'!L82+'[9]Уточнение Пр.17-23  '!L82</f>
        <v>0</v>
      </c>
      <c r="M82" s="871">
        <f>'[9]Диспан.набл.взрослых Пр.16- 23'!M82+'[9]Уточнение Пр.17-23  '!M82</f>
        <v>0</v>
      </c>
      <c r="N82" s="871">
        <f>'[9]Диспан.набл.взрослых Пр.16- 23'!N82+'[9]Уточнение Пр.17-23  '!N82</f>
        <v>0</v>
      </c>
      <c r="O82" s="871">
        <f>'[9]Диспан.набл.взрослых Пр.16- 23'!O82+'[9]Уточнение Пр.17-23  '!O82</f>
        <v>12</v>
      </c>
      <c r="P82" s="871">
        <f>'[9]Диспан.набл.взрослых Пр.16- 23'!P82+'[9]Уточнение Пр.17-23  '!P82</f>
        <v>0</v>
      </c>
      <c r="Q82" s="871">
        <f>'[9]Диспан.набл.взрослых Пр.16- 23'!Q82+'[9]Уточнение Пр.17-23  '!Q82</f>
        <v>0</v>
      </c>
      <c r="R82" s="871">
        <f>'[9]Диспан.набл.взрослых Пр.16- 23'!R82+'[9]Уточнение Пр.17-23  '!R82</f>
        <v>0</v>
      </c>
      <c r="S82" s="871">
        <f t="shared" si="6"/>
        <v>0</v>
      </c>
      <c r="T82" s="870">
        <f>D82-'[9]Диспан.набл.взрослых Пр.16- 23'!D82</f>
        <v>0</v>
      </c>
    </row>
    <row r="83" spans="1:20" ht="24" x14ac:dyDescent="0.25">
      <c r="A83" s="873">
        <v>70</v>
      </c>
      <c r="B83" s="876" t="s">
        <v>153</v>
      </c>
      <c r="C83" s="567" t="s">
        <v>154</v>
      </c>
      <c r="D83" s="871">
        <f t="shared" si="5"/>
        <v>19</v>
      </c>
      <c r="E83" s="871">
        <f>'[9]Диспан.набл.взрослых Пр.16- 23'!E83+'[9]Уточнение Пр.17-23  '!E83</f>
        <v>0</v>
      </c>
      <c r="F83" s="871">
        <f>'[9]Диспан.набл.взрослых Пр.16- 23'!F83+'[9]Уточнение Пр.17-23  '!F83</f>
        <v>0</v>
      </c>
      <c r="G83" s="871">
        <f>'[9]Диспан.набл.взрослых Пр.16- 23'!G83+'[9]Уточнение Пр.17-23  '!G83</f>
        <v>0</v>
      </c>
      <c r="H83" s="871">
        <f>'[9]Диспан.набл.взрослых Пр.16- 23'!H83+'[9]Уточнение Пр.17-23  '!H83</f>
        <v>0</v>
      </c>
      <c r="I83" s="871">
        <f>'[9]Диспан.набл.взрослых Пр.16- 23'!I83+'[9]Уточнение Пр.17-23  '!I83</f>
        <v>0</v>
      </c>
      <c r="J83" s="871">
        <f>'[9]Диспан.набл.взрослых Пр.16- 23'!J83+'[9]Уточнение Пр.17-23  '!J83</f>
        <v>0</v>
      </c>
      <c r="K83" s="871">
        <f>'[9]Диспан.набл.взрослых Пр.16- 23'!K83+'[9]Уточнение Пр.17-23  '!K83</f>
        <v>0</v>
      </c>
      <c r="L83" s="871">
        <f>'[9]Диспан.набл.взрослых Пр.16- 23'!L83+'[9]Уточнение Пр.17-23  '!L83</f>
        <v>0</v>
      </c>
      <c r="M83" s="871">
        <f>'[9]Диспан.набл.взрослых Пр.16- 23'!M83+'[9]Уточнение Пр.17-23  '!M83</f>
        <v>0</v>
      </c>
      <c r="N83" s="871">
        <f>'[9]Диспан.набл.взрослых Пр.16- 23'!N83+'[9]Уточнение Пр.17-23  '!N83</f>
        <v>0</v>
      </c>
      <c r="O83" s="871">
        <f>'[9]Диспан.набл.взрослых Пр.16- 23'!O83+'[9]Уточнение Пр.17-23  '!O83</f>
        <v>19</v>
      </c>
      <c r="P83" s="871">
        <f>'[9]Диспан.набл.взрослых Пр.16- 23'!P83+'[9]Уточнение Пр.17-23  '!P83</f>
        <v>0</v>
      </c>
      <c r="Q83" s="871">
        <f>'[9]Диспан.набл.взрослых Пр.16- 23'!Q83+'[9]Уточнение Пр.17-23  '!Q83</f>
        <v>0</v>
      </c>
      <c r="R83" s="871">
        <f>'[9]Диспан.набл.взрослых Пр.16- 23'!R83+'[9]Уточнение Пр.17-23  '!R83</f>
        <v>0</v>
      </c>
      <c r="S83" s="871">
        <f t="shared" si="6"/>
        <v>0</v>
      </c>
      <c r="T83" s="870">
        <f>D83-'[9]Диспан.набл.взрослых Пр.16- 23'!D83</f>
        <v>0</v>
      </c>
    </row>
    <row r="84" spans="1:20" ht="24" x14ac:dyDescent="0.25">
      <c r="A84" s="873">
        <v>71</v>
      </c>
      <c r="B84" s="874" t="s">
        <v>155</v>
      </c>
      <c r="C84" s="567" t="s">
        <v>156</v>
      </c>
      <c r="D84" s="871">
        <f t="shared" si="5"/>
        <v>0</v>
      </c>
      <c r="E84" s="871">
        <f>'[9]Диспан.набл.взрослых Пр.16- 23'!E84+'[9]Уточнение Пр.17-23  '!E84</f>
        <v>0</v>
      </c>
      <c r="F84" s="871">
        <f>'[9]Диспан.набл.взрослых Пр.16- 23'!F84+'[9]Уточнение Пр.17-23  '!F84</f>
        <v>0</v>
      </c>
      <c r="G84" s="871">
        <f>'[9]Диспан.набл.взрослых Пр.16- 23'!G84+'[9]Уточнение Пр.17-23  '!G84</f>
        <v>0</v>
      </c>
      <c r="H84" s="871">
        <f>'[9]Диспан.набл.взрослых Пр.16- 23'!H84+'[9]Уточнение Пр.17-23  '!H84</f>
        <v>0</v>
      </c>
      <c r="I84" s="871">
        <f>'[9]Диспан.набл.взрослых Пр.16- 23'!I84+'[9]Уточнение Пр.17-23  '!I84</f>
        <v>0</v>
      </c>
      <c r="J84" s="871">
        <f>'[9]Диспан.набл.взрослых Пр.16- 23'!J84+'[9]Уточнение Пр.17-23  '!J84</f>
        <v>0</v>
      </c>
      <c r="K84" s="871">
        <f>'[9]Диспан.набл.взрослых Пр.16- 23'!K84+'[9]Уточнение Пр.17-23  '!K84</f>
        <v>0</v>
      </c>
      <c r="L84" s="871">
        <f>'[9]Диспан.набл.взрослых Пр.16- 23'!L84+'[9]Уточнение Пр.17-23  '!L84</f>
        <v>0</v>
      </c>
      <c r="M84" s="871">
        <f>'[9]Диспан.набл.взрослых Пр.16- 23'!M84+'[9]Уточнение Пр.17-23  '!M84</f>
        <v>0</v>
      </c>
      <c r="N84" s="871">
        <f>'[9]Диспан.набл.взрослых Пр.16- 23'!N84+'[9]Уточнение Пр.17-23  '!N84</f>
        <v>0</v>
      </c>
      <c r="O84" s="871">
        <f>'[9]Диспан.набл.взрослых Пр.16- 23'!O84+'[9]Уточнение Пр.17-23  '!O84</f>
        <v>0</v>
      </c>
      <c r="P84" s="871">
        <f>'[9]Диспан.набл.взрослых Пр.16- 23'!P84+'[9]Уточнение Пр.17-23  '!P84</f>
        <v>0</v>
      </c>
      <c r="Q84" s="871">
        <f>'[9]Диспан.набл.взрослых Пр.16- 23'!Q84+'[9]Уточнение Пр.17-23  '!Q84</f>
        <v>0</v>
      </c>
      <c r="R84" s="871">
        <f>'[9]Диспан.набл.взрослых Пр.16- 23'!R84+'[9]Уточнение Пр.17-23  '!R84</f>
        <v>0</v>
      </c>
      <c r="S84" s="871">
        <f t="shared" si="6"/>
        <v>0</v>
      </c>
      <c r="T84" s="870">
        <f>D84-'[9]Диспан.набл.взрослых Пр.16- 23'!D84</f>
        <v>0</v>
      </c>
    </row>
    <row r="85" spans="1:20" ht="24" x14ac:dyDescent="0.25">
      <c r="A85" s="873">
        <v>72</v>
      </c>
      <c r="B85" s="874" t="s">
        <v>157</v>
      </c>
      <c r="C85" s="567" t="s">
        <v>158</v>
      </c>
      <c r="D85" s="871">
        <f t="shared" si="5"/>
        <v>10</v>
      </c>
      <c r="E85" s="871">
        <f>'[9]Диспан.набл.взрослых Пр.16- 23'!E85+'[9]Уточнение Пр.17-23  '!E85</f>
        <v>0</v>
      </c>
      <c r="F85" s="871">
        <f>'[9]Диспан.набл.взрослых Пр.16- 23'!F85+'[9]Уточнение Пр.17-23  '!F85</f>
        <v>0</v>
      </c>
      <c r="G85" s="871">
        <f>'[9]Диспан.набл.взрослых Пр.16- 23'!G85+'[9]Уточнение Пр.17-23  '!G85</f>
        <v>0</v>
      </c>
      <c r="H85" s="871">
        <f>'[9]Диспан.набл.взрослых Пр.16- 23'!H85+'[9]Уточнение Пр.17-23  '!H85</f>
        <v>0</v>
      </c>
      <c r="I85" s="871">
        <f>'[9]Диспан.набл.взрослых Пр.16- 23'!I85+'[9]Уточнение Пр.17-23  '!I85</f>
        <v>0</v>
      </c>
      <c r="J85" s="871">
        <f>'[9]Диспан.набл.взрослых Пр.16- 23'!J85+'[9]Уточнение Пр.17-23  '!J85</f>
        <v>0</v>
      </c>
      <c r="K85" s="871">
        <f>'[9]Диспан.набл.взрослых Пр.16- 23'!K85+'[9]Уточнение Пр.17-23  '!K85</f>
        <v>0</v>
      </c>
      <c r="L85" s="871">
        <f>'[9]Диспан.набл.взрослых Пр.16- 23'!L85+'[9]Уточнение Пр.17-23  '!L85</f>
        <v>0</v>
      </c>
      <c r="M85" s="871">
        <f>'[9]Диспан.набл.взрослых Пр.16- 23'!M85+'[9]Уточнение Пр.17-23  '!M85</f>
        <v>0</v>
      </c>
      <c r="N85" s="871">
        <f>'[9]Диспан.набл.взрослых Пр.16- 23'!N85+'[9]Уточнение Пр.17-23  '!N85</f>
        <v>0</v>
      </c>
      <c r="O85" s="871">
        <f>'[9]Диспан.набл.взрослых Пр.16- 23'!O85+'[9]Уточнение Пр.17-23  '!O85</f>
        <v>10</v>
      </c>
      <c r="P85" s="871">
        <f>'[9]Диспан.набл.взрослых Пр.16- 23'!P85+'[9]Уточнение Пр.17-23  '!P85</f>
        <v>0</v>
      </c>
      <c r="Q85" s="871">
        <f>'[9]Диспан.набл.взрослых Пр.16- 23'!Q85+'[9]Уточнение Пр.17-23  '!Q85</f>
        <v>0</v>
      </c>
      <c r="R85" s="871">
        <f>'[9]Диспан.набл.взрослых Пр.16- 23'!R85+'[9]Уточнение Пр.17-23  '!R85</f>
        <v>0</v>
      </c>
      <c r="S85" s="871">
        <f t="shared" si="6"/>
        <v>0</v>
      </c>
      <c r="T85" s="870">
        <f>D85-'[9]Диспан.набл.взрослых Пр.16- 23'!D85</f>
        <v>0</v>
      </c>
    </row>
    <row r="86" spans="1:20" ht="24" x14ac:dyDescent="0.25">
      <c r="A86" s="873">
        <v>73</v>
      </c>
      <c r="B86" s="874" t="s">
        <v>159</v>
      </c>
      <c r="C86" s="567" t="s">
        <v>160</v>
      </c>
      <c r="D86" s="871">
        <f t="shared" si="5"/>
        <v>0</v>
      </c>
      <c r="E86" s="871">
        <f>'[9]Диспан.набл.взрослых Пр.16- 23'!E86+'[9]Уточнение Пр.17-23  '!E86</f>
        <v>0</v>
      </c>
      <c r="F86" s="871">
        <f>'[9]Диспан.набл.взрослых Пр.16- 23'!F86+'[9]Уточнение Пр.17-23  '!F86</f>
        <v>0</v>
      </c>
      <c r="G86" s="871">
        <f>'[9]Диспан.набл.взрослых Пр.16- 23'!G86+'[9]Уточнение Пр.17-23  '!G86</f>
        <v>0</v>
      </c>
      <c r="H86" s="871">
        <f>'[9]Диспан.набл.взрослых Пр.16- 23'!H86+'[9]Уточнение Пр.17-23  '!H86</f>
        <v>0</v>
      </c>
      <c r="I86" s="871">
        <f>'[9]Диспан.набл.взрослых Пр.16- 23'!I86+'[9]Уточнение Пр.17-23  '!I86</f>
        <v>0</v>
      </c>
      <c r="J86" s="871">
        <f>'[9]Диспан.набл.взрослых Пр.16- 23'!J86+'[9]Уточнение Пр.17-23  '!J86</f>
        <v>0</v>
      </c>
      <c r="K86" s="871">
        <f>'[9]Диспан.набл.взрослых Пр.16- 23'!K86+'[9]Уточнение Пр.17-23  '!K86</f>
        <v>0</v>
      </c>
      <c r="L86" s="871">
        <f>'[9]Диспан.набл.взрослых Пр.16- 23'!L86+'[9]Уточнение Пр.17-23  '!L86</f>
        <v>0</v>
      </c>
      <c r="M86" s="871">
        <f>'[9]Диспан.набл.взрослых Пр.16- 23'!M86+'[9]Уточнение Пр.17-23  '!M86</f>
        <v>0</v>
      </c>
      <c r="N86" s="871">
        <f>'[9]Диспан.набл.взрослых Пр.16- 23'!N86+'[9]Уточнение Пр.17-23  '!N86</f>
        <v>0</v>
      </c>
      <c r="O86" s="871">
        <f>'[9]Диспан.набл.взрослых Пр.16- 23'!O86+'[9]Уточнение Пр.17-23  '!O86</f>
        <v>0</v>
      </c>
      <c r="P86" s="871">
        <f>'[9]Диспан.набл.взрослых Пр.16- 23'!P86+'[9]Уточнение Пр.17-23  '!P86</f>
        <v>0</v>
      </c>
      <c r="Q86" s="871">
        <f>'[9]Диспан.набл.взрослых Пр.16- 23'!Q86+'[9]Уточнение Пр.17-23  '!Q86</f>
        <v>0</v>
      </c>
      <c r="R86" s="871">
        <f>'[9]Диспан.набл.взрослых Пр.16- 23'!R86+'[9]Уточнение Пр.17-23  '!R86</f>
        <v>0</v>
      </c>
      <c r="S86" s="871">
        <f t="shared" si="6"/>
        <v>0</v>
      </c>
      <c r="T86" s="870">
        <f>D86-'[9]Диспан.набл.взрослых Пр.16- 23'!D86</f>
        <v>0</v>
      </c>
    </row>
    <row r="87" spans="1:20" x14ac:dyDescent="0.25">
      <c r="A87" s="873">
        <v>74</v>
      </c>
      <c r="B87" s="877" t="s">
        <v>161</v>
      </c>
      <c r="C87" s="567" t="s">
        <v>162</v>
      </c>
      <c r="D87" s="871">
        <f t="shared" si="5"/>
        <v>25904</v>
      </c>
      <c r="E87" s="871">
        <f>'[9]Диспан.набл.взрослых Пр.16- 23'!E87+'[9]Уточнение Пр.17-23  '!E87</f>
        <v>22627</v>
      </c>
      <c r="F87" s="871">
        <f>'[9]Диспан.набл.взрослых Пр.16- 23'!F87+'[9]Уточнение Пр.17-23  '!F87</f>
        <v>1453</v>
      </c>
      <c r="G87" s="871">
        <f>'[9]Диспан.набл.взрослых Пр.16- 23'!G87+'[9]Уточнение Пр.17-23  '!G87</f>
        <v>1012</v>
      </c>
      <c r="H87" s="871">
        <f>'[9]Диспан.набл.взрослых Пр.16- 23'!H87+'[9]Уточнение Пр.17-23  '!H87</f>
        <v>424</v>
      </c>
      <c r="I87" s="871">
        <f>'[9]Диспан.набл.взрослых Пр.16- 23'!I87+'[9]Уточнение Пр.17-23  '!I87</f>
        <v>0</v>
      </c>
      <c r="J87" s="871">
        <f>'[9]Диспан.набл.взрослых Пр.16- 23'!J87+'[9]Уточнение Пр.17-23  '!J87</f>
        <v>0</v>
      </c>
      <c r="K87" s="871">
        <f>'[9]Диспан.набл.взрослых Пр.16- 23'!K87+'[9]Уточнение Пр.17-23  '!K87</f>
        <v>40</v>
      </c>
      <c r="L87" s="871">
        <f>'[9]Диспан.набл.взрослых Пр.16- 23'!L87+'[9]Уточнение Пр.17-23  '!L87</f>
        <v>4</v>
      </c>
      <c r="M87" s="871">
        <f>'[9]Диспан.набл.взрослых Пр.16- 23'!M87+'[9]Уточнение Пр.17-23  '!M87</f>
        <v>1</v>
      </c>
      <c r="N87" s="871">
        <f>'[9]Диспан.набл.взрослых Пр.16- 23'!N87+'[9]Уточнение Пр.17-23  '!N87</f>
        <v>65</v>
      </c>
      <c r="O87" s="871">
        <f>'[9]Диспан.набл.взрослых Пр.16- 23'!O87+'[9]Уточнение Пр.17-23  '!O87</f>
        <v>3</v>
      </c>
      <c r="P87" s="871">
        <f>'[9]Диспан.набл.взрослых Пр.16- 23'!P87+'[9]Уточнение Пр.17-23  '!P87</f>
        <v>0</v>
      </c>
      <c r="Q87" s="871">
        <f>'[9]Диспан.набл.взрослых Пр.16- 23'!Q87+'[9]Уточнение Пр.17-23  '!Q87</f>
        <v>274</v>
      </c>
      <c r="R87" s="871">
        <f>'[9]Диспан.набл.взрослых Пр.16- 23'!R87+'[9]Уточнение Пр.17-23  '!R87</f>
        <v>1</v>
      </c>
      <c r="S87" s="871">
        <f t="shared" si="6"/>
        <v>22627</v>
      </c>
      <c r="T87" s="870">
        <f>D87-'[9]Диспан.набл.взрослых Пр.16- 23'!D87</f>
        <v>0</v>
      </c>
    </row>
    <row r="88" spans="1:20" x14ac:dyDescent="0.25">
      <c r="A88" s="873">
        <v>75</v>
      </c>
      <c r="B88" s="874" t="s">
        <v>163</v>
      </c>
      <c r="C88" s="567" t="s">
        <v>164</v>
      </c>
      <c r="D88" s="871">
        <f t="shared" si="5"/>
        <v>37113</v>
      </c>
      <c r="E88" s="871">
        <f>'[9]Диспан.набл.взрослых Пр.16- 23'!E88+'[9]Уточнение Пр.17-23  '!E88</f>
        <v>30896</v>
      </c>
      <c r="F88" s="871">
        <f>'[9]Диспан.набл.взрослых Пр.16- 23'!F88+'[9]Уточнение Пр.17-23  '!F88</f>
        <v>4660</v>
      </c>
      <c r="G88" s="871">
        <f>'[9]Диспан.набл.взрослых Пр.16- 23'!G88+'[9]Уточнение Пр.17-23  '!G88</f>
        <v>431</v>
      </c>
      <c r="H88" s="871">
        <f>'[9]Диспан.набл.взрослых Пр.16- 23'!H88+'[9]Уточнение Пр.17-23  '!H88</f>
        <v>520</v>
      </c>
      <c r="I88" s="871">
        <f>'[9]Диспан.набл.взрослых Пр.16- 23'!I88+'[9]Уточнение Пр.17-23  '!I88</f>
        <v>1</v>
      </c>
      <c r="J88" s="871">
        <f>'[9]Диспан.набл.взрослых Пр.16- 23'!J88+'[9]Уточнение Пр.17-23  '!J88</f>
        <v>1</v>
      </c>
      <c r="K88" s="871">
        <f>'[9]Диспан.набл.взрослых Пр.16- 23'!K88+'[9]Уточнение Пр.17-23  '!K88</f>
        <v>1</v>
      </c>
      <c r="L88" s="871">
        <f>'[9]Диспан.набл.взрослых Пр.16- 23'!L88+'[9]Уточнение Пр.17-23  '!L88</f>
        <v>2</v>
      </c>
      <c r="M88" s="871">
        <f>'[9]Диспан.набл.взрослых Пр.16- 23'!M88+'[9]Уточнение Пр.17-23  '!M88</f>
        <v>34</v>
      </c>
      <c r="N88" s="871">
        <f>'[9]Диспан.набл.взрослых Пр.16- 23'!N88+'[9]Уточнение Пр.17-23  '!N88</f>
        <v>209</v>
      </c>
      <c r="O88" s="871">
        <f>'[9]Диспан.набл.взрослых Пр.16- 23'!O88+'[9]Уточнение Пр.17-23  '!O88</f>
        <v>0</v>
      </c>
      <c r="P88" s="871">
        <f>'[9]Диспан.набл.взрослых Пр.16- 23'!P88+'[9]Уточнение Пр.17-23  '!P88</f>
        <v>18</v>
      </c>
      <c r="Q88" s="871">
        <f>'[9]Диспан.набл.взрослых Пр.16- 23'!Q88+'[9]Уточнение Пр.17-23  '!Q88</f>
        <v>281</v>
      </c>
      <c r="R88" s="871">
        <f>'[9]Диспан.набл.взрослых Пр.16- 23'!R88+'[9]Уточнение Пр.17-23  '!R88</f>
        <v>59</v>
      </c>
      <c r="S88" s="871">
        <f t="shared" si="6"/>
        <v>30896</v>
      </c>
      <c r="T88" s="870">
        <f>D88-'[9]Диспан.набл.взрослых Пр.16- 23'!D88</f>
        <v>0</v>
      </c>
    </row>
    <row r="89" spans="1:20" x14ac:dyDescent="0.25">
      <c r="A89" s="873">
        <v>76</v>
      </c>
      <c r="B89" s="877" t="s">
        <v>165</v>
      </c>
      <c r="C89" s="567" t="s">
        <v>166</v>
      </c>
      <c r="D89" s="871">
        <f t="shared" si="5"/>
        <v>31971</v>
      </c>
      <c r="E89" s="871">
        <f>'[9]Диспан.набл.взрослых Пр.16- 23'!E89+'[9]Уточнение Пр.17-23  '!E89</f>
        <v>28302</v>
      </c>
      <c r="F89" s="871">
        <f>'[9]Диспан.набл.взрослых Пр.16- 23'!F89+'[9]Уточнение Пр.17-23  '!F89</f>
        <v>1137</v>
      </c>
      <c r="G89" s="871">
        <f>'[9]Диспан.набл.взрослых Пр.16- 23'!G89+'[9]Уточнение Пр.17-23  '!G89</f>
        <v>1966</v>
      </c>
      <c r="H89" s="871">
        <f>'[9]Диспан.набл.взрослых Пр.16- 23'!H89+'[9]Уточнение Пр.17-23  '!H89</f>
        <v>291</v>
      </c>
      <c r="I89" s="871">
        <f>'[9]Диспан.набл.взрослых Пр.16- 23'!I89+'[9]Уточнение Пр.17-23  '!I89</f>
        <v>1</v>
      </c>
      <c r="J89" s="871">
        <f>'[9]Диспан.набл.взрослых Пр.16- 23'!J89+'[9]Уточнение Пр.17-23  '!J89</f>
        <v>0</v>
      </c>
      <c r="K89" s="871">
        <f>'[9]Диспан.набл.взрослых Пр.16- 23'!K89+'[9]Уточнение Пр.17-23  '!K89</f>
        <v>13</v>
      </c>
      <c r="L89" s="871">
        <f>'[9]Диспан.набл.взрослых Пр.16- 23'!L89+'[9]Уточнение Пр.17-23  '!L89</f>
        <v>2</v>
      </c>
      <c r="M89" s="871">
        <f>'[9]Диспан.набл.взрослых Пр.16- 23'!M89+'[9]Уточнение Пр.17-23  '!M89</f>
        <v>1</v>
      </c>
      <c r="N89" s="871">
        <f>'[9]Диспан.набл.взрослых Пр.16- 23'!N89+'[9]Уточнение Пр.17-23  '!N89</f>
        <v>130</v>
      </c>
      <c r="O89" s="871">
        <f>'[9]Диспан.набл.взрослых Пр.16- 23'!O89+'[9]Уточнение Пр.17-23  '!O89</f>
        <v>9</v>
      </c>
      <c r="P89" s="871">
        <f>'[9]Диспан.набл.взрослых Пр.16- 23'!P89+'[9]Уточнение Пр.17-23  '!P89</f>
        <v>0</v>
      </c>
      <c r="Q89" s="871">
        <f>'[9]Диспан.набл.взрослых Пр.16- 23'!Q89+'[9]Уточнение Пр.17-23  '!Q89</f>
        <v>112</v>
      </c>
      <c r="R89" s="871">
        <f>'[9]Диспан.набл.взрослых Пр.16- 23'!R89+'[9]Уточнение Пр.17-23  '!R89</f>
        <v>7</v>
      </c>
      <c r="S89" s="871">
        <f t="shared" si="6"/>
        <v>28302</v>
      </c>
      <c r="T89" s="870">
        <f>D89-'[9]Диспан.набл.взрослых Пр.16- 23'!D89</f>
        <v>0</v>
      </c>
    </row>
    <row r="90" spans="1:20" x14ac:dyDescent="0.25">
      <c r="A90" s="873">
        <v>77</v>
      </c>
      <c r="B90" s="878" t="s">
        <v>167</v>
      </c>
      <c r="C90" s="1" t="s">
        <v>168</v>
      </c>
      <c r="D90" s="871">
        <f t="shared" si="5"/>
        <v>10306</v>
      </c>
      <c r="E90" s="871">
        <f>'[9]Диспан.набл.взрослых Пр.16- 23'!E90+'[9]Уточнение Пр.17-23  '!E90</f>
        <v>9878</v>
      </c>
      <c r="F90" s="871">
        <f>'[9]Диспан.набл.взрослых Пр.16- 23'!F90+'[9]Уточнение Пр.17-23  '!F90</f>
        <v>49</v>
      </c>
      <c r="G90" s="871">
        <f>'[9]Диспан.набл.взрослых Пр.16- 23'!G90+'[9]Уточнение Пр.17-23  '!G90</f>
        <v>150</v>
      </c>
      <c r="H90" s="871">
        <f>'[9]Диспан.набл.взрослых Пр.16- 23'!H90+'[9]Уточнение Пр.17-23  '!H90</f>
        <v>35</v>
      </c>
      <c r="I90" s="871">
        <f>'[9]Диспан.набл.взрослых Пр.16- 23'!I90+'[9]Уточнение Пр.17-23  '!I90</f>
        <v>0</v>
      </c>
      <c r="J90" s="871">
        <f>'[9]Диспан.набл.взрослых Пр.16- 23'!J90+'[9]Уточнение Пр.17-23  '!J90</f>
        <v>1</v>
      </c>
      <c r="K90" s="871">
        <f>'[9]Диспан.набл.взрослых Пр.16- 23'!K90+'[9]Уточнение Пр.17-23  '!K90</f>
        <v>13</v>
      </c>
      <c r="L90" s="871">
        <f>'[9]Диспан.набл.взрослых Пр.16- 23'!L90+'[9]Уточнение Пр.17-23  '!L90</f>
        <v>0</v>
      </c>
      <c r="M90" s="871">
        <f>'[9]Диспан.набл.взрослых Пр.16- 23'!M90+'[9]Уточнение Пр.17-23  '!M90</f>
        <v>0</v>
      </c>
      <c r="N90" s="871">
        <f>'[9]Диспан.набл.взрослых Пр.16- 23'!N90+'[9]Уточнение Пр.17-23  '!N90</f>
        <v>0</v>
      </c>
      <c r="O90" s="871">
        <f>'[9]Диспан.набл.взрослых Пр.16- 23'!O90+'[9]Уточнение Пр.17-23  '!O90</f>
        <v>13</v>
      </c>
      <c r="P90" s="871">
        <f>'[9]Диспан.набл.взрослых Пр.16- 23'!P90+'[9]Уточнение Пр.17-23  '!P90</f>
        <v>0</v>
      </c>
      <c r="Q90" s="871">
        <f>'[9]Диспан.набл.взрослых Пр.16- 23'!Q90+'[9]Уточнение Пр.17-23  '!Q90</f>
        <v>167</v>
      </c>
      <c r="R90" s="871">
        <f>'[9]Диспан.набл.взрослых Пр.16- 23'!R90+'[9]Уточнение Пр.17-23  '!R90</f>
        <v>0</v>
      </c>
      <c r="S90" s="871">
        <f t="shared" si="6"/>
        <v>9878</v>
      </c>
      <c r="T90" s="870">
        <f>D90-'[9]Диспан.набл.взрослых Пр.16- 23'!D90</f>
        <v>0</v>
      </c>
    </row>
    <row r="91" spans="1:20" x14ac:dyDescent="0.25">
      <c r="A91" s="873">
        <v>78</v>
      </c>
      <c r="B91" s="874" t="s">
        <v>169</v>
      </c>
      <c r="C91" s="567" t="s">
        <v>170</v>
      </c>
      <c r="D91" s="871">
        <f t="shared" si="5"/>
        <v>58440</v>
      </c>
      <c r="E91" s="871">
        <f>'[9]Диспан.набл.взрослых Пр.16- 23'!E91+'[9]Уточнение Пр.17-23  '!E91</f>
        <v>52894</v>
      </c>
      <c r="F91" s="871">
        <f>'[9]Диспан.набл.взрослых Пр.16- 23'!F91+'[9]Уточнение Пр.17-23  '!F91</f>
        <v>4321</v>
      </c>
      <c r="G91" s="871">
        <f>'[9]Диспан.набл.взрослых Пр.16- 23'!G91+'[9]Уточнение Пр.17-23  '!G91</f>
        <v>640</v>
      </c>
      <c r="H91" s="871">
        <f>'[9]Диспан.набл.взрослых Пр.16- 23'!H91+'[9]Уточнение Пр.17-23  '!H91</f>
        <v>221</v>
      </c>
      <c r="I91" s="871">
        <f>'[9]Диспан.набл.взрослых Пр.16- 23'!I91+'[9]Уточнение Пр.17-23  '!I91</f>
        <v>0</v>
      </c>
      <c r="J91" s="871">
        <f>'[9]Диспан.набл.взрослых Пр.16- 23'!J91+'[9]Уточнение Пр.17-23  '!J91</f>
        <v>0</v>
      </c>
      <c r="K91" s="871">
        <f>'[9]Диспан.набл.взрослых Пр.16- 23'!K91+'[9]Уточнение Пр.17-23  '!K91</f>
        <v>9</v>
      </c>
      <c r="L91" s="871">
        <f>'[9]Диспан.набл.взрослых Пр.16- 23'!L91+'[9]Уточнение Пр.17-23  '!L91</f>
        <v>10</v>
      </c>
      <c r="M91" s="871">
        <f>'[9]Диспан.набл.взрослых Пр.16- 23'!M91+'[9]Уточнение Пр.17-23  '!M91</f>
        <v>1</v>
      </c>
      <c r="N91" s="871">
        <f>'[9]Диспан.набл.взрослых Пр.16- 23'!N91+'[9]Уточнение Пр.17-23  '!N91</f>
        <v>116</v>
      </c>
      <c r="O91" s="871">
        <f>'[9]Диспан.набл.взрослых Пр.16- 23'!O91+'[9]Уточнение Пр.17-23  '!O91</f>
        <v>8</v>
      </c>
      <c r="P91" s="871">
        <f>'[9]Диспан.набл.взрослых Пр.16- 23'!P91+'[9]Уточнение Пр.17-23  '!P91</f>
        <v>0</v>
      </c>
      <c r="Q91" s="871">
        <f>'[9]Диспан.набл.взрослых Пр.16- 23'!Q91+'[9]Уточнение Пр.17-23  '!Q91</f>
        <v>177</v>
      </c>
      <c r="R91" s="871">
        <f>'[9]Диспан.набл.взрослых Пр.16- 23'!R91+'[9]Уточнение Пр.17-23  '!R91</f>
        <v>43</v>
      </c>
      <c r="S91" s="871">
        <f t="shared" si="6"/>
        <v>52894</v>
      </c>
      <c r="T91" s="870">
        <f>D91-'[9]Диспан.набл.взрослых Пр.16- 23'!D91</f>
        <v>0</v>
      </c>
    </row>
    <row r="92" spans="1:20" x14ac:dyDescent="0.25">
      <c r="A92" s="873">
        <v>79</v>
      </c>
      <c r="B92" s="878" t="s">
        <v>171</v>
      </c>
      <c r="C92" s="1" t="s">
        <v>172</v>
      </c>
      <c r="D92" s="871">
        <f t="shared" si="5"/>
        <v>0</v>
      </c>
      <c r="E92" s="871">
        <f>'[9]Диспан.набл.взрослых Пр.16- 23'!E92+'[9]Уточнение Пр.17-23  '!E92</f>
        <v>0</v>
      </c>
      <c r="F92" s="871">
        <f>'[9]Диспан.набл.взрослых Пр.16- 23'!F92+'[9]Уточнение Пр.17-23  '!F92</f>
        <v>0</v>
      </c>
      <c r="G92" s="871">
        <f>'[9]Диспан.набл.взрослых Пр.16- 23'!G92+'[9]Уточнение Пр.17-23  '!G92</f>
        <v>0</v>
      </c>
      <c r="H92" s="871">
        <f>'[9]Диспан.набл.взрослых Пр.16- 23'!H92+'[9]Уточнение Пр.17-23  '!H92</f>
        <v>0</v>
      </c>
      <c r="I92" s="871">
        <f>'[9]Диспан.набл.взрослых Пр.16- 23'!I92+'[9]Уточнение Пр.17-23  '!I92</f>
        <v>0</v>
      </c>
      <c r="J92" s="871">
        <f>'[9]Диспан.набл.взрослых Пр.16- 23'!J92+'[9]Уточнение Пр.17-23  '!J92</f>
        <v>0</v>
      </c>
      <c r="K92" s="871">
        <f>'[9]Диспан.набл.взрослых Пр.16- 23'!K92+'[9]Уточнение Пр.17-23  '!K92</f>
        <v>0</v>
      </c>
      <c r="L92" s="871">
        <f>'[9]Диспан.набл.взрослых Пр.16- 23'!L92+'[9]Уточнение Пр.17-23  '!L92</f>
        <v>0</v>
      </c>
      <c r="M92" s="871">
        <f>'[9]Диспан.набл.взрослых Пр.16- 23'!M92+'[9]Уточнение Пр.17-23  '!M92</f>
        <v>0</v>
      </c>
      <c r="N92" s="871">
        <f>'[9]Диспан.набл.взрослых Пр.16- 23'!N92+'[9]Уточнение Пр.17-23  '!N92</f>
        <v>0</v>
      </c>
      <c r="O92" s="871">
        <f>'[9]Диспан.набл.взрослых Пр.16- 23'!O92+'[9]Уточнение Пр.17-23  '!O92</f>
        <v>0</v>
      </c>
      <c r="P92" s="871">
        <f>'[9]Диспан.набл.взрослых Пр.16- 23'!P92+'[9]Уточнение Пр.17-23  '!P92</f>
        <v>0</v>
      </c>
      <c r="Q92" s="871">
        <f>'[9]Диспан.набл.взрослых Пр.16- 23'!Q92+'[9]Уточнение Пр.17-23  '!Q92</f>
        <v>0</v>
      </c>
      <c r="R92" s="871">
        <f>'[9]Диспан.набл.взрослых Пр.16- 23'!R92+'[9]Уточнение Пр.17-23  '!R92</f>
        <v>0</v>
      </c>
      <c r="S92" s="871">
        <f t="shared" si="6"/>
        <v>0</v>
      </c>
      <c r="T92" s="870">
        <f>D92-'[9]Диспан.набл.взрослых Пр.16- 23'!D92</f>
        <v>0</v>
      </c>
    </row>
    <row r="93" spans="1:20" x14ac:dyDescent="0.25">
      <c r="A93" s="873">
        <v>80</v>
      </c>
      <c r="B93" s="874" t="s">
        <v>173</v>
      </c>
      <c r="C93" s="567" t="s">
        <v>174</v>
      </c>
      <c r="D93" s="871">
        <f t="shared" si="5"/>
        <v>37572</v>
      </c>
      <c r="E93" s="871">
        <f>'[9]Диспан.набл.взрослых Пр.16- 23'!E93+'[9]Уточнение Пр.17-23  '!E93</f>
        <v>32003</v>
      </c>
      <c r="F93" s="871">
        <f>'[9]Диспан.набл.взрослых Пр.16- 23'!F93+'[9]Уточнение Пр.17-23  '!F93</f>
        <v>4187</v>
      </c>
      <c r="G93" s="871">
        <f>'[9]Диспан.набл.взрослых Пр.16- 23'!G93+'[9]Уточнение Пр.17-23  '!G93</f>
        <v>920</v>
      </c>
      <c r="H93" s="871">
        <f>'[9]Диспан.набл.взрослых Пр.16- 23'!H93+'[9]Уточнение Пр.17-23  '!H93</f>
        <v>124</v>
      </c>
      <c r="I93" s="871">
        <f>'[9]Диспан.набл.взрослых Пр.16- 23'!I93+'[9]Уточнение Пр.17-23  '!I93</f>
        <v>0</v>
      </c>
      <c r="J93" s="871">
        <f>'[9]Диспан.набл.взрослых Пр.16- 23'!J93+'[9]Уточнение Пр.17-23  '!J93</f>
        <v>0</v>
      </c>
      <c r="K93" s="871">
        <f>'[9]Диспан.набл.взрослых Пр.16- 23'!K93+'[9]Уточнение Пр.17-23  '!K93</f>
        <v>22</v>
      </c>
      <c r="L93" s="871">
        <f>'[9]Диспан.набл.взрослых Пр.16- 23'!L93+'[9]Уточнение Пр.17-23  '!L93</f>
        <v>1</v>
      </c>
      <c r="M93" s="871">
        <f>'[9]Диспан.набл.взрослых Пр.16- 23'!M93+'[9]Уточнение Пр.17-23  '!M93</f>
        <v>2</v>
      </c>
      <c r="N93" s="871">
        <f>'[9]Диспан.набл.взрослых Пр.16- 23'!N93+'[9]Уточнение Пр.17-23  '!N93</f>
        <v>143</v>
      </c>
      <c r="O93" s="871">
        <f>'[9]Диспан.набл.взрослых Пр.16- 23'!O93+'[9]Уточнение Пр.17-23  '!O93</f>
        <v>2</v>
      </c>
      <c r="P93" s="871">
        <f>'[9]Диспан.набл.взрослых Пр.16- 23'!P93+'[9]Уточнение Пр.17-23  '!P93</f>
        <v>46</v>
      </c>
      <c r="Q93" s="871">
        <f>'[9]Диспан.набл.взрослых Пр.16- 23'!Q93+'[9]Уточнение Пр.17-23  '!Q93</f>
        <v>91</v>
      </c>
      <c r="R93" s="871">
        <f>'[9]Диспан.набл.взрослых Пр.16- 23'!R93+'[9]Уточнение Пр.17-23  '!R93</f>
        <v>31</v>
      </c>
      <c r="S93" s="871">
        <f t="shared" si="6"/>
        <v>32003</v>
      </c>
      <c r="T93" s="870">
        <f>D93-'[9]Диспан.набл.взрослых Пр.16- 23'!D93</f>
        <v>0</v>
      </c>
    </row>
    <row r="94" spans="1:20" x14ac:dyDescent="0.25">
      <c r="A94" s="873">
        <v>81</v>
      </c>
      <c r="B94" s="878" t="s">
        <v>175</v>
      </c>
      <c r="C94" s="1" t="s">
        <v>746</v>
      </c>
      <c r="D94" s="871">
        <f t="shared" si="5"/>
        <v>0</v>
      </c>
      <c r="E94" s="871">
        <f>'[9]Диспан.набл.взрослых Пр.16- 23'!E94+'[9]Уточнение Пр.17-23  '!E94</f>
        <v>0</v>
      </c>
      <c r="F94" s="871">
        <f>'[9]Диспан.набл.взрослых Пр.16- 23'!F94+'[9]Уточнение Пр.17-23  '!F94</f>
        <v>0</v>
      </c>
      <c r="G94" s="871">
        <f>'[9]Диспан.набл.взрослых Пр.16- 23'!G94+'[9]Уточнение Пр.17-23  '!G94</f>
        <v>0</v>
      </c>
      <c r="H94" s="871">
        <f>'[9]Диспан.набл.взрослых Пр.16- 23'!H94+'[9]Уточнение Пр.17-23  '!H94</f>
        <v>0</v>
      </c>
      <c r="I94" s="871">
        <f>'[9]Диспан.набл.взрослых Пр.16- 23'!I94+'[9]Уточнение Пр.17-23  '!I94</f>
        <v>0</v>
      </c>
      <c r="J94" s="871">
        <f>'[9]Диспан.набл.взрослых Пр.16- 23'!J94+'[9]Уточнение Пр.17-23  '!J94</f>
        <v>0</v>
      </c>
      <c r="K94" s="871">
        <f>'[9]Диспан.набл.взрослых Пр.16- 23'!K94+'[9]Уточнение Пр.17-23  '!K94</f>
        <v>0</v>
      </c>
      <c r="L94" s="871">
        <f>'[9]Диспан.набл.взрослых Пр.16- 23'!L94+'[9]Уточнение Пр.17-23  '!L94</f>
        <v>0</v>
      </c>
      <c r="M94" s="871">
        <f>'[9]Диспан.набл.взрослых Пр.16- 23'!M94+'[9]Уточнение Пр.17-23  '!M94</f>
        <v>0</v>
      </c>
      <c r="N94" s="871">
        <f>'[9]Диспан.набл.взрослых Пр.16- 23'!N94+'[9]Уточнение Пр.17-23  '!N94</f>
        <v>0</v>
      </c>
      <c r="O94" s="871">
        <f>'[9]Диспан.набл.взрослых Пр.16- 23'!O94+'[9]Уточнение Пр.17-23  '!O94</f>
        <v>0</v>
      </c>
      <c r="P94" s="871">
        <f>'[9]Диспан.набл.взрослых Пр.16- 23'!P94+'[9]Уточнение Пр.17-23  '!P94</f>
        <v>0</v>
      </c>
      <c r="Q94" s="871">
        <f>'[9]Диспан.набл.взрослых Пр.16- 23'!Q94+'[9]Уточнение Пр.17-23  '!Q94</f>
        <v>0</v>
      </c>
      <c r="R94" s="871">
        <f>'[9]Диспан.набл.взрослых Пр.16- 23'!R94+'[9]Уточнение Пр.17-23  '!R94</f>
        <v>0</v>
      </c>
      <c r="S94" s="871">
        <f t="shared" si="6"/>
        <v>0</v>
      </c>
      <c r="T94" s="870">
        <f>D94-'[9]Диспан.набл.взрослых Пр.16- 23'!D94</f>
        <v>0</v>
      </c>
    </row>
    <row r="95" spans="1:20" x14ac:dyDescent="0.25">
      <c r="A95" s="873">
        <v>82</v>
      </c>
      <c r="B95" s="876" t="s">
        <v>177</v>
      </c>
      <c r="C95" s="567" t="s">
        <v>378</v>
      </c>
      <c r="D95" s="871">
        <f t="shared" si="5"/>
        <v>0</v>
      </c>
      <c r="E95" s="871">
        <f>'[9]Диспан.набл.взрослых Пр.16- 23'!E95+'[9]Уточнение Пр.17-23  '!E95</f>
        <v>0</v>
      </c>
      <c r="F95" s="871">
        <f>'[9]Диспан.набл.взрослых Пр.16- 23'!F95+'[9]Уточнение Пр.17-23  '!F95</f>
        <v>0</v>
      </c>
      <c r="G95" s="871">
        <f>'[9]Диспан.набл.взрослых Пр.16- 23'!G95+'[9]Уточнение Пр.17-23  '!G95</f>
        <v>0</v>
      </c>
      <c r="H95" s="871">
        <f>'[9]Диспан.набл.взрослых Пр.16- 23'!H95+'[9]Уточнение Пр.17-23  '!H95</f>
        <v>0</v>
      </c>
      <c r="I95" s="871">
        <f>'[9]Диспан.набл.взрослых Пр.16- 23'!I95+'[9]Уточнение Пр.17-23  '!I95</f>
        <v>0</v>
      </c>
      <c r="J95" s="871">
        <f>'[9]Диспан.набл.взрослых Пр.16- 23'!J95+'[9]Уточнение Пр.17-23  '!J95</f>
        <v>0</v>
      </c>
      <c r="K95" s="871">
        <f>'[9]Диспан.набл.взрослых Пр.16- 23'!K95+'[9]Уточнение Пр.17-23  '!K95</f>
        <v>0</v>
      </c>
      <c r="L95" s="871">
        <f>'[9]Диспан.набл.взрослых Пр.16- 23'!L95+'[9]Уточнение Пр.17-23  '!L95</f>
        <v>0</v>
      </c>
      <c r="M95" s="871">
        <f>'[9]Диспан.набл.взрослых Пр.16- 23'!M95+'[9]Уточнение Пр.17-23  '!M95</f>
        <v>0</v>
      </c>
      <c r="N95" s="871">
        <f>'[9]Диспан.набл.взрослых Пр.16- 23'!N95+'[9]Уточнение Пр.17-23  '!N95</f>
        <v>0</v>
      </c>
      <c r="O95" s="871">
        <f>'[9]Диспан.набл.взрослых Пр.16- 23'!O95+'[9]Уточнение Пр.17-23  '!O95</f>
        <v>0</v>
      </c>
      <c r="P95" s="871">
        <f>'[9]Диспан.набл.взрослых Пр.16- 23'!P95+'[9]Уточнение Пр.17-23  '!P95</f>
        <v>0</v>
      </c>
      <c r="Q95" s="871">
        <f>'[9]Диспан.набл.взрослых Пр.16- 23'!Q95+'[9]Уточнение Пр.17-23  '!Q95</f>
        <v>0</v>
      </c>
      <c r="R95" s="871">
        <f>'[9]Диспан.набл.взрослых Пр.16- 23'!R95+'[9]Уточнение Пр.17-23  '!R95</f>
        <v>0</v>
      </c>
      <c r="S95" s="871">
        <f t="shared" si="6"/>
        <v>0</v>
      </c>
      <c r="T95" s="870">
        <f>D95-'[9]Диспан.набл.взрослых Пр.16- 23'!D95</f>
        <v>0</v>
      </c>
    </row>
    <row r="96" spans="1:20" ht="48" x14ac:dyDescent="0.25">
      <c r="A96" s="1156">
        <v>83</v>
      </c>
      <c r="B96" s="1159" t="s">
        <v>178</v>
      </c>
      <c r="C96" s="1" t="s">
        <v>744</v>
      </c>
      <c r="D96" s="871">
        <f t="shared" si="5"/>
        <v>194</v>
      </c>
      <c r="E96" s="871">
        <f>'[9]Диспан.набл.взрослых Пр.16- 23'!E96+'[9]Уточнение Пр.17-23  '!E96</f>
        <v>154</v>
      </c>
      <c r="F96" s="871">
        <f>'[9]Диспан.набл.взрослых Пр.16- 23'!F96+'[9]Уточнение Пр.17-23  '!F96</f>
        <v>38</v>
      </c>
      <c r="G96" s="871">
        <f>'[9]Диспан.набл.взрослых Пр.16- 23'!G96+'[9]Уточнение Пр.17-23  '!G96</f>
        <v>0</v>
      </c>
      <c r="H96" s="871">
        <f>'[9]Диспан.набл.взрослых Пр.16- 23'!H96+'[9]Уточнение Пр.17-23  '!H96</f>
        <v>0</v>
      </c>
      <c r="I96" s="871">
        <f>'[9]Диспан.набл.взрослых Пр.16- 23'!I96+'[9]Уточнение Пр.17-23  '!I96</f>
        <v>0</v>
      </c>
      <c r="J96" s="871">
        <f>'[9]Диспан.набл.взрослых Пр.16- 23'!J96+'[9]Уточнение Пр.17-23  '!J96</f>
        <v>0</v>
      </c>
      <c r="K96" s="871">
        <f>'[9]Диспан.набл.взрослых Пр.16- 23'!K96+'[9]Уточнение Пр.17-23  '!K96</f>
        <v>0</v>
      </c>
      <c r="L96" s="871">
        <f>'[9]Диспан.набл.взрослых Пр.16- 23'!L96+'[9]Уточнение Пр.17-23  '!L96</f>
        <v>0</v>
      </c>
      <c r="M96" s="871">
        <f>'[9]Диспан.набл.взрослых Пр.16- 23'!M96+'[9]Уточнение Пр.17-23  '!M96</f>
        <v>0</v>
      </c>
      <c r="N96" s="871">
        <f>'[9]Диспан.набл.взрослых Пр.16- 23'!N96+'[9]Уточнение Пр.17-23  '!N96</f>
        <v>0</v>
      </c>
      <c r="O96" s="871">
        <f>'[9]Диспан.набл.взрослых Пр.16- 23'!O96+'[9]Уточнение Пр.17-23  '!O96</f>
        <v>0</v>
      </c>
      <c r="P96" s="871">
        <f>'[9]Диспан.набл.взрослых Пр.16- 23'!P96+'[9]Уточнение Пр.17-23  '!P96</f>
        <v>0</v>
      </c>
      <c r="Q96" s="871">
        <f>'[9]Диспан.набл.взрослых Пр.16- 23'!Q96+'[9]Уточнение Пр.17-23  '!Q96</f>
        <v>2</v>
      </c>
      <c r="R96" s="871">
        <f>'[9]Диспан.набл.взрослых Пр.16- 23'!R96+'[9]Уточнение Пр.17-23  '!R96</f>
        <v>0</v>
      </c>
      <c r="S96" s="871">
        <f t="shared" si="6"/>
        <v>154</v>
      </c>
      <c r="T96" s="870">
        <f>D96-'[9]Диспан.набл.взрослых Пр.16- 23'!D96</f>
        <v>0</v>
      </c>
    </row>
    <row r="97" spans="1:20" ht="24" x14ac:dyDescent="0.25">
      <c r="A97" s="1157"/>
      <c r="B97" s="1160"/>
      <c r="C97" s="567" t="s">
        <v>180</v>
      </c>
      <c r="D97" s="871">
        <f t="shared" si="5"/>
        <v>0</v>
      </c>
      <c r="E97" s="871">
        <f>'[9]Диспан.набл.взрослых Пр.16- 23'!E97+'[9]Уточнение Пр.17-23  '!E97</f>
        <v>0</v>
      </c>
      <c r="F97" s="871">
        <f>'[9]Диспан.набл.взрослых Пр.16- 23'!F97+'[9]Уточнение Пр.17-23  '!F97</f>
        <v>0</v>
      </c>
      <c r="G97" s="871">
        <f>'[9]Диспан.набл.взрослых Пр.16- 23'!G97+'[9]Уточнение Пр.17-23  '!G97</f>
        <v>0</v>
      </c>
      <c r="H97" s="871">
        <f>'[9]Диспан.набл.взрослых Пр.16- 23'!H97+'[9]Уточнение Пр.17-23  '!H97</f>
        <v>0</v>
      </c>
      <c r="I97" s="871">
        <f>'[9]Диспан.набл.взрослых Пр.16- 23'!I97+'[9]Уточнение Пр.17-23  '!I97</f>
        <v>0</v>
      </c>
      <c r="J97" s="871">
        <f>'[9]Диспан.набл.взрослых Пр.16- 23'!J97+'[9]Уточнение Пр.17-23  '!J97</f>
        <v>0</v>
      </c>
      <c r="K97" s="871">
        <f>'[9]Диспан.набл.взрослых Пр.16- 23'!K97+'[9]Уточнение Пр.17-23  '!K97</f>
        <v>0</v>
      </c>
      <c r="L97" s="871">
        <f>'[9]Диспан.набл.взрослых Пр.16- 23'!L97+'[9]Уточнение Пр.17-23  '!L97</f>
        <v>0</v>
      </c>
      <c r="M97" s="871">
        <f>'[9]Диспан.набл.взрослых Пр.16- 23'!M97+'[9]Уточнение Пр.17-23  '!M97</f>
        <v>0</v>
      </c>
      <c r="N97" s="871">
        <f>'[9]Диспан.набл.взрослых Пр.16- 23'!N97+'[9]Уточнение Пр.17-23  '!N97</f>
        <v>0</v>
      </c>
      <c r="O97" s="871">
        <f>'[9]Диспан.набл.взрослых Пр.16- 23'!O97+'[9]Уточнение Пр.17-23  '!O97</f>
        <v>0</v>
      </c>
      <c r="P97" s="871">
        <f>'[9]Диспан.набл.взрослых Пр.16- 23'!P97+'[9]Уточнение Пр.17-23  '!P97</f>
        <v>0</v>
      </c>
      <c r="Q97" s="871">
        <f>'[9]Диспан.набл.взрослых Пр.16- 23'!Q97+'[9]Уточнение Пр.17-23  '!Q97</f>
        <v>0</v>
      </c>
      <c r="R97" s="871">
        <f>'[9]Диспан.набл.взрослых Пр.16- 23'!R97+'[9]Уточнение Пр.17-23  '!R97</f>
        <v>0</v>
      </c>
      <c r="S97" s="871">
        <f t="shared" si="6"/>
        <v>0</v>
      </c>
      <c r="T97" s="870">
        <f>D97-'[9]Диспан.набл.взрослых Пр.16- 23'!D97</f>
        <v>0</v>
      </c>
    </row>
    <row r="98" spans="1:20" ht="36" x14ac:dyDescent="0.25">
      <c r="A98" s="1158"/>
      <c r="B98" s="1161"/>
      <c r="C98" s="307" t="s">
        <v>745</v>
      </c>
      <c r="D98" s="871">
        <f t="shared" si="5"/>
        <v>0</v>
      </c>
      <c r="E98" s="871">
        <f>'[9]Диспан.набл.взрослых Пр.16- 23'!E98+'[9]Уточнение Пр.17-23  '!E98</f>
        <v>0</v>
      </c>
      <c r="F98" s="871">
        <f>'[9]Диспан.набл.взрослых Пр.16- 23'!F98+'[9]Уточнение Пр.17-23  '!F98</f>
        <v>0</v>
      </c>
      <c r="G98" s="871">
        <f>'[9]Диспан.набл.взрослых Пр.16- 23'!G98+'[9]Уточнение Пр.17-23  '!G98</f>
        <v>0</v>
      </c>
      <c r="H98" s="871">
        <f>'[9]Диспан.набл.взрослых Пр.16- 23'!H98+'[9]Уточнение Пр.17-23  '!H98</f>
        <v>0</v>
      </c>
      <c r="I98" s="871">
        <f>'[9]Диспан.набл.взрослых Пр.16- 23'!I98+'[9]Уточнение Пр.17-23  '!I98</f>
        <v>0</v>
      </c>
      <c r="J98" s="871">
        <f>'[9]Диспан.набл.взрослых Пр.16- 23'!J98+'[9]Уточнение Пр.17-23  '!J98</f>
        <v>0</v>
      </c>
      <c r="K98" s="871">
        <f>'[9]Диспан.набл.взрослых Пр.16- 23'!K98+'[9]Уточнение Пр.17-23  '!K98</f>
        <v>0</v>
      </c>
      <c r="L98" s="871">
        <f>'[9]Диспан.набл.взрослых Пр.16- 23'!L98+'[9]Уточнение Пр.17-23  '!L98</f>
        <v>0</v>
      </c>
      <c r="M98" s="871">
        <f>'[9]Диспан.набл.взрослых Пр.16- 23'!M98+'[9]Уточнение Пр.17-23  '!M98</f>
        <v>0</v>
      </c>
      <c r="N98" s="871">
        <f>'[9]Диспан.набл.взрослых Пр.16- 23'!N98+'[9]Уточнение Пр.17-23  '!N98</f>
        <v>0</v>
      </c>
      <c r="O98" s="871">
        <f>'[9]Диспан.набл.взрослых Пр.16- 23'!O98+'[9]Уточнение Пр.17-23  '!O98</f>
        <v>0</v>
      </c>
      <c r="P98" s="871">
        <f>'[9]Диспан.набл.взрослых Пр.16- 23'!P98+'[9]Уточнение Пр.17-23  '!P98</f>
        <v>0</v>
      </c>
      <c r="Q98" s="871">
        <f>'[9]Диспан.набл.взрослых Пр.16- 23'!Q98+'[9]Уточнение Пр.17-23  '!Q98</f>
        <v>0</v>
      </c>
      <c r="R98" s="871">
        <f>'[9]Диспан.набл.взрослых Пр.16- 23'!R98+'[9]Уточнение Пр.17-23  '!R98</f>
        <v>0</v>
      </c>
      <c r="S98" s="871">
        <f t="shared" si="6"/>
        <v>0</v>
      </c>
      <c r="T98" s="870">
        <f>D98-'[9]Диспан.набл.взрослых Пр.16- 23'!D98</f>
        <v>0</v>
      </c>
    </row>
    <row r="99" spans="1:20" ht="24" x14ac:dyDescent="0.25">
      <c r="A99" s="873">
        <v>84</v>
      </c>
      <c r="B99" s="876" t="s">
        <v>181</v>
      </c>
      <c r="C99" s="875" t="s">
        <v>182</v>
      </c>
      <c r="D99" s="871">
        <f t="shared" si="5"/>
        <v>0</v>
      </c>
      <c r="E99" s="871">
        <f>'[9]Диспан.набл.взрослых Пр.16- 23'!E99+'[9]Уточнение Пр.17-23  '!E99</f>
        <v>0</v>
      </c>
      <c r="F99" s="871">
        <f>'[9]Диспан.набл.взрослых Пр.16- 23'!F99+'[9]Уточнение Пр.17-23  '!F99</f>
        <v>0</v>
      </c>
      <c r="G99" s="871">
        <f>'[9]Диспан.набл.взрослых Пр.16- 23'!G99+'[9]Уточнение Пр.17-23  '!G99</f>
        <v>0</v>
      </c>
      <c r="H99" s="871">
        <f>'[9]Диспан.набл.взрослых Пр.16- 23'!H99+'[9]Уточнение Пр.17-23  '!H99</f>
        <v>0</v>
      </c>
      <c r="I99" s="871">
        <f>'[9]Диспан.набл.взрослых Пр.16- 23'!I99+'[9]Уточнение Пр.17-23  '!I99</f>
        <v>0</v>
      </c>
      <c r="J99" s="871">
        <f>'[9]Диспан.набл.взрослых Пр.16- 23'!J99+'[9]Уточнение Пр.17-23  '!J99</f>
        <v>0</v>
      </c>
      <c r="K99" s="871">
        <f>'[9]Диспан.набл.взрослых Пр.16- 23'!K99+'[9]Уточнение Пр.17-23  '!K99</f>
        <v>0</v>
      </c>
      <c r="L99" s="871">
        <f>'[9]Диспан.набл.взрослых Пр.16- 23'!L99+'[9]Уточнение Пр.17-23  '!L99</f>
        <v>0</v>
      </c>
      <c r="M99" s="871">
        <f>'[9]Диспан.набл.взрослых Пр.16- 23'!M99+'[9]Уточнение Пр.17-23  '!M99</f>
        <v>0</v>
      </c>
      <c r="N99" s="871">
        <f>'[9]Диспан.набл.взрослых Пр.16- 23'!N99+'[9]Уточнение Пр.17-23  '!N99</f>
        <v>0</v>
      </c>
      <c r="O99" s="871">
        <f>'[9]Диспан.набл.взрослых Пр.16- 23'!O99+'[9]Уточнение Пр.17-23  '!O99</f>
        <v>0</v>
      </c>
      <c r="P99" s="871">
        <f>'[9]Диспан.набл.взрослых Пр.16- 23'!P99+'[9]Уточнение Пр.17-23  '!P99</f>
        <v>0</v>
      </c>
      <c r="Q99" s="871">
        <f>'[9]Диспан.набл.взрослых Пр.16- 23'!Q99+'[9]Уточнение Пр.17-23  '!Q99</f>
        <v>0</v>
      </c>
      <c r="R99" s="871">
        <f>'[9]Диспан.набл.взрослых Пр.16- 23'!R99+'[9]Уточнение Пр.17-23  '!R99</f>
        <v>0</v>
      </c>
      <c r="S99" s="871">
        <f t="shared" si="6"/>
        <v>0</v>
      </c>
      <c r="T99" s="870">
        <f>D99-'[9]Диспан.набл.взрослых Пр.16- 23'!D99</f>
        <v>0</v>
      </c>
    </row>
    <row r="100" spans="1:20" x14ac:dyDescent="0.25">
      <c r="A100" s="873">
        <v>85</v>
      </c>
      <c r="B100" s="876" t="s">
        <v>183</v>
      </c>
      <c r="C100" s="1" t="s">
        <v>184</v>
      </c>
      <c r="D100" s="871">
        <f t="shared" si="5"/>
        <v>2169</v>
      </c>
      <c r="E100" s="871">
        <f>'[9]Диспан.набл.взрослых Пр.16- 23'!E100+'[9]Уточнение Пр.17-23  '!E100</f>
        <v>1740</v>
      </c>
      <c r="F100" s="871">
        <f>'[9]Диспан.набл.взрослых Пр.16- 23'!F100+'[9]Уточнение Пр.17-23  '!F100</f>
        <v>416</v>
      </c>
      <c r="G100" s="871">
        <f>'[9]Диспан.набл.взрослых Пр.16- 23'!G100+'[9]Уточнение Пр.17-23  '!G100</f>
        <v>0</v>
      </c>
      <c r="H100" s="871">
        <f>'[9]Диспан.набл.взрослых Пр.16- 23'!H100+'[9]Уточнение Пр.17-23  '!H100</f>
        <v>11</v>
      </c>
      <c r="I100" s="871">
        <f>'[9]Диспан.набл.взрослых Пр.16- 23'!I100+'[9]Уточнение Пр.17-23  '!I100</f>
        <v>0</v>
      </c>
      <c r="J100" s="871">
        <f>'[9]Диспан.набл.взрослых Пр.16- 23'!J100+'[9]Уточнение Пр.17-23  '!J100</f>
        <v>0</v>
      </c>
      <c r="K100" s="871">
        <f>'[9]Диспан.набл.взрослых Пр.16- 23'!K100+'[9]Уточнение Пр.17-23  '!K100</f>
        <v>2</v>
      </c>
      <c r="L100" s="871">
        <f>'[9]Диспан.набл.взрослых Пр.16- 23'!L100+'[9]Уточнение Пр.17-23  '!L100</f>
        <v>0</v>
      </c>
      <c r="M100" s="871">
        <f>'[9]Диспан.набл.взрослых Пр.16- 23'!M100+'[9]Уточнение Пр.17-23  '!M100</f>
        <v>0</v>
      </c>
      <c r="N100" s="871">
        <f>'[9]Диспан.набл.взрослых Пр.16- 23'!N100+'[9]Уточнение Пр.17-23  '!N100</f>
        <v>0</v>
      </c>
      <c r="O100" s="871">
        <f>'[9]Диспан.набл.взрослых Пр.16- 23'!O100+'[9]Уточнение Пр.17-23  '!O100</f>
        <v>0</v>
      </c>
      <c r="P100" s="871">
        <f>'[9]Диспан.набл.взрослых Пр.16- 23'!P100+'[9]Уточнение Пр.17-23  '!P100</f>
        <v>0</v>
      </c>
      <c r="Q100" s="871">
        <f>'[9]Диспан.набл.взрослых Пр.16- 23'!Q100+'[9]Уточнение Пр.17-23  '!Q100</f>
        <v>0</v>
      </c>
      <c r="R100" s="871">
        <f>'[9]Диспан.набл.взрослых Пр.16- 23'!R100+'[9]Уточнение Пр.17-23  '!R100</f>
        <v>0</v>
      </c>
      <c r="S100" s="871">
        <f t="shared" si="6"/>
        <v>1740</v>
      </c>
      <c r="T100" s="870">
        <f>D100-'[9]Диспан.набл.взрослых Пр.16- 23'!D100</f>
        <v>0</v>
      </c>
    </row>
    <row r="101" spans="1:20" x14ac:dyDescent="0.25">
      <c r="A101" s="873">
        <v>86</v>
      </c>
      <c r="B101" s="877" t="s">
        <v>185</v>
      </c>
      <c r="C101" s="567" t="s">
        <v>186</v>
      </c>
      <c r="D101" s="871">
        <f t="shared" si="5"/>
        <v>6690</v>
      </c>
      <c r="E101" s="871">
        <f>'[9]Диспан.набл.взрослых Пр.16- 23'!E101+'[9]Уточнение Пр.17-23  '!E101</f>
        <v>5333</v>
      </c>
      <c r="F101" s="871">
        <f>'[9]Диспан.набл.взрослых Пр.16- 23'!F101+'[9]Уточнение Пр.17-23  '!F101</f>
        <v>974</v>
      </c>
      <c r="G101" s="871">
        <f>'[9]Диспан.набл.взрослых Пр.16- 23'!G101+'[9]Уточнение Пр.17-23  '!G101</f>
        <v>156</v>
      </c>
      <c r="H101" s="871">
        <f>'[9]Диспан.набл.взрослых Пр.16- 23'!H101+'[9]Уточнение Пр.17-23  '!H101</f>
        <v>150</v>
      </c>
      <c r="I101" s="871">
        <f>'[9]Диспан.набл.взрослых Пр.16- 23'!I101+'[9]Уточнение Пр.17-23  '!I101</f>
        <v>0</v>
      </c>
      <c r="J101" s="871">
        <f>'[9]Диспан.набл.взрослых Пр.16- 23'!J101+'[9]Уточнение Пр.17-23  '!J101</f>
        <v>0</v>
      </c>
      <c r="K101" s="871">
        <f>'[9]Диспан.набл.взрослых Пр.16- 23'!K101+'[9]Уточнение Пр.17-23  '!K101</f>
        <v>0</v>
      </c>
      <c r="L101" s="871">
        <f>'[9]Диспан.набл.взрослых Пр.16- 23'!L101+'[9]Уточнение Пр.17-23  '!L101</f>
        <v>0</v>
      </c>
      <c r="M101" s="871">
        <f>'[9]Диспан.набл.взрослых Пр.16- 23'!M101+'[9]Уточнение Пр.17-23  '!M101</f>
        <v>4</v>
      </c>
      <c r="N101" s="871">
        <f>'[9]Диспан.набл.взрослых Пр.16- 23'!N101+'[9]Уточнение Пр.17-23  '!N101</f>
        <v>0</v>
      </c>
      <c r="O101" s="871">
        <f>'[9]Диспан.набл.взрослых Пр.16- 23'!O101+'[9]Уточнение Пр.17-23  '!O101</f>
        <v>1</v>
      </c>
      <c r="P101" s="871">
        <f>'[9]Диспан.набл.взрослых Пр.16- 23'!P101+'[9]Уточнение Пр.17-23  '!P101</f>
        <v>3</v>
      </c>
      <c r="Q101" s="871">
        <f>'[9]Диспан.набл.взрослых Пр.16- 23'!Q101+'[9]Уточнение Пр.17-23  '!Q101</f>
        <v>0</v>
      </c>
      <c r="R101" s="871">
        <f>'[9]Диспан.набл.взрослых Пр.16- 23'!R101+'[9]Уточнение Пр.17-23  '!R101</f>
        <v>69</v>
      </c>
      <c r="S101" s="871">
        <f t="shared" si="6"/>
        <v>5333</v>
      </c>
      <c r="T101" s="870">
        <f>D101-'[9]Диспан.набл.взрослых Пр.16- 23'!D101</f>
        <v>0</v>
      </c>
    </row>
    <row r="102" spans="1:20" x14ac:dyDescent="0.25">
      <c r="A102" s="873">
        <v>87</v>
      </c>
      <c r="B102" s="876" t="s">
        <v>187</v>
      </c>
      <c r="C102" s="875" t="s">
        <v>188</v>
      </c>
      <c r="D102" s="871">
        <f t="shared" si="5"/>
        <v>4580</v>
      </c>
      <c r="E102" s="871">
        <f>'[9]Диспан.набл.взрослых Пр.16- 23'!E102+'[9]Уточнение Пр.17-23  '!E102</f>
        <v>3740</v>
      </c>
      <c r="F102" s="871">
        <f>'[9]Диспан.набл.взрослых Пр.16- 23'!F102+'[9]Уточнение Пр.17-23  '!F102</f>
        <v>649</v>
      </c>
      <c r="G102" s="871">
        <f>'[9]Диспан.набл.взрослых Пр.16- 23'!G102+'[9]Уточнение Пр.17-23  '!G102</f>
        <v>4</v>
      </c>
      <c r="H102" s="871">
        <f>'[9]Диспан.набл.взрослых Пр.16- 23'!H102+'[9]Уточнение Пр.17-23  '!H102</f>
        <v>94</v>
      </c>
      <c r="I102" s="871">
        <f>'[9]Диспан.набл.взрослых Пр.16- 23'!I102+'[9]Уточнение Пр.17-23  '!I102</f>
        <v>0</v>
      </c>
      <c r="J102" s="871">
        <f>'[9]Диспан.набл.взрослых Пр.16- 23'!J102+'[9]Уточнение Пр.17-23  '!J102</f>
        <v>0</v>
      </c>
      <c r="K102" s="871">
        <f>'[9]Диспан.набл.взрослых Пр.16- 23'!K102+'[9]Уточнение Пр.17-23  '!K102</f>
        <v>0</v>
      </c>
      <c r="L102" s="871">
        <f>'[9]Диспан.набл.взрослых Пр.16- 23'!L102+'[9]Уточнение Пр.17-23  '!L102</f>
        <v>2</v>
      </c>
      <c r="M102" s="871">
        <f>'[9]Диспан.набл.взрослых Пр.16- 23'!M102+'[9]Уточнение Пр.17-23  '!M102</f>
        <v>0</v>
      </c>
      <c r="N102" s="871">
        <f>'[9]Диспан.набл.взрослых Пр.16- 23'!N102+'[9]Уточнение Пр.17-23  '!N102</f>
        <v>1</v>
      </c>
      <c r="O102" s="871">
        <f>'[9]Диспан.набл.взрослых Пр.16- 23'!O102+'[9]Уточнение Пр.17-23  '!O102</f>
        <v>0</v>
      </c>
      <c r="P102" s="871">
        <f>'[9]Диспан.набл.взрослых Пр.16- 23'!P102+'[9]Уточнение Пр.17-23  '!P102</f>
        <v>0</v>
      </c>
      <c r="Q102" s="871">
        <f>'[9]Диспан.набл.взрослых Пр.16- 23'!Q102+'[9]Уточнение Пр.17-23  '!Q102</f>
        <v>19</v>
      </c>
      <c r="R102" s="871">
        <f>'[9]Диспан.набл.взрослых Пр.16- 23'!R102+'[9]Уточнение Пр.17-23  '!R102</f>
        <v>71</v>
      </c>
      <c r="S102" s="871">
        <f t="shared" si="6"/>
        <v>3740</v>
      </c>
      <c r="T102" s="870">
        <f>D102-'[9]Диспан.набл.взрослых Пр.16- 23'!D102</f>
        <v>0</v>
      </c>
    </row>
    <row r="103" spans="1:20" x14ac:dyDescent="0.25">
      <c r="A103" s="873">
        <v>88</v>
      </c>
      <c r="B103" s="877" t="s">
        <v>189</v>
      </c>
      <c r="C103" s="567" t="s">
        <v>190</v>
      </c>
      <c r="D103" s="871">
        <f t="shared" si="5"/>
        <v>3583</v>
      </c>
      <c r="E103" s="871">
        <f>'[9]Диспан.набл.взрослых Пр.16- 23'!E103+'[9]Уточнение Пр.17-23  '!E103</f>
        <v>3552</v>
      </c>
      <c r="F103" s="871">
        <f>'[9]Диспан.набл.взрослых Пр.16- 23'!F103+'[9]Уточнение Пр.17-23  '!F103</f>
        <v>1</v>
      </c>
      <c r="G103" s="871">
        <f>'[9]Диспан.набл.взрослых Пр.16- 23'!G103+'[9]Уточнение Пр.17-23  '!G103</f>
        <v>0</v>
      </c>
      <c r="H103" s="871">
        <f>'[9]Диспан.набл.взрослых Пр.16- 23'!H103+'[9]Уточнение Пр.17-23  '!H103</f>
        <v>1</v>
      </c>
      <c r="I103" s="871">
        <f>'[9]Диспан.набл.взрослых Пр.16- 23'!I103+'[9]Уточнение Пр.17-23  '!I103</f>
        <v>0</v>
      </c>
      <c r="J103" s="871">
        <f>'[9]Диспан.набл.взрослых Пр.16- 23'!J103+'[9]Уточнение Пр.17-23  '!J103</f>
        <v>0</v>
      </c>
      <c r="K103" s="871">
        <f>'[9]Диспан.набл.взрослых Пр.16- 23'!K103+'[9]Уточнение Пр.17-23  '!K103</f>
        <v>0</v>
      </c>
      <c r="L103" s="871">
        <f>'[9]Диспан.набл.взрослых Пр.16- 23'!L103+'[9]Уточнение Пр.17-23  '!L103</f>
        <v>0</v>
      </c>
      <c r="M103" s="871">
        <f>'[9]Диспан.набл.взрослых Пр.16- 23'!M103+'[9]Уточнение Пр.17-23  '!M103</f>
        <v>5</v>
      </c>
      <c r="N103" s="871">
        <f>'[9]Диспан.набл.взрослых Пр.16- 23'!N103+'[9]Уточнение Пр.17-23  '!N103</f>
        <v>3</v>
      </c>
      <c r="O103" s="871">
        <f>'[9]Диспан.набл.взрослых Пр.16- 23'!O103+'[9]Уточнение Пр.17-23  '!O103</f>
        <v>0</v>
      </c>
      <c r="P103" s="871">
        <f>'[9]Диспан.набл.взрослых Пр.16- 23'!P103+'[9]Уточнение Пр.17-23  '!P103</f>
        <v>0</v>
      </c>
      <c r="Q103" s="871">
        <f>'[9]Диспан.набл.взрослых Пр.16- 23'!Q103+'[9]Уточнение Пр.17-23  '!Q103</f>
        <v>16</v>
      </c>
      <c r="R103" s="871">
        <f>'[9]Диспан.набл.взрослых Пр.16- 23'!R103+'[9]Уточнение Пр.17-23  '!R103</f>
        <v>5</v>
      </c>
      <c r="S103" s="871">
        <f t="shared" si="6"/>
        <v>3552</v>
      </c>
      <c r="T103" s="870">
        <f>D103-'[9]Диспан.набл.взрослых Пр.16- 23'!D103</f>
        <v>0</v>
      </c>
    </row>
    <row r="104" spans="1:20" x14ac:dyDescent="0.25">
      <c r="A104" s="873">
        <v>89</v>
      </c>
      <c r="B104" s="877" t="s">
        <v>191</v>
      </c>
      <c r="C104" s="567" t="s">
        <v>192</v>
      </c>
      <c r="D104" s="871">
        <f t="shared" si="5"/>
        <v>13140</v>
      </c>
      <c r="E104" s="871">
        <f>'[9]Диспан.набл.взрослых Пр.16- 23'!E104+'[9]Уточнение Пр.17-23  '!E104</f>
        <v>12785</v>
      </c>
      <c r="F104" s="871">
        <f>'[9]Диспан.набл.взрослых Пр.16- 23'!F104+'[9]Уточнение Пр.17-23  '!F104</f>
        <v>121</v>
      </c>
      <c r="G104" s="871">
        <f>'[9]Диспан.набл.взрослых Пр.16- 23'!G104+'[9]Уточнение Пр.17-23  '!G104</f>
        <v>100</v>
      </c>
      <c r="H104" s="871">
        <f>'[9]Диспан.набл.взрослых Пр.16- 23'!H104+'[9]Уточнение Пр.17-23  '!H104</f>
        <v>79</v>
      </c>
      <c r="I104" s="871">
        <f>'[9]Диспан.набл.взрослых Пр.16- 23'!I104+'[9]Уточнение Пр.17-23  '!I104</f>
        <v>0</v>
      </c>
      <c r="J104" s="871">
        <f>'[9]Диспан.набл.взрослых Пр.16- 23'!J104+'[9]Уточнение Пр.17-23  '!J104</f>
        <v>0</v>
      </c>
      <c r="K104" s="871">
        <f>'[9]Диспан.набл.взрослых Пр.16- 23'!K104+'[9]Уточнение Пр.17-23  '!K104</f>
        <v>3</v>
      </c>
      <c r="L104" s="871">
        <f>'[9]Диспан.набл.взрослых Пр.16- 23'!L104+'[9]Уточнение Пр.17-23  '!L104</f>
        <v>0</v>
      </c>
      <c r="M104" s="871">
        <f>'[9]Диспан.набл.взрослых Пр.16- 23'!M104+'[9]Уточнение Пр.17-23  '!M104</f>
        <v>2</v>
      </c>
      <c r="N104" s="871">
        <f>'[9]Диспан.набл.взрослых Пр.16- 23'!N104+'[9]Уточнение Пр.17-23  '!N104</f>
        <v>18</v>
      </c>
      <c r="O104" s="871">
        <f>'[9]Диспан.набл.взрослых Пр.16- 23'!O104+'[9]Уточнение Пр.17-23  '!O104</f>
        <v>4</v>
      </c>
      <c r="P104" s="871">
        <f>'[9]Диспан.набл.взрослых Пр.16- 23'!P104+'[9]Уточнение Пр.17-23  '!P104</f>
        <v>0</v>
      </c>
      <c r="Q104" s="871">
        <f>'[9]Диспан.набл.взрослых Пр.16- 23'!Q104+'[9]Уточнение Пр.17-23  '!Q104</f>
        <v>28</v>
      </c>
      <c r="R104" s="871">
        <f>'[9]Диспан.набл.взрослых Пр.16- 23'!R104+'[9]Уточнение Пр.17-23  '!R104</f>
        <v>0</v>
      </c>
      <c r="S104" s="871">
        <f t="shared" si="6"/>
        <v>12785</v>
      </c>
      <c r="T104" s="870">
        <f>D104-'[9]Диспан.набл.взрослых Пр.16- 23'!D104</f>
        <v>0</v>
      </c>
    </row>
    <row r="105" spans="1:20" x14ac:dyDescent="0.25">
      <c r="A105" s="873">
        <v>90</v>
      </c>
      <c r="B105" s="876" t="s">
        <v>193</v>
      </c>
      <c r="C105" s="1" t="s">
        <v>194</v>
      </c>
      <c r="D105" s="871">
        <f t="shared" si="5"/>
        <v>5264</v>
      </c>
      <c r="E105" s="871">
        <f>'[9]Диспан.набл.взрослых Пр.16- 23'!E105+'[9]Уточнение Пр.17-23  '!E105</f>
        <v>4763</v>
      </c>
      <c r="F105" s="871">
        <f>'[9]Диспан.набл.взрослых Пр.16- 23'!F105+'[9]Уточнение Пр.17-23  '!F105</f>
        <v>351</v>
      </c>
      <c r="G105" s="871">
        <f>'[9]Диспан.набл.взрослых Пр.16- 23'!G105+'[9]Уточнение Пр.17-23  '!G105</f>
        <v>95</v>
      </c>
      <c r="H105" s="871">
        <f>'[9]Диспан.набл.взрослых Пр.16- 23'!H105+'[9]Уточнение Пр.17-23  '!H105</f>
        <v>0</v>
      </c>
      <c r="I105" s="871">
        <f>'[9]Диспан.набл.взрослых Пр.16- 23'!I105+'[9]Уточнение Пр.17-23  '!I105</f>
        <v>0</v>
      </c>
      <c r="J105" s="871">
        <f>'[9]Диспан.набл.взрослых Пр.16- 23'!J105+'[9]Уточнение Пр.17-23  '!J105</f>
        <v>0</v>
      </c>
      <c r="K105" s="871">
        <f>'[9]Диспан.набл.взрослых Пр.16- 23'!K105+'[9]Уточнение Пр.17-23  '!K105</f>
        <v>2</v>
      </c>
      <c r="L105" s="871">
        <f>'[9]Диспан.набл.взрослых Пр.16- 23'!L105+'[9]Уточнение Пр.17-23  '!L105</f>
        <v>0</v>
      </c>
      <c r="M105" s="871">
        <f>'[9]Диспан.набл.взрослых Пр.16- 23'!M105+'[9]Уточнение Пр.17-23  '!M105</f>
        <v>1</v>
      </c>
      <c r="N105" s="871">
        <f>'[9]Диспан.набл.взрослых Пр.16- 23'!N105+'[9]Уточнение Пр.17-23  '!N105</f>
        <v>30</v>
      </c>
      <c r="O105" s="871">
        <f>'[9]Диспан.набл.взрослых Пр.16- 23'!O105+'[9]Уточнение Пр.17-23  '!O105</f>
        <v>0</v>
      </c>
      <c r="P105" s="871">
        <f>'[9]Диспан.набл.взрослых Пр.16- 23'!P105+'[9]Уточнение Пр.17-23  '!P105</f>
        <v>0</v>
      </c>
      <c r="Q105" s="871">
        <f>'[9]Диспан.набл.взрослых Пр.16- 23'!Q105+'[9]Уточнение Пр.17-23  '!Q105</f>
        <v>19</v>
      </c>
      <c r="R105" s="871">
        <f>'[9]Диспан.набл.взрослых Пр.16- 23'!R105+'[9]Уточнение Пр.17-23  '!R105</f>
        <v>3</v>
      </c>
      <c r="S105" s="871">
        <f t="shared" si="6"/>
        <v>4763</v>
      </c>
      <c r="T105" s="870">
        <f>D105-'[9]Диспан.набл.взрослых Пр.16- 23'!D105</f>
        <v>0</v>
      </c>
    </row>
    <row r="106" spans="1:20" x14ac:dyDescent="0.25">
      <c r="A106" s="873">
        <v>91</v>
      </c>
      <c r="B106" s="876" t="s">
        <v>195</v>
      </c>
      <c r="C106" s="875" t="s">
        <v>196</v>
      </c>
      <c r="D106" s="871">
        <f t="shared" si="5"/>
        <v>10485</v>
      </c>
      <c r="E106" s="871">
        <f>'[9]Диспан.набл.взрослых Пр.16- 23'!E106+'[9]Уточнение Пр.17-23  '!E106</f>
        <v>9461</v>
      </c>
      <c r="F106" s="871">
        <f>'[9]Диспан.набл.взрослых Пр.16- 23'!F106+'[9]Уточнение Пр.17-23  '!F106</f>
        <v>565</v>
      </c>
      <c r="G106" s="871">
        <f>'[9]Диспан.набл.взрослых Пр.16- 23'!G106+'[9]Уточнение Пр.17-23  '!G106</f>
        <v>220</v>
      </c>
      <c r="H106" s="871">
        <f>'[9]Диспан.набл.взрослых Пр.16- 23'!H106+'[9]Уточнение Пр.17-23  '!H106</f>
        <v>138</v>
      </c>
      <c r="I106" s="871">
        <f>'[9]Диспан.набл.взрослых Пр.16- 23'!I106+'[9]Уточнение Пр.17-23  '!I106</f>
        <v>0</v>
      </c>
      <c r="J106" s="871">
        <f>'[9]Диспан.набл.взрослых Пр.16- 23'!J106+'[9]Уточнение Пр.17-23  '!J106</f>
        <v>0</v>
      </c>
      <c r="K106" s="871">
        <f>'[9]Диспан.набл.взрослых Пр.16- 23'!K106+'[9]Уточнение Пр.17-23  '!K106</f>
        <v>0</v>
      </c>
      <c r="L106" s="871">
        <f>'[9]Диспан.набл.взрослых Пр.16- 23'!L106+'[9]Уточнение Пр.17-23  '!L106</f>
        <v>3</v>
      </c>
      <c r="M106" s="871">
        <f>'[9]Диспан.набл.взрослых Пр.16- 23'!M106+'[9]Уточнение Пр.17-23  '!M106</f>
        <v>6</v>
      </c>
      <c r="N106" s="871">
        <f>'[9]Диспан.набл.взрослых Пр.16- 23'!N106+'[9]Уточнение Пр.17-23  '!N106</f>
        <v>10</v>
      </c>
      <c r="O106" s="871">
        <f>'[9]Диспан.набл.взрослых Пр.16- 23'!O106+'[9]Уточнение Пр.17-23  '!O106</f>
        <v>0</v>
      </c>
      <c r="P106" s="871">
        <f>'[9]Диспан.набл.взрослых Пр.16- 23'!P106+'[9]Уточнение Пр.17-23  '!P106</f>
        <v>0</v>
      </c>
      <c r="Q106" s="871">
        <f>'[9]Диспан.набл.взрослых Пр.16- 23'!Q106+'[9]Уточнение Пр.17-23  '!Q106</f>
        <v>77</v>
      </c>
      <c r="R106" s="871">
        <f>'[9]Диспан.набл.взрослых Пр.16- 23'!R106+'[9]Уточнение Пр.17-23  '!R106</f>
        <v>5</v>
      </c>
      <c r="S106" s="871">
        <f t="shared" si="6"/>
        <v>9461</v>
      </c>
      <c r="T106" s="870">
        <f>D106-'[9]Диспан.набл.взрослых Пр.16- 23'!D106</f>
        <v>0</v>
      </c>
    </row>
    <row r="107" spans="1:20" x14ac:dyDescent="0.25">
      <c r="A107" s="873">
        <v>92</v>
      </c>
      <c r="B107" s="874" t="s">
        <v>197</v>
      </c>
      <c r="C107" s="875" t="s">
        <v>198</v>
      </c>
      <c r="D107" s="871">
        <f t="shared" si="5"/>
        <v>9656</v>
      </c>
      <c r="E107" s="871">
        <f>'[9]Диспан.набл.взрослых Пр.16- 23'!E107+'[9]Уточнение Пр.17-23  '!E107</f>
        <v>8534</v>
      </c>
      <c r="F107" s="871">
        <f>'[9]Диспан.набл.взрослых Пр.16- 23'!F107+'[9]Уточнение Пр.17-23  '!F107</f>
        <v>858</v>
      </c>
      <c r="G107" s="871">
        <f>'[9]Диспан.набл.взрослых Пр.16- 23'!G107+'[9]Уточнение Пр.17-23  '!G107</f>
        <v>200</v>
      </c>
      <c r="H107" s="871">
        <f>'[9]Диспан.набл.взрослых Пр.16- 23'!H107+'[9]Уточнение Пр.17-23  '!H107</f>
        <v>38</v>
      </c>
      <c r="I107" s="871">
        <f>'[9]Диспан.набл.взрослых Пр.16- 23'!I107+'[9]Уточнение Пр.17-23  '!I107</f>
        <v>0</v>
      </c>
      <c r="J107" s="871">
        <f>'[9]Диспан.набл.взрослых Пр.16- 23'!J107+'[9]Уточнение Пр.17-23  '!J107</f>
        <v>0</v>
      </c>
      <c r="K107" s="871">
        <f>'[9]Диспан.набл.взрослых Пр.16- 23'!K107+'[9]Уточнение Пр.17-23  '!K107</f>
        <v>0</v>
      </c>
      <c r="L107" s="871">
        <f>'[9]Диспан.набл.взрослых Пр.16- 23'!L107+'[9]Уточнение Пр.17-23  '!L107</f>
        <v>1</v>
      </c>
      <c r="M107" s="871">
        <f>'[9]Диспан.набл.взрослых Пр.16- 23'!M107+'[9]Уточнение Пр.17-23  '!M107</f>
        <v>0</v>
      </c>
      <c r="N107" s="871">
        <f>'[9]Диспан.набл.взрослых Пр.16- 23'!N107+'[9]Уточнение Пр.17-23  '!N107</f>
        <v>2</v>
      </c>
      <c r="O107" s="871">
        <f>'[9]Диспан.набл.взрослых Пр.16- 23'!O107+'[9]Уточнение Пр.17-23  '!O107</f>
        <v>0</v>
      </c>
      <c r="P107" s="871">
        <f>'[9]Диспан.набл.взрослых Пр.16- 23'!P107+'[9]Уточнение Пр.17-23  '!P107</f>
        <v>0</v>
      </c>
      <c r="Q107" s="871">
        <f>'[9]Диспан.набл.взрослых Пр.16- 23'!Q107+'[9]Уточнение Пр.17-23  '!Q107</f>
        <v>22</v>
      </c>
      <c r="R107" s="871">
        <f>'[9]Диспан.набл.взрослых Пр.16- 23'!R107+'[9]Уточнение Пр.17-23  '!R107</f>
        <v>1</v>
      </c>
      <c r="S107" s="871">
        <f t="shared" si="6"/>
        <v>8534</v>
      </c>
      <c r="T107" s="870">
        <f>D107-'[9]Диспан.набл.взрослых Пр.16- 23'!D107</f>
        <v>0</v>
      </c>
    </row>
    <row r="108" spans="1:20" x14ac:dyDescent="0.25">
      <c r="A108" s="873">
        <v>93</v>
      </c>
      <c r="B108" s="874" t="s">
        <v>199</v>
      </c>
      <c r="C108" s="875" t="s">
        <v>200</v>
      </c>
      <c r="D108" s="871">
        <f t="shared" si="5"/>
        <v>8391</v>
      </c>
      <c r="E108" s="871">
        <f>'[9]Диспан.набл.взрослых Пр.16- 23'!E108+'[9]Уточнение Пр.17-23  '!E108</f>
        <v>7513</v>
      </c>
      <c r="F108" s="871">
        <f>'[9]Диспан.набл.взрослых Пр.16- 23'!F108+'[9]Уточнение Пр.17-23  '!F108</f>
        <v>794</v>
      </c>
      <c r="G108" s="871">
        <f>'[9]Диспан.набл.взрослых Пр.16- 23'!G108+'[9]Уточнение Пр.17-23  '!G108</f>
        <v>2</v>
      </c>
      <c r="H108" s="871">
        <f>'[9]Диспан.набл.взрослых Пр.16- 23'!H108+'[9]Уточнение Пр.17-23  '!H108</f>
        <v>28</v>
      </c>
      <c r="I108" s="871">
        <f>'[9]Диспан.набл.взрослых Пр.16- 23'!I108+'[9]Уточнение Пр.17-23  '!I108</f>
        <v>0</v>
      </c>
      <c r="J108" s="871">
        <f>'[9]Диспан.набл.взрослых Пр.16- 23'!J108+'[9]Уточнение Пр.17-23  '!J108</f>
        <v>0</v>
      </c>
      <c r="K108" s="871">
        <f>'[9]Диспан.набл.взрослых Пр.16- 23'!K108+'[9]Уточнение Пр.17-23  '!K108</f>
        <v>0</v>
      </c>
      <c r="L108" s="871">
        <f>'[9]Диспан.набл.взрослых Пр.16- 23'!L108+'[9]Уточнение Пр.17-23  '!L108</f>
        <v>1</v>
      </c>
      <c r="M108" s="871">
        <f>'[9]Диспан.набл.взрослых Пр.16- 23'!M108+'[9]Уточнение Пр.17-23  '!M108</f>
        <v>17</v>
      </c>
      <c r="N108" s="871">
        <f>'[9]Диспан.набл.взрослых Пр.16- 23'!N108+'[9]Уточнение Пр.17-23  '!N108</f>
        <v>4</v>
      </c>
      <c r="O108" s="871">
        <f>'[9]Диспан.набл.взрослых Пр.16- 23'!O108+'[9]Уточнение Пр.17-23  '!O108</f>
        <v>2</v>
      </c>
      <c r="P108" s="871">
        <f>'[9]Диспан.набл.взрослых Пр.16- 23'!P108+'[9]Уточнение Пр.17-23  '!P108</f>
        <v>2</v>
      </c>
      <c r="Q108" s="871">
        <f>'[9]Диспан.набл.взрослых Пр.16- 23'!Q108+'[9]Уточнение Пр.17-23  '!Q108</f>
        <v>21</v>
      </c>
      <c r="R108" s="871">
        <f>'[9]Диспан.набл.взрослых Пр.16- 23'!R108+'[9]Уточнение Пр.17-23  '!R108</f>
        <v>7</v>
      </c>
      <c r="S108" s="871">
        <f t="shared" si="6"/>
        <v>7513</v>
      </c>
      <c r="T108" s="870">
        <f>D108-'[9]Диспан.набл.взрослых Пр.16- 23'!D108</f>
        <v>0</v>
      </c>
    </row>
    <row r="109" spans="1:20" x14ac:dyDescent="0.25">
      <c r="A109" s="873">
        <v>94</v>
      </c>
      <c r="B109" s="877" t="s">
        <v>201</v>
      </c>
      <c r="C109" s="567" t="s">
        <v>202</v>
      </c>
      <c r="D109" s="871">
        <f t="shared" si="5"/>
        <v>4993</v>
      </c>
      <c r="E109" s="871">
        <f>'[9]Диспан.набл.взрослых Пр.16- 23'!E109+'[9]Уточнение Пр.17-23  '!E109</f>
        <v>4652</v>
      </c>
      <c r="F109" s="871">
        <f>'[9]Диспан.набл.взрослых Пр.16- 23'!F109+'[9]Уточнение Пр.17-23  '!F109</f>
        <v>193</v>
      </c>
      <c r="G109" s="871">
        <f>'[9]Диспан.набл.взрослых Пр.16- 23'!G109+'[9]Уточнение Пр.17-23  '!G109</f>
        <v>70</v>
      </c>
      <c r="H109" s="871">
        <f>'[9]Диспан.набл.взрослых Пр.16- 23'!H109+'[9]Уточнение Пр.17-23  '!H109</f>
        <v>16</v>
      </c>
      <c r="I109" s="871">
        <f>'[9]Диспан.набл.взрослых Пр.16- 23'!I109+'[9]Уточнение Пр.17-23  '!I109</f>
        <v>0</v>
      </c>
      <c r="J109" s="871">
        <f>'[9]Диспан.набл.взрослых Пр.16- 23'!J109+'[9]Уточнение Пр.17-23  '!J109</f>
        <v>0</v>
      </c>
      <c r="K109" s="871">
        <f>'[9]Диспан.набл.взрослых Пр.16- 23'!K109+'[9]Уточнение Пр.17-23  '!K109</f>
        <v>0</v>
      </c>
      <c r="L109" s="871">
        <f>'[9]Диспан.набл.взрослых Пр.16- 23'!L109+'[9]Уточнение Пр.17-23  '!L109</f>
        <v>0</v>
      </c>
      <c r="M109" s="871">
        <f>'[9]Диспан.набл.взрослых Пр.16- 23'!M109+'[9]Уточнение Пр.17-23  '!M109</f>
        <v>0</v>
      </c>
      <c r="N109" s="871">
        <f>'[9]Диспан.набл.взрослых Пр.16- 23'!N109+'[9]Уточнение Пр.17-23  '!N109</f>
        <v>35</v>
      </c>
      <c r="O109" s="871">
        <f>'[9]Диспан.набл.взрослых Пр.16- 23'!O109+'[9]Уточнение Пр.17-23  '!O109</f>
        <v>0</v>
      </c>
      <c r="P109" s="871">
        <f>'[9]Диспан.набл.взрослых Пр.16- 23'!P109+'[9]Уточнение Пр.17-23  '!P109</f>
        <v>0</v>
      </c>
      <c r="Q109" s="871">
        <f>'[9]Диспан.набл.взрослых Пр.16- 23'!Q109+'[9]Уточнение Пр.17-23  '!Q109</f>
        <v>20</v>
      </c>
      <c r="R109" s="871">
        <f>'[9]Диспан.набл.взрослых Пр.16- 23'!R109+'[9]Уточнение Пр.17-23  '!R109</f>
        <v>7</v>
      </c>
      <c r="S109" s="871">
        <f t="shared" si="6"/>
        <v>4652</v>
      </c>
      <c r="T109" s="870">
        <f>D109-'[9]Диспан.набл.взрослых Пр.16- 23'!D109</f>
        <v>0</v>
      </c>
    </row>
    <row r="110" spans="1:20" x14ac:dyDescent="0.25">
      <c r="A110" s="873">
        <v>95</v>
      </c>
      <c r="B110" s="878" t="s">
        <v>203</v>
      </c>
      <c r="C110" s="1" t="s">
        <v>204</v>
      </c>
      <c r="D110" s="871">
        <f t="shared" si="5"/>
        <v>7220</v>
      </c>
      <c r="E110" s="871">
        <f>'[9]Диспан.набл.взрослых Пр.16- 23'!E110+'[9]Уточнение Пр.17-23  '!E110</f>
        <v>6908</v>
      </c>
      <c r="F110" s="871">
        <f>'[9]Диспан.набл.взрослых Пр.16- 23'!F110+'[9]Уточнение Пр.17-23  '!F110</f>
        <v>33</v>
      </c>
      <c r="G110" s="871">
        <f>'[9]Диспан.набл.взрослых Пр.16- 23'!G110+'[9]Уточнение Пр.17-23  '!G110</f>
        <v>185</v>
      </c>
      <c r="H110" s="871">
        <f>'[9]Диспан.набл.взрослых Пр.16- 23'!H110+'[9]Уточнение Пр.17-23  '!H110</f>
        <v>25</v>
      </c>
      <c r="I110" s="871">
        <f>'[9]Диспан.набл.взрослых Пр.16- 23'!I110+'[9]Уточнение Пр.17-23  '!I110</f>
        <v>0</v>
      </c>
      <c r="J110" s="871">
        <f>'[9]Диспан.набл.взрослых Пр.16- 23'!J110+'[9]Уточнение Пр.17-23  '!J110</f>
        <v>1</v>
      </c>
      <c r="K110" s="871">
        <f>'[9]Диспан.набл.взрослых Пр.16- 23'!K110+'[9]Уточнение Пр.17-23  '!K110</f>
        <v>0</v>
      </c>
      <c r="L110" s="871">
        <f>'[9]Диспан.набл.взрослых Пр.16- 23'!L110+'[9]Уточнение Пр.17-23  '!L110</f>
        <v>0</v>
      </c>
      <c r="M110" s="871">
        <f>'[9]Диспан.набл.взрослых Пр.16- 23'!M110+'[9]Уточнение Пр.17-23  '!M110</f>
        <v>0</v>
      </c>
      <c r="N110" s="871">
        <f>'[9]Диспан.набл.взрослых Пр.16- 23'!N110+'[9]Уточнение Пр.17-23  '!N110</f>
        <v>7</v>
      </c>
      <c r="O110" s="871">
        <f>'[9]Диспан.набл.взрослых Пр.16- 23'!O110+'[9]Уточнение Пр.17-23  '!O110</f>
        <v>0</v>
      </c>
      <c r="P110" s="871">
        <f>'[9]Диспан.набл.взрослых Пр.16- 23'!P110+'[9]Уточнение Пр.17-23  '!P110</f>
        <v>0</v>
      </c>
      <c r="Q110" s="871">
        <f>'[9]Диспан.набл.взрослых Пр.16- 23'!Q110+'[9]Уточнение Пр.17-23  '!Q110</f>
        <v>61</v>
      </c>
      <c r="R110" s="871">
        <f>'[9]Диспан.набл.взрослых Пр.16- 23'!R110+'[9]Уточнение Пр.17-23  '!R110</f>
        <v>0</v>
      </c>
      <c r="S110" s="871">
        <f t="shared" si="6"/>
        <v>6908</v>
      </c>
      <c r="T110" s="870">
        <f>D110-'[9]Диспан.набл.взрослых Пр.16- 23'!D110</f>
        <v>0</v>
      </c>
    </row>
    <row r="111" spans="1:20" x14ac:dyDescent="0.25">
      <c r="A111" s="873">
        <v>96</v>
      </c>
      <c r="B111" s="874" t="s">
        <v>205</v>
      </c>
      <c r="C111" s="875" t="s">
        <v>206</v>
      </c>
      <c r="D111" s="871">
        <f t="shared" si="5"/>
        <v>6929</v>
      </c>
      <c r="E111" s="871">
        <f>'[9]Диспан.набл.взрослых Пр.16- 23'!E111+'[9]Уточнение Пр.17-23  '!E111</f>
        <v>6390</v>
      </c>
      <c r="F111" s="871">
        <f>'[9]Диспан.набл.взрослых Пр.16- 23'!F111+'[9]Уточнение Пр.17-23  '!F111</f>
        <v>455</v>
      </c>
      <c r="G111" s="871">
        <f>'[9]Диспан.набл.взрослых Пр.16- 23'!G111+'[9]Уточнение Пр.17-23  '!G111</f>
        <v>16</v>
      </c>
      <c r="H111" s="871">
        <f>'[9]Диспан.набл.взрослых Пр.16- 23'!H111+'[9]Уточнение Пр.17-23  '!H111</f>
        <v>27</v>
      </c>
      <c r="I111" s="871">
        <f>'[9]Диспан.набл.взрослых Пр.16- 23'!I111+'[9]Уточнение Пр.17-23  '!I111</f>
        <v>0</v>
      </c>
      <c r="J111" s="871">
        <f>'[9]Диспан.набл.взрослых Пр.16- 23'!J111+'[9]Уточнение Пр.17-23  '!J111</f>
        <v>0</v>
      </c>
      <c r="K111" s="871">
        <f>'[9]Диспан.набл.взрослых Пр.16- 23'!K111+'[9]Уточнение Пр.17-23  '!K111</f>
        <v>0</v>
      </c>
      <c r="L111" s="871">
        <f>'[9]Диспан.набл.взрослых Пр.16- 23'!L111+'[9]Уточнение Пр.17-23  '!L111</f>
        <v>0</v>
      </c>
      <c r="M111" s="871">
        <f>'[9]Диспан.набл.взрослых Пр.16- 23'!M111+'[9]Уточнение Пр.17-23  '!M111</f>
        <v>2</v>
      </c>
      <c r="N111" s="871">
        <f>'[9]Диспан.набл.взрослых Пр.16- 23'!N111+'[9]Уточнение Пр.17-23  '!N111</f>
        <v>0</v>
      </c>
      <c r="O111" s="871">
        <f>'[9]Диспан.набл.взрослых Пр.16- 23'!O111+'[9]Уточнение Пр.17-23  '!O111</f>
        <v>0</v>
      </c>
      <c r="P111" s="871">
        <f>'[9]Диспан.набл.взрослых Пр.16- 23'!P111+'[9]Уточнение Пр.17-23  '!P111</f>
        <v>0</v>
      </c>
      <c r="Q111" s="871">
        <f>'[9]Диспан.набл.взрослых Пр.16- 23'!Q111+'[9]Уточнение Пр.17-23  '!Q111</f>
        <v>15</v>
      </c>
      <c r="R111" s="871">
        <f>'[9]Диспан.набл.взрослых Пр.16- 23'!R111+'[9]Уточнение Пр.17-23  '!R111</f>
        <v>24</v>
      </c>
      <c r="S111" s="871">
        <f t="shared" si="6"/>
        <v>6390</v>
      </c>
      <c r="T111" s="870">
        <f>D111-'[9]Диспан.набл.взрослых Пр.16- 23'!D111</f>
        <v>0</v>
      </c>
    </row>
    <row r="112" spans="1:20" x14ac:dyDescent="0.25">
      <c r="A112" s="873">
        <v>97</v>
      </c>
      <c r="B112" s="876" t="s">
        <v>207</v>
      </c>
      <c r="C112" s="875" t="s">
        <v>208</v>
      </c>
      <c r="D112" s="871">
        <f t="shared" si="5"/>
        <v>6409</v>
      </c>
      <c r="E112" s="871">
        <f>'[9]Диспан.набл.взрослых Пр.16- 23'!E112+'[9]Уточнение Пр.17-23  '!E112</f>
        <v>5484</v>
      </c>
      <c r="F112" s="871">
        <f>'[9]Диспан.набл.взрослых Пр.16- 23'!F112+'[9]Уточнение Пр.17-23  '!F112</f>
        <v>777</v>
      </c>
      <c r="G112" s="871">
        <f>'[9]Диспан.набл.взрослых Пр.16- 23'!G112+'[9]Уточнение Пр.17-23  '!G112</f>
        <v>47</v>
      </c>
      <c r="H112" s="871">
        <f>'[9]Диспан.набл.взрослых Пр.16- 23'!H112+'[9]Уточнение Пр.17-23  '!H112</f>
        <v>10</v>
      </c>
      <c r="I112" s="871">
        <f>'[9]Диспан.набл.взрослых Пр.16- 23'!I112+'[9]Уточнение Пр.17-23  '!I112</f>
        <v>0</v>
      </c>
      <c r="J112" s="871">
        <f>'[9]Диспан.набл.взрослых Пр.16- 23'!J112+'[9]Уточнение Пр.17-23  '!J112</f>
        <v>0</v>
      </c>
      <c r="K112" s="871">
        <f>'[9]Диспан.набл.взрослых Пр.16- 23'!K112+'[9]Уточнение Пр.17-23  '!K112</f>
        <v>4</v>
      </c>
      <c r="L112" s="871">
        <f>'[9]Диспан.набл.взрослых Пр.16- 23'!L112+'[9]Уточнение Пр.17-23  '!L112</f>
        <v>2</v>
      </c>
      <c r="M112" s="871">
        <f>'[9]Диспан.набл.взрослых Пр.16- 23'!M112+'[9]Уточнение Пр.17-23  '!M112</f>
        <v>0</v>
      </c>
      <c r="N112" s="871">
        <f>'[9]Диспан.набл.взрослых Пр.16- 23'!N112+'[9]Уточнение Пр.17-23  '!N112</f>
        <v>0</v>
      </c>
      <c r="O112" s="871">
        <f>'[9]Диспан.набл.взрослых Пр.16- 23'!O112+'[9]Уточнение Пр.17-23  '!O112</f>
        <v>0</v>
      </c>
      <c r="P112" s="871">
        <f>'[9]Диспан.набл.взрослых Пр.16- 23'!P112+'[9]Уточнение Пр.17-23  '!P112</f>
        <v>0</v>
      </c>
      <c r="Q112" s="871">
        <f>'[9]Диспан.набл.взрослых Пр.16- 23'!Q112+'[9]Уточнение Пр.17-23  '!Q112</f>
        <v>58</v>
      </c>
      <c r="R112" s="871">
        <f>'[9]Диспан.набл.взрослых Пр.16- 23'!R112+'[9]Уточнение Пр.17-23  '!R112</f>
        <v>27</v>
      </c>
      <c r="S112" s="871">
        <f t="shared" si="6"/>
        <v>5484</v>
      </c>
      <c r="T112" s="870">
        <f>D112-'[9]Диспан.набл.взрослых Пр.16- 23'!D112</f>
        <v>0</v>
      </c>
    </row>
    <row r="113" spans="1:20" x14ac:dyDescent="0.25">
      <c r="A113" s="873">
        <v>98</v>
      </c>
      <c r="B113" s="877" t="s">
        <v>209</v>
      </c>
      <c r="C113" s="567" t="s">
        <v>210</v>
      </c>
      <c r="D113" s="871">
        <f t="shared" si="5"/>
        <v>4346</v>
      </c>
      <c r="E113" s="871">
        <f>'[9]Диспан.набл.взрослых Пр.16- 23'!E113+'[9]Уточнение Пр.17-23  '!E113</f>
        <v>4161</v>
      </c>
      <c r="F113" s="871">
        <f>'[9]Диспан.набл.взрослых Пр.16- 23'!F113+'[9]Уточнение Пр.17-23  '!F113</f>
        <v>91</v>
      </c>
      <c r="G113" s="871">
        <f>'[9]Диспан.набл.взрослых Пр.16- 23'!G113+'[9]Уточнение Пр.17-23  '!G113</f>
        <v>46</v>
      </c>
      <c r="H113" s="871">
        <f>'[9]Диспан.набл.взрослых Пр.16- 23'!H113+'[9]Уточнение Пр.17-23  '!H113</f>
        <v>0</v>
      </c>
      <c r="I113" s="871">
        <f>'[9]Диспан.набл.взрослых Пр.16- 23'!I113+'[9]Уточнение Пр.17-23  '!I113</f>
        <v>0</v>
      </c>
      <c r="J113" s="871">
        <f>'[9]Диспан.набл.взрослых Пр.16- 23'!J113+'[9]Уточнение Пр.17-23  '!J113</f>
        <v>0</v>
      </c>
      <c r="K113" s="871">
        <f>'[9]Диспан.набл.взрослых Пр.16- 23'!K113+'[9]Уточнение Пр.17-23  '!K113</f>
        <v>0</v>
      </c>
      <c r="L113" s="871">
        <f>'[9]Диспан.набл.взрослых Пр.16- 23'!L113+'[9]Уточнение Пр.17-23  '!L113</f>
        <v>0</v>
      </c>
      <c r="M113" s="871">
        <f>'[9]Диспан.набл.взрослых Пр.16- 23'!M113+'[9]Уточнение Пр.17-23  '!M113</f>
        <v>2</v>
      </c>
      <c r="N113" s="871">
        <f>'[9]Диспан.набл.взрослых Пр.16- 23'!N113+'[9]Уточнение Пр.17-23  '!N113</f>
        <v>37</v>
      </c>
      <c r="O113" s="871">
        <f>'[9]Диспан.набл.взрослых Пр.16- 23'!O113+'[9]Уточнение Пр.17-23  '!O113</f>
        <v>0</v>
      </c>
      <c r="P113" s="871">
        <f>'[9]Диспан.набл.взрослых Пр.16- 23'!P113+'[9]Уточнение Пр.17-23  '!P113</f>
        <v>0</v>
      </c>
      <c r="Q113" s="871">
        <f>'[9]Диспан.набл.взрослых Пр.16- 23'!Q113+'[9]Уточнение Пр.17-23  '!Q113</f>
        <v>8</v>
      </c>
      <c r="R113" s="871">
        <f>'[9]Диспан.набл.взрослых Пр.16- 23'!R113+'[9]Уточнение Пр.17-23  '!R113</f>
        <v>1</v>
      </c>
      <c r="S113" s="871">
        <f t="shared" si="6"/>
        <v>4161</v>
      </c>
      <c r="T113" s="870">
        <f>D113-'[9]Диспан.набл.взрослых Пр.16- 23'!D113</f>
        <v>0</v>
      </c>
    </row>
    <row r="114" spans="1:20" x14ac:dyDescent="0.25">
      <c r="A114" s="873">
        <v>99</v>
      </c>
      <c r="B114" s="877" t="s">
        <v>211</v>
      </c>
      <c r="C114" s="567" t="s">
        <v>212</v>
      </c>
      <c r="D114" s="871">
        <f t="shared" si="5"/>
        <v>8378</v>
      </c>
      <c r="E114" s="871">
        <f>'[9]Диспан.набл.взрослых Пр.16- 23'!E114+'[9]Уточнение Пр.17-23  '!E114</f>
        <v>7346</v>
      </c>
      <c r="F114" s="871">
        <f>'[9]Диспан.набл.взрослых Пр.16- 23'!F114+'[9]Уточнение Пр.17-23  '!F114</f>
        <v>843</v>
      </c>
      <c r="G114" s="871">
        <f>'[9]Диспан.набл.взрослых Пр.16- 23'!G114+'[9]Уточнение Пр.17-23  '!G114</f>
        <v>144</v>
      </c>
      <c r="H114" s="871">
        <f>'[9]Диспан.набл.взрослых Пр.16- 23'!H114+'[9]Уточнение Пр.17-23  '!H114</f>
        <v>31</v>
      </c>
      <c r="I114" s="871">
        <f>'[9]Диспан.набл.взрослых Пр.16- 23'!I114+'[9]Уточнение Пр.17-23  '!I114</f>
        <v>0</v>
      </c>
      <c r="J114" s="871">
        <f>'[9]Диспан.набл.взрослых Пр.16- 23'!J114+'[9]Уточнение Пр.17-23  '!J114</f>
        <v>0</v>
      </c>
      <c r="K114" s="871">
        <f>'[9]Диспан.набл.взрослых Пр.16- 23'!K114+'[9]Уточнение Пр.17-23  '!K114</f>
        <v>0</v>
      </c>
      <c r="L114" s="871">
        <f>'[9]Диспан.набл.взрослых Пр.16- 23'!L114+'[9]Уточнение Пр.17-23  '!L114</f>
        <v>0</v>
      </c>
      <c r="M114" s="871">
        <f>'[9]Диспан.набл.взрослых Пр.16- 23'!M114+'[9]Уточнение Пр.17-23  '!M114</f>
        <v>0</v>
      </c>
      <c r="N114" s="871">
        <f>'[9]Диспан.набл.взрослых Пр.16- 23'!N114+'[9]Уточнение Пр.17-23  '!N114</f>
        <v>2</v>
      </c>
      <c r="O114" s="871">
        <f>'[9]Диспан.набл.взрослых Пр.16- 23'!O114+'[9]Уточнение Пр.17-23  '!O114</f>
        <v>0</v>
      </c>
      <c r="P114" s="871">
        <f>'[9]Диспан.набл.взрослых Пр.16- 23'!P114+'[9]Уточнение Пр.17-23  '!P114</f>
        <v>0</v>
      </c>
      <c r="Q114" s="871">
        <f>'[9]Диспан.набл.взрослых Пр.16- 23'!Q114+'[9]Уточнение Пр.17-23  '!Q114</f>
        <v>12</v>
      </c>
      <c r="R114" s="871">
        <f>'[9]Диспан.набл.взрослых Пр.16- 23'!R114+'[9]Уточнение Пр.17-23  '!R114</f>
        <v>0</v>
      </c>
      <c r="S114" s="871">
        <f t="shared" si="6"/>
        <v>7346</v>
      </c>
      <c r="T114" s="870">
        <f>D114-'[9]Диспан.набл.взрослых Пр.16- 23'!D114</f>
        <v>0</v>
      </c>
    </row>
    <row r="115" spans="1:20" x14ac:dyDescent="0.25">
      <c r="A115" s="873">
        <v>100</v>
      </c>
      <c r="B115" s="874" t="s">
        <v>213</v>
      </c>
      <c r="C115" s="875" t="s">
        <v>214</v>
      </c>
      <c r="D115" s="871">
        <f t="shared" si="5"/>
        <v>12853</v>
      </c>
      <c r="E115" s="871">
        <f>'[9]Диспан.набл.взрослых Пр.16- 23'!E115+'[9]Уточнение Пр.17-23  '!E115</f>
        <v>10623</v>
      </c>
      <c r="F115" s="871">
        <f>'[9]Диспан.набл.взрослых Пр.16- 23'!F115+'[9]Уточнение Пр.17-23  '!F115</f>
        <v>1840</v>
      </c>
      <c r="G115" s="871">
        <f>'[9]Диспан.набл.взрослых Пр.16- 23'!G115+'[9]Уточнение Пр.17-23  '!G115</f>
        <v>81</v>
      </c>
      <c r="H115" s="871">
        <f>'[9]Диспан.набл.взрослых Пр.16- 23'!H115+'[9]Уточнение Пр.17-23  '!H115</f>
        <v>13</v>
      </c>
      <c r="I115" s="871">
        <f>'[9]Диспан.набл.взрослых Пр.16- 23'!I115+'[9]Уточнение Пр.17-23  '!I115</f>
        <v>0</v>
      </c>
      <c r="J115" s="871">
        <f>'[9]Диспан.набл.взрослых Пр.16- 23'!J115+'[9]Уточнение Пр.17-23  '!J115</f>
        <v>0</v>
      </c>
      <c r="K115" s="871">
        <f>'[9]Диспан.набл.взрослых Пр.16- 23'!K115+'[9]Уточнение Пр.17-23  '!K115</f>
        <v>1</v>
      </c>
      <c r="L115" s="871">
        <f>'[9]Диспан.набл.взрослых Пр.16- 23'!L115+'[9]Уточнение Пр.17-23  '!L115</f>
        <v>0</v>
      </c>
      <c r="M115" s="871">
        <f>'[9]Диспан.набл.взрослых Пр.16- 23'!M115+'[9]Уточнение Пр.17-23  '!M115</f>
        <v>1</v>
      </c>
      <c r="N115" s="871">
        <f>'[9]Диспан.набл.взрослых Пр.16- 23'!N115+'[9]Уточнение Пр.17-23  '!N115</f>
        <v>213</v>
      </c>
      <c r="O115" s="871">
        <f>'[9]Диспан.набл.взрослых Пр.16- 23'!O115+'[9]Уточнение Пр.17-23  '!O115</f>
        <v>8</v>
      </c>
      <c r="P115" s="871">
        <f>'[9]Диспан.набл.взрослых Пр.16- 23'!P115+'[9]Уточнение Пр.17-23  '!P115</f>
        <v>7</v>
      </c>
      <c r="Q115" s="871">
        <f>'[9]Диспан.набл.взрослых Пр.16- 23'!Q115+'[9]Уточнение Пр.17-23  '!Q115</f>
        <v>65</v>
      </c>
      <c r="R115" s="871">
        <f>'[9]Диспан.набл.взрослых Пр.16- 23'!R115+'[9]Уточнение Пр.17-23  '!R115</f>
        <v>1</v>
      </c>
      <c r="S115" s="871">
        <f t="shared" si="6"/>
        <v>10623</v>
      </c>
      <c r="T115" s="870">
        <f>D115-'[9]Диспан.набл.взрослых Пр.16- 23'!D115</f>
        <v>0</v>
      </c>
    </row>
    <row r="116" spans="1:20" x14ac:dyDescent="0.25">
      <c r="A116" s="873">
        <v>101</v>
      </c>
      <c r="B116" s="876" t="s">
        <v>215</v>
      </c>
      <c r="C116" s="875" t="s">
        <v>216</v>
      </c>
      <c r="D116" s="871">
        <f t="shared" si="5"/>
        <v>7049</v>
      </c>
      <c r="E116" s="871">
        <f>'[9]Диспан.набл.взрослых Пр.16- 23'!E116+'[9]Уточнение Пр.17-23  '!E116</f>
        <v>6917</v>
      </c>
      <c r="F116" s="871">
        <f>'[9]Диспан.набл.взрослых Пр.16- 23'!F116+'[9]Уточнение Пр.17-23  '!F116</f>
        <v>0</v>
      </c>
      <c r="G116" s="871">
        <f>'[9]Диспан.набл.взрослых Пр.16- 23'!G116+'[9]Уточнение Пр.17-23  '!G116</f>
        <v>0</v>
      </c>
      <c r="H116" s="871">
        <f>'[9]Диспан.набл.взрослых Пр.16- 23'!H116+'[9]Уточнение Пр.17-23  '!H116</f>
        <v>3</v>
      </c>
      <c r="I116" s="871">
        <f>'[9]Диспан.набл.взрослых Пр.16- 23'!I116+'[9]Уточнение Пр.17-23  '!I116</f>
        <v>0</v>
      </c>
      <c r="J116" s="871">
        <f>'[9]Диспан.набл.взрослых Пр.16- 23'!J116+'[9]Уточнение Пр.17-23  '!J116</f>
        <v>0</v>
      </c>
      <c r="K116" s="871">
        <f>'[9]Диспан.набл.взрослых Пр.16- 23'!K116+'[9]Уточнение Пр.17-23  '!K116</f>
        <v>0</v>
      </c>
      <c r="L116" s="871">
        <f>'[9]Диспан.набл.взрослых Пр.16- 23'!L116+'[9]Уточнение Пр.17-23  '!L116</f>
        <v>0</v>
      </c>
      <c r="M116" s="871">
        <f>'[9]Диспан.набл.взрослых Пр.16- 23'!M116+'[9]Уточнение Пр.17-23  '!M116</f>
        <v>3</v>
      </c>
      <c r="N116" s="871">
        <f>'[9]Диспан.набл.взрослых Пр.16- 23'!N116+'[9]Уточнение Пр.17-23  '!N116</f>
        <v>3</v>
      </c>
      <c r="O116" s="871">
        <f>'[9]Диспан.набл.взрослых Пр.16- 23'!O116+'[9]Уточнение Пр.17-23  '!O116</f>
        <v>3</v>
      </c>
      <c r="P116" s="871">
        <f>'[9]Диспан.набл.взрослых Пр.16- 23'!P116+'[9]Уточнение Пр.17-23  '!P116</f>
        <v>0</v>
      </c>
      <c r="Q116" s="871">
        <f>'[9]Диспан.набл.взрослых Пр.16- 23'!Q116+'[9]Уточнение Пр.17-23  '!Q116</f>
        <v>84</v>
      </c>
      <c r="R116" s="871">
        <f>'[9]Диспан.набл.взрослых Пр.16- 23'!R116+'[9]Уточнение Пр.17-23  '!R116</f>
        <v>36</v>
      </c>
      <c r="S116" s="871">
        <f t="shared" si="6"/>
        <v>6917</v>
      </c>
      <c r="T116" s="870">
        <f>D116-'[9]Диспан.набл.взрослых Пр.16- 23'!D116</f>
        <v>0</v>
      </c>
    </row>
    <row r="117" spans="1:20" x14ac:dyDescent="0.25">
      <c r="A117" s="873">
        <v>102</v>
      </c>
      <c r="B117" s="874" t="s">
        <v>217</v>
      </c>
      <c r="C117" s="567" t="s">
        <v>218</v>
      </c>
      <c r="D117" s="871">
        <f t="shared" si="5"/>
        <v>0</v>
      </c>
      <c r="E117" s="871">
        <f>'[9]Диспан.набл.взрослых Пр.16- 23'!E117+'[9]Уточнение Пр.17-23  '!E117</f>
        <v>0</v>
      </c>
      <c r="F117" s="871">
        <f>'[9]Диспан.набл.взрослых Пр.16- 23'!F117+'[9]Уточнение Пр.17-23  '!F117</f>
        <v>0</v>
      </c>
      <c r="G117" s="871">
        <f>'[9]Диспан.набл.взрослых Пр.16- 23'!G117+'[9]Уточнение Пр.17-23  '!G117</f>
        <v>0</v>
      </c>
      <c r="H117" s="871">
        <f>'[9]Диспан.набл.взрослых Пр.16- 23'!H117+'[9]Уточнение Пр.17-23  '!H117</f>
        <v>0</v>
      </c>
      <c r="I117" s="871">
        <f>'[9]Диспан.набл.взрослых Пр.16- 23'!I117+'[9]Уточнение Пр.17-23  '!I117</f>
        <v>0</v>
      </c>
      <c r="J117" s="871">
        <f>'[9]Диспан.набл.взрослых Пр.16- 23'!J117+'[9]Уточнение Пр.17-23  '!J117</f>
        <v>0</v>
      </c>
      <c r="K117" s="871">
        <f>'[9]Диспан.набл.взрослых Пр.16- 23'!K117+'[9]Уточнение Пр.17-23  '!K117</f>
        <v>0</v>
      </c>
      <c r="L117" s="871">
        <f>'[9]Диспан.набл.взрослых Пр.16- 23'!L117+'[9]Уточнение Пр.17-23  '!L117</f>
        <v>0</v>
      </c>
      <c r="M117" s="871">
        <f>'[9]Диспан.набл.взрослых Пр.16- 23'!M117+'[9]Уточнение Пр.17-23  '!M117</f>
        <v>0</v>
      </c>
      <c r="N117" s="871">
        <f>'[9]Диспан.набл.взрослых Пр.16- 23'!N117+'[9]Уточнение Пр.17-23  '!N117</f>
        <v>0</v>
      </c>
      <c r="O117" s="871">
        <f>'[9]Диспан.набл.взрослых Пр.16- 23'!O117+'[9]Уточнение Пр.17-23  '!O117</f>
        <v>0</v>
      </c>
      <c r="P117" s="871">
        <f>'[9]Диспан.набл.взрослых Пр.16- 23'!P117+'[9]Уточнение Пр.17-23  '!P117</f>
        <v>0</v>
      </c>
      <c r="Q117" s="871">
        <f>'[9]Диспан.набл.взрослых Пр.16- 23'!Q117+'[9]Уточнение Пр.17-23  '!Q117</f>
        <v>0</v>
      </c>
      <c r="R117" s="871">
        <f>'[9]Диспан.набл.взрослых Пр.16- 23'!R117+'[9]Уточнение Пр.17-23  '!R117</f>
        <v>0</v>
      </c>
      <c r="S117" s="871">
        <f t="shared" si="6"/>
        <v>0</v>
      </c>
      <c r="T117" s="870">
        <f>D117-'[9]Диспан.набл.взрослых Пр.16- 23'!D117</f>
        <v>0</v>
      </c>
    </row>
    <row r="118" spans="1:20" x14ac:dyDescent="0.25">
      <c r="A118" s="873">
        <v>103</v>
      </c>
      <c r="B118" s="874" t="s">
        <v>219</v>
      </c>
      <c r="C118" s="875" t="s">
        <v>220</v>
      </c>
      <c r="D118" s="871">
        <f t="shared" si="5"/>
        <v>0</v>
      </c>
      <c r="E118" s="871">
        <f>'[9]Диспан.набл.взрослых Пр.16- 23'!E118+'[9]Уточнение Пр.17-23  '!E118</f>
        <v>0</v>
      </c>
      <c r="F118" s="871">
        <f>'[9]Диспан.набл.взрослых Пр.16- 23'!F118+'[9]Уточнение Пр.17-23  '!F118</f>
        <v>0</v>
      </c>
      <c r="G118" s="871">
        <f>'[9]Диспан.набл.взрослых Пр.16- 23'!G118+'[9]Уточнение Пр.17-23  '!G118</f>
        <v>0</v>
      </c>
      <c r="H118" s="871">
        <f>'[9]Диспан.набл.взрослых Пр.16- 23'!H118+'[9]Уточнение Пр.17-23  '!H118</f>
        <v>0</v>
      </c>
      <c r="I118" s="871">
        <f>'[9]Диспан.набл.взрослых Пр.16- 23'!I118+'[9]Уточнение Пр.17-23  '!I118</f>
        <v>0</v>
      </c>
      <c r="J118" s="871">
        <f>'[9]Диспан.набл.взрослых Пр.16- 23'!J118+'[9]Уточнение Пр.17-23  '!J118</f>
        <v>0</v>
      </c>
      <c r="K118" s="871">
        <f>'[9]Диспан.набл.взрослых Пр.16- 23'!K118+'[9]Уточнение Пр.17-23  '!K118</f>
        <v>0</v>
      </c>
      <c r="L118" s="871">
        <f>'[9]Диспан.набл.взрослых Пр.16- 23'!L118+'[9]Уточнение Пр.17-23  '!L118</f>
        <v>0</v>
      </c>
      <c r="M118" s="871">
        <f>'[9]Диспан.набл.взрослых Пр.16- 23'!M118+'[9]Уточнение Пр.17-23  '!M118</f>
        <v>0</v>
      </c>
      <c r="N118" s="871">
        <f>'[9]Диспан.набл.взрослых Пр.16- 23'!N118+'[9]Уточнение Пр.17-23  '!N118</f>
        <v>0</v>
      </c>
      <c r="O118" s="871">
        <f>'[9]Диспан.набл.взрослых Пр.16- 23'!O118+'[9]Уточнение Пр.17-23  '!O118</f>
        <v>0</v>
      </c>
      <c r="P118" s="871">
        <f>'[9]Диспан.набл.взрослых Пр.16- 23'!P118+'[9]Уточнение Пр.17-23  '!P118</f>
        <v>0</v>
      </c>
      <c r="Q118" s="871">
        <f>'[9]Диспан.набл.взрослых Пр.16- 23'!Q118+'[9]Уточнение Пр.17-23  '!Q118</f>
        <v>0</v>
      </c>
      <c r="R118" s="871">
        <f>'[9]Диспан.набл.взрослых Пр.16- 23'!R118+'[9]Уточнение Пр.17-23  '!R118</f>
        <v>0</v>
      </c>
      <c r="S118" s="871">
        <f t="shared" si="6"/>
        <v>0</v>
      </c>
      <c r="T118" s="870">
        <f>D118-'[9]Диспан.набл.взрослых Пр.16- 23'!D118</f>
        <v>0</v>
      </c>
    </row>
    <row r="119" spans="1:20" x14ac:dyDescent="0.25">
      <c r="A119" s="873">
        <v>104</v>
      </c>
      <c r="B119" s="877" t="s">
        <v>221</v>
      </c>
      <c r="C119" s="567" t="s">
        <v>222</v>
      </c>
      <c r="D119" s="871">
        <f t="shared" si="5"/>
        <v>0</v>
      </c>
      <c r="E119" s="871">
        <f>'[9]Диспан.набл.взрослых Пр.16- 23'!E119+'[9]Уточнение Пр.17-23  '!E119</f>
        <v>0</v>
      </c>
      <c r="F119" s="871">
        <f>'[9]Диспан.набл.взрослых Пр.16- 23'!F119+'[9]Уточнение Пр.17-23  '!F119</f>
        <v>0</v>
      </c>
      <c r="G119" s="871">
        <f>'[9]Диспан.набл.взрослых Пр.16- 23'!G119+'[9]Уточнение Пр.17-23  '!G119</f>
        <v>0</v>
      </c>
      <c r="H119" s="871">
        <f>'[9]Диспан.набл.взрослых Пр.16- 23'!H119+'[9]Уточнение Пр.17-23  '!H119</f>
        <v>0</v>
      </c>
      <c r="I119" s="871">
        <f>'[9]Диспан.набл.взрослых Пр.16- 23'!I119+'[9]Уточнение Пр.17-23  '!I119</f>
        <v>0</v>
      </c>
      <c r="J119" s="871">
        <f>'[9]Диспан.набл.взрослых Пр.16- 23'!J119+'[9]Уточнение Пр.17-23  '!J119</f>
        <v>0</v>
      </c>
      <c r="K119" s="871">
        <f>'[9]Диспан.набл.взрослых Пр.16- 23'!K119+'[9]Уточнение Пр.17-23  '!K119</f>
        <v>0</v>
      </c>
      <c r="L119" s="871">
        <f>'[9]Диспан.набл.взрослых Пр.16- 23'!L119+'[9]Уточнение Пр.17-23  '!L119</f>
        <v>0</v>
      </c>
      <c r="M119" s="871">
        <f>'[9]Диспан.набл.взрослых Пр.16- 23'!M119+'[9]Уточнение Пр.17-23  '!M119</f>
        <v>0</v>
      </c>
      <c r="N119" s="871">
        <f>'[9]Диспан.набл.взрослых Пр.16- 23'!N119+'[9]Уточнение Пр.17-23  '!N119</f>
        <v>0</v>
      </c>
      <c r="O119" s="871">
        <f>'[9]Диспан.набл.взрослых Пр.16- 23'!O119+'[9]Уточнение Пр.17-23  '!O119</f>
        <v>0</v>
      </c>
      <c r="P119" s="871">
        <f>'[9]Диспан.набл.взрослых Пр.16- 23'!P119+'[9]Уточнение Пр.17-23  '!P119</f>
        <v>0</v>
      </c>
      <c r="Q119" s="871">
        <f>'[9]Диспан.набл.взрослых Пр.16- 23'!Q119+'[9]Уточнение Пр.17-23  '!Q119</f>
        <v>0</v>
      </c>
      <c r="R119" s="871">
        <f>'[9]Диспан.набл.взрослых Пр.16- 23'!R119+'[9]Уточнение Пр.17-23  '!R119</f>
        <v>0</v>
      </c>
      <c r="S119" s="871">
        <f t="shared" si="6"/>
        <v>0</v>
      </c>
      <c r="T119" s="870">
        <f>D119-'[9]Диспан.набл.взрослых Пр.16- 23'!D119</f>
        <v>0</v>
      </c>
    </row>
    <row r="120" spans="1:20" x14ac:dyDescent="0.25">
      <c r="A120" s="873">
        <v>105</v>
      </c>
      <c r="B120" s="877" t="s">
        <v>223</v>
      </c>
      <c r="C120" s="567" t="s">
        <v>224</v>
      </c>
      <c r="D120" s="871">
        <f t="shared" si="5"/>
        <v>0</v>
      </c>
      <c r="E120" s="871">
        <f>'[9]Диспан.набл.взрослых Пр.16- 23'!E120+'[9]Уточнение Пр.17-23  '!E120</f>
        <v>0</v>
      </c>
      <c r="F120" s="871">
        <f>'[9]Диспан.набл.взрослых Пр.16- 23'!F120+'[9]Уточнение Пр.17-23  '!F120</f>
        <v>0</v>
      </c>
      <c r="G120" s="871">
        <f>'[9]Диспан.набл.взрослых Пр.16- 23'!G120+'[9]Уточнение Пр.17-23  '!G120</f>
        <v>0</v>
      </c>
      <c r="H120" s="871">
        <f>'[9]Диспан.набл.взрослых Пр.16- 23'!H120+'[9]Уточнение Пр.17-23  '!H120</f>
        <v>0</v>
      </c>
      <c r="I120" s="871">
        <f>'[9]Диспан.набл.взрослых Пр.16- 23'!I120+'[9]Уточнение Пр.17-23  '!I120</f>
        <v>0</v>
      </c>
      <c r="J120" s="871">
        <f>'[9]Диспан.набл.взрослых Пр.16- 23'!J120+'[9]Уточнение Пр.17-23  '!J120</f>
        <v>0</v>
      </c>
      <c r="K120" s="871">
        <f>'[9]Диспан.набл.взрослых Пр.16- 23'!K120+'[9]Уточнение Пр.17-23  '!K120</f>
        <v>0</v>
      </c>
      <c r="L120" s="871">
        <f>'[9]Диспан.набл.взрослых Пр.16- 23'!L120+'[9]Уточнение Пр.17-23  '!L120</f>
        <v>0</v>
      </c>
      <c r="M120" s="871">
        <f>'[9]Диспан.набл.взрослых Пр.16- 23'!M120+'[9]Уточнение Пр.17-23  '!M120</f>
        <v>0</v>
      </c>
      <c r="N120" s="871">
        <f>'[9]Диспан.набл.взрослых Пр.16- 23'!N120+'[9]Уточнение Пр.17-23  '!N120</f>
        <v>0</v>
      </c>
      <c r="O120" s="871">
        <f>'[9]Диспан.набл.взрослых Пр.16- 23'!O120+'[9]Уточнение Пр.17-23  '!O120</f>
        <v>0</v>
      </c>
      <c r="P120" s="871">
        <f>'[9]Диспан.набл.взрослых Пр.16- 23'!P120+'[9]Уточнение Пр.17-23  '!P120</f>
        <v>0</v>
      </c>
      <c r="Q120" s="871">
        <f>'[9]Диспан.набл.взрослых Пр.16- 23'!Q120+'[9]Уточнение Пр.17-23  '!Q120</f>
        <v>0</v>
      </c>
      <c r="R120" s="871">
        <f>'[9]Диспан.набл.взрослых Пр.16- 23'!R120+'[9]Уточнение Пр.17-23  '!R120</f>
        <v>0</v>
      </c>
      <c r="S120" s="871">
        <f t="shared" si="6"/>
        <v>0</v>
      </c>
      <c r="T120" s="870">
        <f>D120-'[9]Диспан.набл.взрослых Пр.16- 23'!D120</f>
        <v>0</v>
      </c>
    </row>
    <row r="121" spans="1:20" x14ac:dyDescent="0.25">
      <c r="A121" s="873">
        <v>106</v>
      </c>
      <c r="B121" s="877" t="s">
        <v>225</v>
      </c>
      <c r="C121" s="567" t="s">
        <v>226</v>
      </c>
      <c r="D121" s="871">
        <f t="shared" si="5"/>
        <v>0</v>
      </c>
      <c r="E121" s="871">
        <f>'[9]Диспан.набл.взрослых Пр.16- 23'!E121+'[9]Уточнение Пр.17-23  '!E121</f>
        <v>0</v>
      </c>
      <c r="F121" s="871">
        <f>'[9]Диспан.набл.взрослых Пр.16- 23'!F121+'[9]Уточнение Пр.17-23  '!F121</f>
        <v>0</v>
      </c>
      <c r="G121" s="871">
        <f>'[9]Диспан.набл.взрослых Пр.16- 23'!G121+'[9]Уточнение Пр.17-23  '!G121</f>
        <v>0</v>
      </c>
      <c r="H121" s="871">
        <f>'[9]Диспан.набл.взрослых Пр.16- 23'!H121+'[9]Уточнение Пр.17-23  '!H121</f>
        <v>0</v>
      </c>
      <c r="I121" s="871">
        <f>'[9]Диспан.набл.взрослых Пр.16- 23'!I121+'[9]Уточнение Пр.17-23  '!I121</f>
        <v>0</v>
      </c>
      <c r="J121" s="871">
        <f>'[9]Диспан.набл.взрослых Пр.16- 23'!J121+'[9]Уточнение Пр.17-23  '!J121</f>
        <v>0</v>
      </c>
      <c r="K121" s="871">
        <f>'[9]Диспан.набл.взрослых Пр.16- 23'!K121+'[9]Уточнение Пр.17-23  '!K121</f>
        <v>0</v>
      </c>
      <c r="L121" s="871">
        <f>'[9]Диспан.набл.взрослых Пр.16- 23'!L121+'[9]Уточнение Пр.17-23  '!L121</f>
        <v>0</v>
      </c>
      <c r="M121" s="871">
        <f>'[9]Диспан.набл.взрослых Пр.16- 23'!M121+'[9]Уточнение Пр.17-23  '!M121</f>
        <v>0</v>
      </c>
      <c r="N121" s="871">
        <f>'[9]Диспан.набл.взрослых Пр.16- 23'!N121+'[9]Уточнение Пр.17-23  '!N121</f>
        <v>0</v>
      </c>
      <c r="O121" s="871">
        <f>'[9]Диспан.набл.взрослых Пр.16- 23'!O121+'[9]Уточнение Пр.17-23  '!O121</f>
        <v>0</v>
      </c>
      <c r="P121" s="871">
        <f>'[9]Диспан.набл.взрослых Пр.16- 23'!P121+'[9]Уточнение Пр.17-23  '!P121</f>
        <v>0</v>
      </c>
      <c r="Q121" s="871">
        <f>'[9]Диспан.набл.взрослых Пр.16- 23'!Q121+'[9]Уточнение Пр.17-23  '!Q121</f>
        <v>0</v>
      </c>
      <c r="R121" s="871">
        <f>'[9]Диспан.набл.взрослых Пр.16- 23'!R121+'[9]Уточнение Пр.17-23  '!R121</f>
        <v>0</v>
      </c>
      <c r="S121" s="871">
        <f t="shared" si="6"/>
        <v>0</v>
      </c>
      <c r="T121" s="870">
        <f>D121-'[9]Диспан.набл.взрослых Пр.16- 23'!D121</f>
        <v>0</v>
      </c>
    </row>
    <row r="122" spans="1:20" ht="24" x14ac:dyDescent="0.25">
      <c r="A122" s="873">
        <v>107</v>
      </c>
      <c r="B122" s="877" t="s">
        <v>227</v>
      </c>
      <c r="C122" s="567" t="s">
        <v>228</v>
      </c>
      <c r="D122" s="871">
        <f t="shared" si="5"/>
        <v>0</v>
      </c>
      <c r="E122" s="871">
        <f>'[9]Диспан.набл.взрослых Пр.16- 23'!E122+'[9]Уточнение Пр.17-23  '!E122</f>
        <v>0</v>
      </c>
      <c r="F122" s="871">
        <f>'[9]Диспан.набл.взрослых Пр.16- 23'!F122+'[9]Уточнение Пр.17-23  '!F122</f>
        <v>0</v>
      </c>
      <c r="G122" s="871">
        <f>'[9]Диспан.набл.взрослых Пр.16- 23'!G122+'[9]Уточнение Пр.17-23  '!G122</f>
        <v>0</v>
      </c>
      <c r="H122" s="871">
        <f>'[9]Диспан.набл.взрослых Пр.16- 23'!H122+'[9]Уточнение Пр.17-23  '!H122</f>
        <v>0</v>
      </c>
      <c r="I122" s="871">
        <f>'[9]Диспан.набл.взрослых Пр.16- 23'!I122+'[9]Уточнение Пр.17-23  '!I122</f>
        <v>0</v>
      </c>
      <c r="J122" s="871">
        <f>'[9]Диспан.набл.взрослых Пр.16- 23'!J122+'[9]Уточнение Пр.17-23  '!J122</f>
        <v>0</v>
      </c>
      <c r="K122" s="871">
        <f>'[9]Диспан.набл.взрослых Пр.16- 23'!K122+'[9]Уточнение Пр.17-23  '!K122</f>
        <v>0</v>
      </c>
      <c r="L122" s="871">
        <f>'[9]Диспан.набл.взрослых Пр.16- 23'!L122+'[9]Уточнение Пр.17-23  '!L122</f>
        <v>0</v>
      </c>
      <c r="M122" s="871">
        <f>'[9]Диспан.набл.взрослых Пр.16- 23'!M122+'[9]Уточнение Пр.17-23  '!M122</f>
        <v>0</v>
      </c>
      <c r="N122" s="871">
        <f>'[9]Диспан.набл.взрослых Пр.16- 23'!N122+'[9]Уточнение Пр.17-23  '!N122</f>
        <v>0</v>
      </c>
      <c r="O122" s="871">
        <f>'[9]Диспан.набл.взрослых Пр.16- 23'!O122+'[9]Уточнение Пр.17-23  '!O122</f>
        <v>0</v>
      </c>
      <c r="P122" s="871">
        <f>'[9]Диспан.набл.взрослых Пр.16- 23'!P122+'[9]Уточнение Пр.17-23  '!P122</f>
        <v>0</v>
      </c>
      <c r="Q122" s="871">
        <f>'[9]Диспан.набл.взрослых Пр.16- 23'!Q122+'[9]Уточнение Пр.17-23  '!Q122</f>
        <v>0</v>
      </c>
      <c r="R122" s="871">
        <f>'[9]Диспан.набл.взрослых Пр.16- 23'!R122+'[9]Уточнение Пр.17-23  '!R122</f>
        <v>0</v>
      </c>
      <c r="S122" s="871">
        <f t="shared" si="6"/>
        <v>0</v>
      </c>
      <c r="T122" s="870">
        <f>D122-'[9]Диспан.набл.взрослых Пр.16- 23'!D122</f>
        <v>0</v>
      </c>
    </row>
    <row r="123" spans="1:20" x14ac:dyDescent="0.25">
      <c r="A123" s="873">
        <v>108</v>
      </c>
      <c r="B123" s="877" t="s">
        <v>229</v>
      </c>
      <c r="C123" s="567" t="s">
        <v>230</v>
      </c>
      <c r="D123" s="871">
        <f t="shared" si="5"/>
        <v>0</v>
      </c>
      <c r="E123" s="871">
        <f>'[9]Диспан.набл.взрослых Пр.16- 23'!E123+'[9]Уточнение Пр.17-23  '!E123</f>
        <v>0</v>
      </c>
      <c r="F123" s="871">
        <f>'[9]Диспан.набл.взрослых Пр.16- 23'!F123+'[9]Уточнение Пр.17-23  '!F123</f>
        <v>0</v>
      </c>
      <c r="G123" s="871">
        <f>'[9]Диспан.набл.взрослых Пр.16- 23'!G123+'[9]Уточнение Пр.17-23  '!G123</f>
        <v>0</v>
      </c>
      <c r="H123" s="871">
        <f>'[9]Диспан.набл.взрослых Пр.16- 23'!H123+'[9]Уточнение Пр.17-23  '!H123</f>
        <v>0</v>
      </c>
      <c r="I123" s="871">
        <f>'[9]Диспан.набл.взрослых Пр.16- 23'!I123+'[9]Уточнение Пр.17-23  '!I123</f>
        <v>0</v>
      </c>
      <c r="J123" s="871">
        <f>'[9]Диспан.набл.взрослых Пр.16- 23'!J123+'[9]Уточнение Пр.17-23  '!J123</f>
        <v>0</v>
      </c>
      <c r="K123" s="871">
        <f>'[9]Диспан.набл.взрослых Пр.16- 23'!K123+'[9]Уточнение Пр.17-23  '!K123</f>
        <v>0</v>
      </c>
      <c r="L123" s="871">
        <f>'[9]Диспан.набл.взрослых Пр.16- 23'!L123+'[9]Уточнение Пр.17-23  '!L123</f>
        <v>0</v>
      </c>
      <c r="M123" s="871">
        <f>'[9]Диспан.набл.взрослых Пр.16- 23'!M123+'[9]Уточнение Пр.17-23  '!M123</f>
        <v>0</v>
      </c>
      <c r="N123" s="871">
        <f>'[9]Диспан.набл.взрослых Пр.16- 23'!N123+'[9]Уточнение Пр.17-23  '!N123</f>
        <v>0</v>
      </c>
      <c r="O123" s="871">
        <f>'[9]Диспан.набл.взрослых Пр.16- 23'!O123+'[9]Уточнение Пр.17-23  '!O123</f>
        <v>0</v>
      </c>
      <c r="P123" s="871">
        <f>'[9]Диспан.набл.взрослых Пр.16- 23'!P123+'[9]Уточнение Пр.17-23  '!P123</f>
        <v>0</v>
      </c>
      <c r="Q123" s="871">
        <f>'[9]Диспан.набл.взрослых Пр.16- 23'!Q123+'[9]Уточнение Пр.17-23  '!Q123</f>
        <v>0</v>
      </c>
      <c r="R123" s="871">
        <f>'[9]Диспан.набл.взрослых Пр.16- 23'!R123+'[9]Уточнение Пр.17-23  '!R123</f>
        <v>0</v>
      </c>
      <c r="S123" s="871">
        <f t="shared" si="6"/>
        <v>0</v>
      </c>
      <c r="T123" s="870">
        <f>D123-'[9]Диспан.набл.взрослых Пр.16- 23'!D123</f>
        <v>0</v>
      </c>
    </row>
    <row r="124" spans="1:20" x14ac:dyDescent="0.25">
      <c r="A124" s="873">
        <v>109</v>
      </c>
      <c r="B124" s="877" t="s">
        <v>231</v>
      </c>
      <c r="C124" s="567" t="s">
        <v>232</v>
      </c>
      <c r="D124" s="871">
        <f t="shared" si="5"/>
        <v>0</v>
      </c>
      <c r="E124" s="871">
        <f>'[9]Диспан.набл.взрослых Пр.16- 23'!E124+'[9]Уточнение Пр.17-23  '!E124</f>
        <v>0</v>
      </c>
      <c r="F124" s="871">
        <f>'[9]Диспан.набл.взрослых Пр.16- 23'!F124+'[9]Уточнение Пр.17-23  '!F124</f>
        <v>0</v>
      </c>
      <c r="G124" s="871">
        <f>'[9]Диспан.набл.взрослых Пр.16- 23'!G124+'[9]Уточнение Пр.17-23  '!G124</f>
        <v>0</v>
      </c>
      <c r="H124" s="871">
        <f>'[9]Диспан.набл.взрослых Пр.16- 23'!H124+'[9]Уточнение Пр.17-23  '!H124</f>
        <v>0</v>
      </c>
      <c r="I124" s="871">
        <f>'[9]Диспан.набл.взрослых Пр.16- 23'!I124+'[9]Уточнение Пр.17-23  '!I124</f>
        <v>0</v>
      </c>
      <c r="J124" s="871">
        <f>'[9]Диспан.набл.взрослых Пр.16- 23'!J124+'[9]Уточнение Пр.17-23  '!J124</f>
        <v>0</v>
      </c>
      <c r="K124" s="871">
        <f>'[9]Диспан.набл.взрослых Пр.16- 23'!K124+'[9]Уточнение Пр.17-23  '!K124</f>
        <v>0</v>
      </c>
      <c r="L124" s="871">
        <f>'[9]Диспан.набл.взрослых Пр.16- 23'!L124+'[9]Уточнение Пр.17-23  '!L124</f>
        <v>0</v>
      </c>
      <c r="M124" s="871">
        <f>'[9]Диспан.набл.взрослых Пр.16- 23'!M124+'[9]Уточнение Пр.17-23  '!M124</f>
        <v>0</v>
      </c>
      <c r="N124" s="871">
        <f>'[9]Диспан.набл.взрослых Пр.16- 23'!N124+'[9]Уточнение Пр.17-23  '!N124</f>
        <v>0</v>
      </c>
      <c r="O124" s="871">
        <f>'[9]Диспан.набл.взрослых Пр.16- 23'!O124+'[9]Уточнение Пр.17-23  '!O124</f>
        <v>0</v>
      </c>
      <c r="P124" s="871">
        <f>'[9]Диспан.набл.взрослых Пр.16- 23'!P124+'[9]Уточнение Пр.17-23  '!P124</f>
        <v>0</v>
      </c>
      <c r="Q124" s="871">
        <f>'[9]Диспан.набл.взрослых Пр.16- 23'!Q124+'[9]Уточнение Пр.17-23  '!Q124</f>
        <v>0</v>
      </c>
      <c r="R124" s="871">
        <f>'[9]Диспан.набл.взрослых Пр.16- 23'!R124+'[9]Уточнение Пр.17-23  '!R124</f>
        <v>0</v>
      </c>
      <c r="S124" s="871">
        <f t="shared" si="6"/>
        <v>0</v>
      </c>
      <c r="T124" s="870">
        <f>D124-'[9]Диспан.набл.взрослых Пр.16- 23'!D124</f>
        <v>0</v>
      </c>
    </row>
    <row r="125" spans="1:20" x14ac:dyDescent="0.25">
      <c r="A125" s="873">
        <v>110</v>
      </c>
      <c r="B125" s="881" t="s">
        <v>233</v>
      </c>
      <c r="C125" s="882" t="s">
        <v>234</v>
      </c>
      <c r="D125" s="871">
        <f t="shared" si="5"/>
        <v>0</v>
      </c>
      <c r="E125" s="871">
        <f>'[9]Диспан.набл.взрослых Пр.16- 23'!E125+'[9]Уточнение Пр.17-23  '!E125</f>
        <v>0</v>
      </c>
      <c r="F125" s="871">
        <f>'[9]Диспан.набл.взрослых Пр.16- 23'!F125+'[9]Уточнение Пр.17-23  '!F125</f>
        <v>0</v>
      </c>
      <c r="G125" s="871">
        <f>'[9]Диспан.набл.взрослых Пр.16- 23'!G125+'[9]Уточнение Пр.17-23  '!G125</f>
        <v>0</v>
      </c>
      <c r="H125" s="871">
        <f>'[9]Диспан.набл.взрослых Пр.16- 23'!H125+'[9]Уточнение Пр.17-23  '!H125</f>
        <v>0</v>
      </c>
      <c r="I125" s="871">
        <f>'[9]Диспан.набл.взрослых Пр.16- 23'!I125+'[9]Уточнение Пр.17-23  '!I125</f>
        <v>0</v>
      </c>
      <c r="J125" s="871">
        <f>'[9]Диспан.набл.взрослых Пр.16- 23'!J125+'[9]Уточнение Пр.17-23  '!J125</f>
        <v>0</v>
      </c>
      <c r="K125" s="871">
        <f>'[9]Диспан.набл.взрослых Пр.16- 23'!K125+'[9]Уточнение Пр.17-23  '!K125</f>
        <v>0</v>
      </c>
      <c r="L125" s="871">
        <f>'[9]Диспан.набл.взрослых Пр.16- 23'!L125+'[9]Уточнение Пр.17-23  '!L125</f>
        <v>0</v>
      </c>
      <c r="M125" s="871">
        <f>'[9]Диспан.набл.взрослых Пр.16- 23'!M125+'[9]Уточнение Пр.17-23  '!M125</f>
        <v>0</v>
      </c>
      <c r="N125" s="871">
        <f>'[9]Диспан.набл.взрослых Пр.16- 23'!N125+'[9]Уточнение Пр.17-23  '!N125</f>
        <v>0</v>
      </c>
      <c r="O125" s="871">
        <f>'[9]Диспан.набл.взрослых Пр.16- 23'!O125+'[9]Уточнение Пр.17-23  '!O125</f>
        <v>0</v>
      </c>
      <c r="P125" s="871">
        <f>'[9]Диспан.набл.взрослых Пр.16- 23'!P125+'[9]Уточнение Пр.17-23  '!P125</f>
        <v>0</v>
      </c>
      <c r="Q125" s="871">
        <f>'[9]Диспан.набл.взрослых Пр.16- 23'!Q125+'[9]Уточнение Пр.17-23  '!Q125</f>
        <v>0</v>
      </c>
      <c r="R125" s="871">
        <f>'[9]Диспан.набл.взрослых Пр.16- 23'!R125+'[9]Уточнение Пр.17-23  '!R125</f>
        <v>0</v>
      </c>
      <c r="S125" s="871">
        <f t="shared" si="6"/>
        <v>0</v>
      </c>
      <c r="T125" s="870">
        <f>D125-'[9]Диспан.набл.взрослых Пр.16- 23'!D125</f>
        <v>0</v>
      </c>
    </row>
    <row r="126" spans="1:20" x14ac:dyDescent="0.25">
      <c r="A126" s="873">
        <v>111</v>
      </c>
      <c r="B126" s="881" t="s">
        <v>235</v>
      </c>
      <c r="C126" s="882" t="s">
        <v>236</v>
      </c>
      <c r="D126" s="871">
        <f t="shared" si="5"/>
        <v>0</v>
      </c>
      <c r="E126" s="871">
        <f>'[9]Диспан.набл.взрослых Пр.16- 23'!E126+'[9]Уточнение Пр.17-23  '!E126</f>
        <v>0</v>
      </c>
      <c r="F126" s="871">
        <f>'[9]Диспан.набл.взрослых Пр.16- 23'!F126+'[9]Уточнение Пр.17-23  '!F126</f>
        <v>0</v>
      </c>
      <c r="G126" s="871">
        <f>'[9]Диспан.набл.взрослых Пр.16- 23'!G126+'[9]Уточнение Пр.17-23  '!G126</f>
        <v>0</v>
      </c>
      <c r="H126" s="871">
        <f>'[9]Диспан.набл.взрослых Пр.16- 23'!H126+'[9]Уточнение Пр.17-23  '!H126</f>
        <v>0</v>
      </c>
      <c r="I126" s="871">
        <f>'[9]Диспан.набл.взрослых Пр.16- 23'!I126+'[9]Уточнение Пр.17-23  '!I126</f>
        <v>0</v>
      </c>
      <c r="J126" s="871">
        <f>'[9]Диспан.набл.взрослых Пр.16- 23'!J126+'[9]Уточнение Пр.17-23  '!J126</f>
        <v>0</v>
      </c>
      <c r="K126" s="871">
        <f>'[9]Диспан.набл.взрослых Пр.16- 23'!K126+'[9]Уточнение Пр.17-23  '!K126</f>
        <v>0</v>
      </c>
      <c r="L126" s="871">
        <f>'[9]Диспан.набл.взрослых Пр.16- 23'!L126+'[9]Уточнение Пр.17-23  '!L126</f>
        <v>0</v>
      </c>
      <c r="M126" s="871">
        <f>'[9]Диспан.набл.взрослых Пр.16- 23'!M126+'[9]Уточнение Пр.17-23  '!M126</f>
        <v>0</v>
      </c>
      <c r="N126" s="871">
        <f>'[9]Диспан.набл.взрослых Пр.16- 23'!N126+'[9]Уточнение Пр.17-23  '!N126</f>
        <v>0</v>
      </c>
      <c r="O126" s="871">
        <f>'[9]Диспан.набл.взрослых Пр.16- 23'!O126+'[9]Уточнение Пр.17-23  '!O126</f>
        <v>0</v>
      </c>
      <c r="P126" s="871">
        <f>'[9]Диспан.набл.взрослых Пр.16- 23'!P126+'[9]Уточнение Пр.17-23  '!P126</f>
        <v>0</v>
      </c>
      <c r="Q126" s="871">
        <f>'[9]Диспан.набл.взрослых Пр.16- 23'!Q126+'[9]Уточнение Пр.17-23  '!Q126</f>
        <v>0</v>
      </c>
      <c r="R126" s="871">
        <f>'[9]Диспан.набл.взрослых Пр.16- 23'!R126+'[9]Уточнение Пр.17-23  '!R126</f>
        <v>0</v>
      </c>
      <c r="S126" s="871">
        <f t="shared" si="6"/>
        <v>0</v>
      </c>
      <c r="T126" s="870">
        <f>D126-'[9]Диспан.набл.взрослых Пр.16- 23'!D126</f>
        <v>0</v>
      </c>
    </row>
    <row r="127" spans="1:20" x14ac:dyDescent="0.25">
      <c r="A127" s="873">
        <v>112</v>
      </c>
      <c r="B127" s="876" t="s">
        <v>237</v>
      </c>
      <c r="C127" s="875" t="s">
        <v>238</v>
      </c>
      <c r="D127" s="871">
        <f t="shared" si="5"/>
        <v>0</v>
      </c>
      <c r="E127" s="871">
        <f>'[9]Диспан.набл.взрослых Пр.16- 23'!E127+'[9]Уточнение Пр.17-23  '!E127</f>
        <v>0</v>
      </c>
      <c r="F127" s="871">
        <f>'[9]Диспан.набл.взрослых Пр.16- 23'!F127+'[9]Уточнение Пр.17-23  '!F127</f>
        <v>0</v>
      </c>
      <c r="G127" s="871">
        <f>'[9]Диспан.набл.взрослых Пр.16- 23'!G127+'[9]Уточнение Пр.17-23  '!G127</f>
        <v>0</v>
      </c>
      <c r="H127" s="871">
        <f>'[9]Диспан.набл.взрослых Пр.16- 23'!H127+'[9]Уточнение Пр.17-23  '!H127</f>
        <v>0</v>
      </c>
      <c r="I127" s="871">
        <f>'[9]Диспан.набл.взрослых Пр.16- 23'!I127+'[9]Уточнение Пр.17-23  '!I127</f>
        <v>0</v>
      </c>
      <c r="J127" s="871">
        <f>'[9]Диспан.набл.взрослых Пр.16- 23'!J127+'[9]Уточнение Пр.17-23  '!J127</f>
        <v>0</v>
      </c>
      <c r="K127" s="871">
        <f>'[9]Диспан.набл.взрослых Пр.16- 23'!K127+'[9]Уточнение Пр.17-23  '!K127</f>
        <v>0</v>
      </c>
      <c r="L127" s="871">
        <f>'[9]Диспан.набл.взрослых Пр.16- 23'!L127+'[9]Уточнение Пр.17-23  '!L127</f>
        <v>0</v>
      </c>
      <c r="M127" s="871">
        <f>'[9]Диспан.набл.взрослых Пр.16- 23'!M127+'[9]Уточнение Пр.17-23  '!M127</f>
        <v>0</v>
      </c>
      <c r="N127" s="871">
        <f>'[9]Диспан.набл.взрослых Пр.16- 23'!N127+'[9]Уточнение Пр.17-23  '!N127</f>
        <v>0</v>
      </c>
      <c r="O127" s="871">
        <f>'[9]Диспан.набл.взрослых Пр.16- 23'!O127+'[9]Уточнение Пр.17-23  '!O127</f>
        <v>0</v>
      </c>
      <c r="P127" s="871">
        <f>'[9]Диспан.набл.взрослых Пр.16- 23'!P127+'[9]Уточнение Пр.17-23  '!P127</f>
        <v>0</v>
      </c>
      <c r="Q127" s="871">
        <f>'[9]Диспан.набл.взрослых Пр.16- 23'!Q127+'[9]Уточнение Пр.17-23  '!Q127</f>
        <v>0</v>
      </c>
      <c r="R127" s="871">
        <f>'[9]Диспан.набл.взрослых Пр.16- 23'!R127+'[9]Уточнение Пр.17-23  '!R127</f>
        <v>0</v>
      </c>
      <c r="S127" s="871">
        <f t="shared" si="6"/>
        <v>0</v>
      </c>
      <c r="T127" s="870">
        <f>D127-'[9]Диспан.набл.взрослых Пр.16- 23'!D127</f>
        <v>0</v>
      </c>
    </row>
    <row r="128" spans="1:20" x14ac:dyDescent="0.25">
      <c r="A128" s="873">
        <v>113</v>
      </c>
      <c r="B128" s="877" t="s">
        <v>239</v>
      </c>
      <c r="C128" s="567" t="s">
        <v>240</v>
      </c>
      <c r="D128" s="871">
        <f t="shared" si="5"/>
        <v>0</v>
      </c>
      <c r="E128" s="871">
        <f>'[9]Диспан.набл.взрослых Пр.16- 23'!E128+'[9]Уточнение Пр.17-23  '!E128</f>
        <v>0</v>
      </c>
      <c r="F128" s="871">
        <f>'[9]Диспан.набл.взрослых Пр.16- 23'!F128+'[9]Уточнение Пр.17-23  '!F128</f>
        <v>0</v>
      </c>
      <c r="G128" s="871">
        <f>'[9]Диспан.набл.взрослых Пр.16- 23'!G128+'[9]Уточнение Пр.17-23  '!G128</f>
        <v>0</v>
      </c>
      <c r="H128" s="871">
        <f>'[9]Диспан.набл.взрослых Пр.16- 23'!H128+'[9]Уточнение Пр.17-23  '!H128</f>
        <v>0</v>
      </c>
      <c r="I128" s="871">
        <f>'[9]Диспан.набл.взрослых Пр.16- 23'!I128+'[9]Уточнение Пр.17-23  '!I128</f>
        <v>0</v>
      </c>
      <c r="J128" s="871">
        <f>'[9]Диспан.набл.взрослых Пр.16- 23'!J128+'[9]Уточнение Пр.17-23  '!J128</f>
        <v>0</v>
      </c>
      <c r="K128" s="871">
        <f>'[9]Диспан.набл.взрослых Пр.16- 23'!K128+'[9]Уточнение Пр.17-23  '!K128</f>
        <v>0</v>
      </c>
      <c r="L128" s="871">
        <f>'[9]Диспан.набл.взрослых Пр.16- 23'!L128+'[9]Уточнение Пр.17-23  '!L128</f>
        <v>0</v>
      </c>
      <c r="M128" s="871">
        <f>'[9]Диспан.набл.взрослых Пр.16- 23'!M128+'[9]Уточнение Пр.17-23  '!M128</f>
        <v>0</v>
      </c>
      <c r="N128" s="871">
        <f>'[9]Диспан.набл.взрослых Пр.16- 23'!N128+'[9]Уточнение Пр.17-23  '!N128</f>
        <v>0</v>
      </c>
      <c r="O128" s="871">
        <f>'[9]Диспан.набл.взрослых Пр.16- 23'!O128+'[9]Уточнение Пр.17-23  '!O128</f>
        <v>0</v>
      </c>
      <c r="P128" s="871">
        <f>'[9]Диспан.набл.взрослых Пр.16- 23'!P128+'[9]Уточнение Пр.17-23  '!P128</f>
        <v>0</v>
      </c>
      <c r="Q128" s="871">
        <f>'[9]Диспан.набл.взрослых Пр.16- 23'!Q128+'[9]Уточнение Пр.17-23  '!Q128</f>
        <v>0</v>
      </c>
      <c r="R128" s="871">
        <f>'[9]Диспан.набл.взрослых Пр.16- 23'!R128+'[9]Уточнение Пр.17-23  '!R128</f>
        <v>0</v>
      </c>
      <c r="S128" s="871">
        <f t="shared" si="6"/>
        <v>0</v>
      </c>
      <c r="T128" s="870">
        <f>D128-'[9]Диспан.набл.взрослых Пр.16- 23'!D128</f>
        <v>0</v>
      </c>
    </row>
    <row r="129" spans="1:20" x14ac:dyDescent="0.25">
      <c r="A129" s="873">
        <v>114</v>
      </c>
      <c r="B129" s="874" t="s">
        <v>241</v>
      </c>
      <c r="C129" s="883" t="s">
        <v>242</v>
      </c>
      <c r="D129" s="871">
        <f t="shared" si="5"/>
        <v>0</v>
      </c>
      <c r="E129" s="871">
        <f>'[9]Диспан.набл.взрослых Пр.16- 23'!E129+'[9]Уточнение Пр.17-23  '!E129</f>
        <v>0</v>
      </c>
      <c r="F129" s="871">
        <f>'[9]Диспан.набл.взрослых Пр.16- 23'!F129+'[9]Уточнение Пр.17-23  '!F129</f>
        <v>0</v>
      </c>
      <c r="G129" s="871">
        <f>'[9]Диспан.набл.взрослых Пр.16- 23'!G129+'[9]Уточнение Пр.17-23  '!G129</f>
        <v>0</v>
      </c>
      <c r="H129" s="871">
        <f>'[9]Диспан.набл.взрослых Пр.16- 23'!H129+'[9]Уточнение Пр.17-23  '!H129</f>
        <v>0</v>
      </c>
      <c r="I129" s="871">
        <f>'[9]Диспан.набл.взрослых Пр.16- 23'!I129+'[9]Уточнение Пр.17-23  '!I129</f>
        <v>0</v>
      </c>
      <c r="J129" s="871">
        <f>'[9]Диспан.набл.взрослых Пр.16- 23'!J129+'[9]Уточнение Пр.17-23  '!J129</f>
        <v>0</v>
      </c>
      <c r="K129" s="871">
        <f>'[9]Диспан.набл.взрослых Пр.16- 23'!K129+'[9]Уточнение Пр.17-23  '!K129</f>
        <v>0</v>
      </c>
      <c r="L129" s="871">
        <f>'[9]Диспан.набл.взрослых Пр.16- 23'!L129+'[9]Уточнение Пр.17-23  '!L129</f>
        <v>0</v>
      </c>
      <c r="M129" s="871">
        <f>'[9]Диспан.набл.взрослых Пр.16- 23'!M129+'[9]Уточнение Пр.17-23  '!M129</f>
        <v>0</v>
      </c>
      <c r="N129" s="871">
        <f>'[9]Диспан.набл.взрослых Пр.16- 23'!N129+'[9]Уточнение Пр.17-23  '!N129</f>
        <v>0</v>
      </c>
      <c r="O129" s="871">
        <f>'[9]Диспан.набл.взрослых Пр.16- 23'!O129+'[9]Уточнение Пр.17-23  '!O129</f>
        <v>0</v>
      </c>
      <c r="P129" s="871">
        <f>'[9]Диспан.набл.взрослых Пр.16- 23'!P129+'[9]Уточнение Пр.17-23  '!P129</f>
        <v>0</v>
      </c>
      <c r="Q129" s="871">
        <f>'[9]Диспан.набл.взрослых Пр.16- 23'!Q129+'[9]Уточнение Пр.17-23  '!Q129</f>
        <v>0</v>
      </c>
      <c r="R129" s="871">
        <f>'[9]Диспан.набл.взрослых Пр.16- 23'!R129+'[9]Уточнение Пр.17-23  '!R129</f>
        <v>0</v>
      </c>
      <c r="S129" s="871">
        <f t="shared" si="6"/>
        <v>0</v>
      </c>
      <c r="T129" s="870">
        <f>D129-'[9]Диспан.набл.взрослых Пр.16- 23'!D129</f>
        <v>0</v>
      </c>
    </row>
    <row r="130" spans="1:20" x14ac:dyDescent="0.25">
      <c r="A130" s="873">
        <v>115</v>
      </c>
      <c r="B130" s="877" t="s">
        <v>243</v>
      </c>
      <c r="C130" s="32" t="s">
        <v>385</v>
      </c>
      <c r="D130" s="871">
        <f t="shared" si="5"/>
        <v>0</v>
      </c>
      <c r="E130" s="871">
        <f>'[9]Диспан.набл.взрослых Пр.16- 23'!E130+'[9]Уточнение Пр.17-23  '!E130</f>
        <v>0</v>
      </c>
      <c r="F130" s="871">
        <f>'[9]Диспан.набл.взрослых Пр.16- 23'!F130+'[9]Уточнение Пр.17-23  '!F130</f>
        <v>0</v>
      </c>
      <c r="G130" s="871">
        <f>'[9]Диспан.набл.взрослых Пр.16- 23'!G130+'[9]Уточнение Пр.17-23  '!G130</f>
        <v>0</v>
      </c>
      <c r="H130" s="871">
        <f>'[9]Диспан.набл.взрослых Пр.16- 23'!H130+'[9]Уточнение Пр.17-23  '!H130</f>
        <v>0</v>
      </c>
      <c r="I130" s="871">
        <f>'[9]Диспан.набл.взрослых Пр.16- 23'!I130+'[9]Уточнение Пр.17-23  '!I130</f>
        <v>0</v>
      </c>
      <c r="J130" s="871">
        <f>'[9]Диспан.набл.взрослых Пр.16- 23'!J130+'[9]Уточнение Пр.17-23  '!J130</f>
        <v>0</v>
      </c>
      <c r="K130" s="871">
        <f>'[9]Диспан.набл.взрослых Пр.16- 23'!K130+'[9]Уточнение Пр.17-23  '!K130</f>
        <v>0</v>
      </c>
      <c r="L130" s="871">
        <f>'[9]Диспан.набл.взрослых Пр.16- 23'!L130+'[9]Уточнение Пр.17-23  '!L130</f>
        <v>0</v>
      </c>
      <c r="M130" s="871">
        <f>'[9]Диспан.набл.взрослых Пр.16- 23'!M130+'[9]Уточнение Пр.17-23  '!M130</f>
        <v>0</v>
      </c>
      <c r="N130" s="871">
        <f>'[9]Диспан.набл.взрослых Пр.16- 23'!N130+'[9]Уточнение Пр.17-23  '!N130</f>
        <v>0</v>
      </c>
      <c r="O130" s="871">
        <f>'[9]Диспан.набл.взрослых Пр.16- 23'!O130+'[9]Уточнение Пр.17-23  '!O130</f>
        <v>0</v>
      </c>
      <c r="P130" s="871">
        <f>'[9]Диспан.набл.взрослых Пр.16- 23'!P130+'[9]Уточнение Пр.17-23  '!P130</f>
        <v>0</v>
      </c>
      <c r="Q130" s="871">
        <f>'[9]Диспан.набл.взрослых Пр.16- 23'!Q130+'[9]Уточнение Пр.17-23  '!Q130</f>
        <v>0</v>
      </c>
      <c r="R130" s="871">
        <f>'[9]Диспан.набл.взрослых Пр.16- 23'!R130+'[9]Уточнение Пр.17-23  '!R130</f>
        <v>0</v>
      </c>
      <c r="S130" s="871">
        <f t="shared" si="6"/>
        <v>0</v>
      </c>
      <c r="T130" s="870">
        <f>D130-'[9]Диспан.набл.взрослых Пр.16- 23'!D130</f>
        <v>0</v>
      </c>
    </row>
    <row r="131" spans="1:20" x14ac:dyDescent="0.25">
      <c r="A131" s="873">
        <v>116</v>
      </c>
      <c r="B131" s="876" t="s">
        <v>244</v>
      </c>
      <c r="C131" s="567" t="s">
        <v>245</v>
      </c>
      <c r="D131" s="871">
        <f t="shared" si="5"/>
        <v>0</v>
      </c>
      <c r="E131" s="871">
        <f>'[9]Диспан.набл.взрослых Пр.16- 23'!E131+'[9]Уточнение Пр.17-23  '!E131</f>
        <v>0</v>
      </c>
      <c r="F131" s="871">
        <f>'[9]Диспан.набл.взрослых Пр.16- 23'!F131+'[9]Уточнение Пр.17-23  '!F131</f>
        <v>0</v>
      </c>
      <c r="G131" s="871">
        <f>'[9]Диспан.набл.взрослых Пр.16- 23'!G131+'[9]Уточнение Пр.17-23  '!G131</f>
        <v>0</v>
      </c>
      <c r="H131" s="871">
        <f>'[9]Диспан.набл.взрослых Пр.16- 23'!H131+'[9]Уточнение Пр.17-23  '!H131</f>
        <v>0</v>
      </c>
      <c r="I131" s="871">
        <f>'[9]Диспан.набл.взрослых Пр.16- 23'!I131+'[9]Уточнение Пр.17-23  '!I131</f>
        <v>0</v>
      </c>
      <c r="J131" s="871">
        <f>'[9]Диспан.набл.взрослых Пр.16- 23'!J131+'[9]Уточнение Пр.17-23  '!J131</f>
        <v>0</v>
      </c>
      <c r="K131" s="871">
        <f>'[9]Диспан.набл.взрослых Пр.16- 23'!K131+'[9]Уточнение Пр.17-23  '!K131</f>
        <v>0</v>
      </c>
      <c r="L131" s="871">
        <f>'[9]Диспан.набл.взрослых Пр.16- 23'!L131+'[9]Уточнение Пр.17-23  '!L131</f>
        <v>0</v>
      </c>
      <c r="M131" s="871">
        <f>'[9]Диспан.набл.взрослых Пр.16- 23'!M131+'[9]Уточнение Пр.17-23  '!M131</f>
        <v>0</v>
      </c>
      <c r="N131" s="871">
        <f>'[9]Диспан.набл.взрослых Пр.16- 23'!N131+'[9]Уточнение Пр.17-23  '!N131</f>
        <v>0</v>
      </c>
      <c r="O131" s="871">
        <f>'[9]Диспан.набл.взрослых Пр.16- 23'!O131+'[9]Уточнение Пр.17-23  '!O131</f>
        <v>0</v>
      </c>
      <c r="P131" s="871">
        <f>'[9]Диспан.набл.взрослых Пр.16- 23'!P131+'[9]Уточнение Пр.17-23  '!P131</f>
        <v>0</v>
      </c>
      <c r="Q131" s="871">
        <f>'[9]Диспан.набл.взрослых Пр.16- 23'!Q131+'[9]Уточнение Пр.17-23  '!Q131</f>
        <v>0</v>
      </c>
      <c r="R131" s="871">
        <f>'[9]Диспан.набл.взрослых Пр.16- 23'!R131+'[9]Уточнение Пр.17-23  '!R131</f>
        <v>0</v>
      </c>
      <c r="S131" s="871">
        <f t="shared" si="6"/>
        <v>0</v>
      </c>
      <c r="T131" s="870">
        <f>D131-'[9]Диспан.набл.взрослых Пр.16- 23'!D131</f>
        <v>0</v>
      </c>
    </row>
    <row r="132" spans="1:20" x14ac:dyDescent="0.25">
      <c r="A132" s="873">
        <v>117</v>
      </c>
      <c r="B132" s="876" t="s">
        <v>246</v>
      </c>
      <c r="C132" s="567" t="s">
        <v>247</v>
      </c>
      <c r="D132" s="871">
        <f t="shared" si="5"/>
        <v>0</v>
      </c>
      <c r="E132" s="871">
        <f>'[9]Диспан.набл.взрослых Пр.16- 23'!E132+'[9]Уточнение Пр.17-23  '!E132</f>
        <v>0</v>
      </c>
      <c r="F132" s="871">
        <f>'[9]Диспан.набл.взрослых Пр.16- 23'!F132+'[9]Уточнение Пр.17-23  '!F132</f>
        <v>0</v>
      </c>
      <c r="G132" s="871">
        <f>'[9]Диспан.набл.взрослых Пр.16- 23'!G132+'[9]Уточнение Пр.17-23  '!G132</f>
        <v>0</v>
      </c>
      <c r="H132" s="871">
        <f>'[9]Диспан.набл.взрослых Пр.16- 23'!H132+'[9]Уточнение Пр.17-23  '!H132</f>
        <v>0</v>
      </c>
      <c r="I132" s="871">
        <f>'[9]Диспан.набл.взрослых Пр.16- 23'!I132+'[9]Уточнение Пр.17-23  '!I132</f>
        <v>0</v>
      </c>
      <c r="J132" s="871">
        <f>'[9]Диспан.набл.взрослых Пр.16- 23'!J132+'[9]Уточнение Пр.17-23  '!J132</f>
        <v>0</v>
      </c>
      <c r="K132" s="871">
        <f>'[9]Диспан.набл.взрослых Пр.16- 23'!K132+'[9]Уточнение Пр.17-23  '!K132</f>
        <v>0</v>
      </c>
      <c r="L132" s="871">
        <f>'[9]Диспан.набл.взрослых Пр.16- 23'!L132+'[9]Уточнение Пр.17-23  '!L132</f>
        <v>0</v>
      </c>
      <c r="M132" s="871">
        <f>'[9]Диспан.набл.взрослых Пр.16- 23'!M132+'[9]Уточнение Пр.17-23  '!M132</f>
        <v>0</v>
      </c>
      <c r="N132" s="871">
        <f>'[9]Диспан.набл.взрослых Пр.16- 23'!N132+'[9]Уточнение Пр.17-23  '!N132</f>
        <v>0</v>
      </c>
      <c r="O132" s="871">
        <f>'[9]Диспан.набл.взрослых Пр.16- 23'!O132+'[9]Уточнение Пр.17-23  '!O132</f>
        <v>0</v>
      </c>
      <c r="P132" s="871">
        <f>'[9]Диспан.набл.взрослых Пр.16- 23'!P132+'[9]Уточнение Пр.17-23  '!P132</f>
        <v>0</v>
      </c>
      <c r="Q132" s="871">
        <f>'[9]Диспан.набл.взрослых Пр.16- 23'!Q132+'[9]Уточнение Пр.17-23  '!Q132</f>
        <v>0</v>
      </c>
      <c r="R132" s="871">
        <f>'[9]Диспан.набл.взрослых Пр.16- 23'!R132+'[9]Уточнение Пр.17-23  '!R132</f>
        <v>0</v>
      </c>
      <c r="S132" s="871">
        <f t="shared" si="6"/>
        <v>0</v>
      </c>
      <c r="T132" s="870">
        <f>D132-'[9]Диспан.набл.взрослых Пр.16- 23'!D132</f>
        <v>0</v>
      </c>
    </row>
    <row r="133" spans="1:20" x14ac:dyDescent="0.25">
      <c r="A133" s="873">
        <v>118</v>
      </c>
      <c r="B133" s="876" t="s">
        <v>248</v>
      </c>
      <c r="C133" s="567" t="s">
        <v>249</v>
      </c>
      <c r="D133" s="871">
        <f t="shared" si="5"/>
        <v>0</v>
      </c>
      <c r="E133" s="871">
        <f>'[9]Диспан.набл.взрослых Пр.16- 23'!E133+'[9]Уточнение Пр.17-23  '!E133</f>
        <v>0</v>
      </c>
      <c r="F133" s="871">
        <f>'[9]Диспан.набл.взрослых Пр.16- 23'!F133+'[9]Уточнение Пр.17-23  '!F133</f>
        <v>0</v>
      </c>
      <c r="G133" s="871">
        <f>'[9]Диспан.набл.взрослых Пр.16- 23'!G133+'[9]Уточнение Пр.17-23  '!G133</f>
        <v>0</v>
      </c>
      <c r="H133" s="871">
        <f>'[9]Диспан.набл.взрослых Пр.16- 23'!H133+'[9]Уточнение Пр.17-23  '!H133</f>
        <v>0</v>
      </c>
      <c r="I133" s="871">
        <f>'[9]Диспан.набл.взрослых Пр.16- 23'!I133+'[9]Уточнение Пр.17-23  '!I133</f>
        <v>0</v>
      </c>
      <c r="J133" s="871">
        <f>'[9]Диспан.набл.взрослых Пр.16- 23'!J133+'[9]Уточнение Пр.17-23  '!J133</f>
        <v>0</v>
      </c>
      <c r="K133" s="871">
        <f>'[9]Диспан.набл.взрослых Пр.16- 23'!K133+'[9]Уточнение Пр.17-23  '!K133</f>
        <v>0</v>
      </c>
      <c r="L133" s="871">
        <f>'[9]Диспан.набл.взрослых Пр.16- 23'!L133+'[9]Уточнение Пр.17-23  '!L133</f>
        <v>0</v>
      </c>
      <c r="M133" s="871">
        <f>'[9]Диспан.набл.взрослых Пр.16- 23'!M133+'[9]Уточнение Пр.17-23  '!M133</f>
        <v>0</v>
      </c>
      <c r="N133" s="871">
        <f>'[9]Диспан.набл.взрослых Пр.16- 23'!N133+'[9]Уточнение Пр.17-23  '!N133</f>
        <v>0</v>
      </c>
      <c r="O133" s="871">
        <f>'[9]Диспан.набл.взрослых Пр.16- 23'!O133+'[9]Уточнение Пр.17-23  '!O133</f>
        <v>0</v>
      </c>
      <c r="P133" s="871">
        <f>'[9]Диспан.набл.взрослых Пр.16- 23'!P133+'[9]Уточнение Пр.17-23  '!P133</f>
        <v>0</v>
      </c>
      <c r="Q133" s="871">
        <f>'[9]Диспан.набл.взрослых Пр.16- 23'!Q133+'[9]Уточнение Пр.17-23  '!Q133</f>
        <v>0</v>
      </c>
      <c r="R133" s="871">
        <f>'[9]Диспан.набл.взрослых Пр.16- 23'!R133+'[9]Уточнение Пр.17-23  '!R133</f>
        <v>0</v>
      </c>
      <c r="S133" s="871">
        <f t="shared" si="6"/>
        <v>0</v>
      </c>
      <c r="T133" s="870">
        <f>D133-'[9]Диспан.набл.взрослых Пр.16- 23'!D133</f>
        <v>0</v>
      </c>
    </row>
    <row r="134" spans="1:20" x14ac:dyDescent="0.25">
      <c r="A134" s="873">
        <v>119</v>
      </c>
      <c r="B134" s="874" t="s">
        <v>250</v>
      </c>
      <c r="C134" s="875" t="s">
        <v>251</v>
      </c>
      <c r="D134" s="871">
        <f t="shared" si="5"/>
        <v>0</v>
      </c>
      <c r="E134" s="871">
        <f>'[9]Диспан.набл.взрослых Пр.16- 23'!E134+'[9]Уточнение Пр.17-23  '!E134</f>
        <v>0</v>
      </c>
      <c r="F134" s="871">
        <f>'[9]Диспан.набл.взрослых Пр.16- 23'!F134+'[9]Уточнение Пр.17-23  '!F134</f>
        <v>0</v>
      </c>
      <c r="G134" s="871">
        <f>'[9]Диспан.набл.взрослых Пр.16- 23'!G134+'[9]Уточнение Пр.17-23  '!G134</f>
        <v>0</v>
      </c>
      <c r="H134" s="871">
        <f>'[9]Диспан.набл.взрослых Пр.16- 23'!H134+'[9]Уточнение Пр.17-23  '!H134</f>
        <v>0</v>
      </c>
      <c r="I134" s="871">
        <f>'[9]Диспан.набл.взрослых Пр.16- 23'!I134+'[9]Уточнение Пр.17-23  '!I134</f>
        <v>0</v>
      </c>
      <c r="J134" s="871">
        <f>'[9]Диспан.набл.взрослых Пр.16- 23'!J134+'[9]Уточнение Пр.17-23  '!J134</f>
        <v>0</v>
      </c>
      <c r="K134" s="871">
        <f>'[9]Диспан.набл.взрослых Пр.16- 23'!K134+'[9]Уточнение Пр.17-23  '!K134</f>
        <v>0</v>
      </c>
      <c r="L134" s="871">
        <f>'[9]Диспан.набл.взрослых Пр.16- 23'!L134+'[9]Уточнение Пр.17-23  '!L134</f>
        <v>0</v>
      </c>
      <c r="M134" s="871">
        <f>'[9]Диспан.набл.взрослых Пр.16- 23'!M134+'[9]Уточнение Пр.17-23  '!M134</f>
        <v>0</v>
      </c>
      <c r="N134" s="871">
        <f>'[9]Диспан.набл.взрослых Пр.16- 23'!N134+'[9]Уточнение Пр.17-23  '!N134</f>
        <v>0</v>
      </c>
      <c r="O134" s="871">
        <f>'[9]Диспан.набл.взрослых Пр.16- 23'!O134+'[9]Уточнение Пр.17-23  '!O134</f>
        <v>0</v>
      </c>
      <c r="P134" s="871">
        <f>'[9]Диспан.набл.взрослых Пр.16- 23'!P134+'[9]Уточнение Пр.17-23  '!P134</f>
        <v>0</v>
      </c>
      <c r="Q134" s="871">
        <f>'[9]Диспан.набл.взрослых Пр.16- 23'!Q134+'[9]Уточнение Пр.17-23  '!Q134</f>
        <v>0</v>
      </c>
      <c r="R134" s="871">
        <f>'[9]Диспан.набл.взрослых Пр.16- 23'!R134+'[9]Уточнение Пр.17-23  '!R134</f>
        <v>0</v>
      </c>
      <c r="S134" s="871">
        <f t="shared" si="6"/>
        <v>0</v>
      </c>
      <c r="T134" s="870">
        <f>D134-'[9]Диспан.набл.взрослых Пр.16- 23'!D134</f>
        <v>0</v>
      </c>
    </row>
    <row r="135" spans="1:20" x14ac:dyDescent="0.25">
      <c r="A135" s="873">
        <v>120</v>
      </c>
      <c r="B135" s="876" t="s">
        <v>252</v>
      </c>
      <c r="C135" s="875" t="s">
        <v>253</v>
      </c>
      <c r="D135" s="871">
        <f t="shared" si="5"/>
        <v>0</v>
      </c>
      <c r="E135" s="871">
        <f>'[9]Диспан.набл.взрослых Пр.16- 23'!E135+'[9]Уточнение Пр.17-23  '!E135</f>
        <v>0</v>
      </c>
      <c r="F135" s="871">
        <f>'[9]Диспан.набл.взрослых Пр.16- 23'!F135+'[9]Уточнение Пр.17-23  '!F135</f>
        <v>0</v>
      </c>
      <c r="G135" s="871">
        <f>'[9]Диспан.набл.взрослых Пр.16- 23'!G135+'[9]Уточнение Пр.17-23  '!G135</f>
        <v>0</v>
      </c>
      <c r="H135" s="871">
        <f>'[9]Диспан.набл.взрослых Пр.16- 23'!H135+'[9]Уточнение Пр.17-23  '!H135</f>
        <v>0</v>
      </c>
      <c r="I135" s="871">
        <f>'[9]Диспан.набл.взрослых Пр.16- 23'!I135+'[9]Уточнение Пр.17-23  '!I135</f>
        <v>0</v>
      </c>
      <c r="J135" s="871">
        <f>'[9]Диспан.набл.взрослых Пр.16- 23'!J135+'[9]Уточнение Пр.17-23  '!J135</f>
        <v>0</v>
      </c>
      <c r="K135" s="871">
        <f>'[9]Диспан.набл.взрослых Пр.16- 23'!K135+'[9]Уточнение Пр.17-23  '!K135</f>
        <v>0</v>
      </c>
      <c r="L135" s="871">
        <f>'[9]Диспан.набл.взрослых Пр.16- 23'!L135+'[9]Уточнение Пр.17-23  '!L135</f>
        <v>0</v>
      </c>
      <c r="M135" s="871">
        <f>'[9]Диспан.набл.взрослых Пр.16- 23'!M135+'[9]Уточнение Пр.17-23  '!M135</f>
        <v>0</v>
      </c>
      <c r="N135" s="871">
        <f>'[9]Диспан.набл.взрослых Пр.16- 23'!N135+'[9]Уточнение Пр.17-23  '!N135</f>
        <v>0</v>
      </c>
      <c r="O135" s="871">
        <f>'[9]Диспан.набл.взрослых Пр.16- 23'!O135+'[9]Уточнение Пр.17-23  '!O135</f>
        <v>0</v>
      </c>
      <c r="P135" s="871">
        <f>'[9]Диспан.набл.взрослых Пр.16- 23'!P135+'[9]Уточнение Пр.17-23  '!P135</f>
        <v>0</v>
      </c>
      <c r="Q135" s="871">
        <f>'[9]Диспан.набл.взрослых Пр.16- 23'!Q135+'[9]Уточнение Пр.17-23  '!Q135</f>
        <v>0</v>
      </c>
      <c r="R135" s="871">
        <f>'[9]Диспан.набл.взрослых Пр.16- 23'!R135+'[9]Уточнение Пр.17-23  '!R135</f>
        <v>0</v>
      </c>
      <c r="S135" s="871">
        <f t="shared" si="6"/>
        <v>0</v>
      </c>
      <c r="T135" s="870">
        <f>D135-'[9]Диспан.набл.взрослых Пр.16- 23'!D135</f>
        <v>0</v>
      </c>
    </row>
    <row r="136" spans="1:20" x14ac:dyDescent="0.25">
      <c r="A136" s="873">
        <v>121</v>
      </c>
      <c r="B136" s="877" t="s">
        <v>254</v>
      </c>
      <c r="C136" s="567" t="s">
        <v>255</v>
      </c>
      <c r="D136" s="871">
        <f t="shared" si="5"/>
        <v>0</v>
      </c>
      <c r="E136" s="871">
        <f>'[9]Диспан.набл.взрослых Пр.16- 23'!E136+'[9]Уточнение Пр.17-23  '!E136</f>
        <v>0</v>
      </c>
      <c r="F136" s="871">
        <f>'[9]Диспан.набл.взрослых Пр.16- 23'!F136+'[9]Уточнение Пр.17-23  '!F136</f>
        <v>0</v>
      </c>
      <c r="G136" s="871">
        <f>'[9]Диспан.набл.взрослых Пр.16- 23'!G136+'[9]Уточнение Пр.17-23  '!G136</f>
        <v>0</v>
      </c>
      <c r="H136" s="871">
        <f>'[9]Диспан.набл.взрослых Пр.16- 23'!H136+'[9]Уточнение Пр.17-23  '!H136</f>
        <v>0</v>
      </c>
      <c r="I136" s="871">
        <f>'[9]Диспан.набл.взрослых Пр.16- 23'!I136+'[9]Уточнение Пр.17-23  '!I136</f>
        <v>0</v>
      </c>
      <c r="J136" s="871">
        <f>'[9]Диспан.набл.взрослых Пр.16- 23'!J136+'[9]Уточнение Пр.17-23  '!J136</f>
        <v>0</v>
      </c>
      <c r="K136" s="871">
        <f>'[9]Диспан.набл.взрослых Пр.16- 23'!K136+'[9]Уточнение Пр.17-23  '!K136</f>
        <v>0</v>
      </c>
      <c r="L136" s="871">
        <f>'[9]Диспан.набл.взрослых Пр.16- 23'!L136+'[9]Уточнение Пр.17-23  '!L136</f>
        <v>0</v>
      </c>
      <c r="M136" s="871">
        <f>'[9]Диспан.набл.взрослых Пр.16- 23'!M136+'[9]Уточнение Пр.17-23  '!M136</f>
        <v>0</v>
      </c>
      <c r="N136" s="871">
        <f>'[9]Диспан.набл.взрослых Пр.16- 23'!N136+'[9]Уточнение Пр.17-23  '!N136</f>
        <v>0</v>
      </c>
      <c r="O136" s="871">
        <f>'[9]Диспан.набл.взрослых Пр.16- 23'!O136+'[9]Уточнение Пр.17-23  '!O136</f>
        <v>0</v>
      </c>
      <c r="P136" s="871">
        <f>'[9]Диспан.набл.взрослых Пр.16- 23'!P136+'[9]Уточнение Пр.17-23  '!P136</f>
        <v>0</v>
      </c>
      <c r="Q136" s="871">
        <f>'[9]Диспан.набл.взрослых Пр.16- 23'!Q136+'[9]Уточнение Пр.17-23  '!Q136</f>
        <v>0</v>
      </c>
      <c r="R136" s="871">
        <f>'[9]Диспан.набл.взрослых Пр.16- 23'!R136+'[9]Уточнение Пр.17-23  '!R136</f>
        <v>0</v>
      </c>
      <c r="S136" s="871">
        <f t="shared" si="6"/>
        <v>0</v>
      </c>
      <c r="T136" s="870">
        <f>D136-'[9]Диспан.набл.взрослых Пр.16- 23'!D136</f>
        <v>0</v>
      </c>
    </row>
    <row r="137" spans="1:20" x14ac:dyDescent="0.25">
      <c r="A137" s="873">
        <v>122</v>
      </c>
      <c r="B137" s="877" t="s">
        <v>256</v>
      </c>
      <c r="C137" s="567" t="s">
        <v>257</v>
      </c>
      <c r="D137" s="871">
        <f t="shared" si="5"/>
        <v>0</v>
      </c>
      <c r="E137" s="871">
        <f>'[9]Диспан.набл.взрослых Пр.16- 23'!E137+'[9]Уточнение Пр.17-23  '!E137</f>
        <v>0</v>
      </c>
      <c r="F137" s="871">
        <f>'[9]Диспан.набл.взрослых Пр.16- 23'!F137+'[9]Уточнение Пр.17-23  '!F137</f>
        <v>0</v>
      </c>
      <c r="G137" s="871">
        <f>'[9]Диспан.набл.взрослых Пр.16- 23'!G137+'[9]Уточнение Пр.17-23  '!G137</f>
        <v>0</v>
      </c>
      <c r="H137" s="871">
        <f>'[9]Диспан.набл.взрослых Пр.16- 23'!H137+'[9]Уточнение Пр.17-23  '!H137</f>
        <v>0</v>
      </c>
      <c r="I137" s="871">
        <f>'[9]Диспан.набл.взрослых Пр.16- 23'!I137+'[9]Уточнение Пр.17-23  '!I137</f>
        <v>0</v>
      </c>
      <c r="J137" s="871">
        <f>'[9]Диспан.набл.взрослых Пр.16- 23'!J137+'[9]Уточнение Пр.17-23  '!J137</f>
        <v>0</v>
      </c>
      <c r="K137" s="871">
        <f>'[9]Диспан.набл.взрослых Пр.16- 23'!K137+'[9]Уточнение Пр.17-23  '!K137</f>
        <v>0</v>
      </c>
      <c r="L137" s="871">
        <f>'[9]Диспан.набл.взрослых Пр.16- 23'!L137+'[9]Уточнение Пр.17-23  '!L137</f>
        <v>0</v>
      </c>
      <c r="M137" s="871">
        <f>'[9]Диспан.набл.взрослых Пр.16- 23'!M137+'[9]Уточнение Пр.17-23  '!M137</f>
        <v>0</v>
      </c>
      <c r="N137" s="871">
        <f>'[9]Диспан.набл.взрослых Пр.16- 23'!N137+'[9]Уточнение Пр.17-23  '!N137</f>
        <v>0</v>
      </c>
      <c r="O137" s="871">
        <f>'[9]Диспан.набл.взрослых Пр.16- 23'!O137+'[9]Уточнение Пр.17-23  '!O137</f>
        <v>0</v>
      </c>
      <c r="P137" s="871">
        <f>'[9]Диспан.набл.взрослых Пр.16- 23'!P137+'[9]Уточнение Пр.17-23  '!P137</f>
        <v>0</v>
      </c>
      <c r="Q137" s="871">
        <f>'[9]Диспан.набл.взрослых Пр.16- 23'!Q137+'[9]Уточнение Пр.17-23  '!Q137</f>
        <v>0</v>
      </c>
      <c r="R137" s="871">
        <f>'[9]Диспан.набл.взрослых Пр.16- 23'!R137+'[9]Уточнение Пр.17-23  '!R137</f>
        <v>0</v>
      </c>
      <c r="S137" s="871">
        <f t="shared" si="6"/>
        <v>0</v>
      </c>
      <c r="T137" s="870">
        <f>D137-'[9]Диспан.набл.взрослых Пр.16- 23'!D137</f>
        <v>0</v>
      </c>
    </row>
    <row r="138" spans="1:20" x14ac:dyDescent="0.25">
      <c r="A138" s="873">
        <v>123</v>
      </c>
      <c r="B138" s="877" t="s">
        <v>258</v>
      </c>
      <c r="C138" s="567" t="s">
        <v>259</v>
      </c>
      <c r="D138" s="871">
        <f t="shared" si="5"/>
        <v>0</v>
      </c>
      <c r="E138" s="871">
        <f>'[9]Диспан.набл.взрослых Пр.16- 23'!E138+'[9]Уточнение Пр.17-23  '!E138</f>
        <v>0</v>
      </c>
      <c r="F138" s="871">
        <f>'[9]Диспан.набл.взрослых Пр.16- 23'!F138+'[9]Уточнение Пр.17-23  '!F138</f>
        <v>0</v>
      </c>
      <c r="G138" s="871">
        <f>'[9]Диспан.набл.взрослых Пр.16- 23'!G138+'[9]Уточнение Пр.17-23  '!G138</f>
        <v>0</v>
      </c>
      <c r="H138" s="871">
        <f>'[9]Диспан.набл.взрослых Пр.16- 23'!H138+'[9]Уточнение Пр.17-23  '!H138</f>
        <v>0</v>
      </c>
      <c r="I138" s="871">
        <f>'[9]Диспан.набл.взрослых Пр.16- 23'!I138+'[9]Уточнение Пр.17-23  '!I138</f>
        <v>0</v>
      </c>
      <c r="J138" s="871">
        <f>'[9]Диспан.набл.взрослых Пр.16- 23'!J138+'[9]Уточнение Пр.17-23  '!J138</f>
        <v>0</v>
      </c>
      <c r="K138" s="871">
        <f>'[9]Диспан.набл.взрослых Пр.16- 23'!K138+'[9]Уточнение Пр.17-23  '!K138</f>
        <v>0</v>
      </c>
      <c r="L138" s="871">
        <f>'[9]Диспан.набл.взрослых Пр.16- 23'!L138+'[9]Уточнение Пр.17-23  '!L138</f>
        <v>0</v>
      </c>
      <c r="M138" s="871">
        <f>'[9]Диспан.набл.взрослых Пр.16- 23'!M138+'[9]Уточнение Пр.17-23  '!M138</f>
        <v>0</v>
      </c>
      <c r="N138" s="871">
        <f>'[9]Диспан.набл.взрослых Пр.16- 23'!N138+'[9]Уточнение Пр.17-23  '!N138</f>
        <v>0</v>
      </c>
      <c r="O138" s="871">
        <f>'[9]Диспан.набл.взрослых Пр.16- 23'!O138+'[9]Уточнение Пр.17-23  '!O138</f>
        <v>0</v>
      </c>
      <c r="P138" s="871">
        <f>'[9]Диспан.набл.взрослых Пр.16- 23'!P138+'[9]Уточнение Пр.17-23  '!P138</f>
        <v>0</v>
      </c>
      <c r="Q138" s="871">
        <f>'[9]Диспан.набл.взрослых Пр.16- 23'!Q138+'[9]Уточнение Пр.17-23  '!Q138</f>
        <v>0</v>
      </c>
      <c r="R138" s="871">
        <f>'[9]Диспан.набл.взрослых Пр.16- 23'!R138+'[9]Уточнение Пр.17-23  '!R138</f>
        <v>0</v>
      </c>
      <c r="S138" s="871">
        <f t="shared" si="6"/>
        <v>0</v>
      </c>
      <c r="T138" s="870">
        <f>D138-'[9]Диспан.набл.взрослых Пр.16- 23'!D138</f>
        <v>0</v>
      </c>
    </row>
    <row r="139" spans="1:20" x14ac:dyDescent="0.25">
      <c r="A139" s="873">
        <v>124</v>
      </c>
      <c r="B139" s="877" t="s">
        <v>260</v>
      </c>
      <c r="C139" s="567" t="s">
        <v>261</v>
      </c>
      <c r="D139" s="871">
        <f t="shared" si="5"/>
        <v>0</v>
      </c>
      <c r="E139" s="871">
        <f>'[9]Диспан.набл.взрослых Пр.16- 23'!E139+'[9]Уточнение Пр.17-23  '!E139</f>
        <v>0</v>
      </c>
      <c r="F139" s="871">
        <f>'[9]Диспан.набл.взрослых Пр.16- 23'!F139+'[9]Уточнение Пр.17-23  '!F139</f>
        <v>0</v>
      </c>
      <c r="G139" s="871">
        <f>'[9]Диспан.набл.взрослых Пр.16- 23'!G139+'[9]Уточнение Пр.17-23  '!G139</f>
        <v>0</v>
      </c>
      <c r="H139" s="871">
        <f>'[9]Диспан.набл.взрослых Пр.16- 23'!H139+'[9]Уточнение Пр.17-23  '!H139</f>
        <v>0</v>
      </c>
      <c r="I139" s="871">
        <f>'[9]Диспан.набл.взрослых Пр.16- 23'!I139+'[9]Уточнение Пр.17-23  '!I139</f>
        <v>0</v>
      </c>
      <c r="J139" s="871">
        <f>'[9]Диспан.набл.взрослых Пр.16- 23'!J139+'[9]Уточнение Пр.17-23  '!J139</f>
        <v>0</v>
      </c>
      <c r="K139" s="871">
        <f>'[9]Диспан.набл.взрослых Пр.16- 23'!K139+'[9]Уточнение Пр.17-23  '!K139</f>
        <v>0</v>
      </c>
      <c r="L139" s="871">
        <f>'[9]Диспан.набл.взрослых Пр.16- 23'!L139+'[9]Уточнение Пр.17-23  '!L139</f>
        <v>0</v>
      </c>
      <c r="M139" s="871">
        <f>'[9]Диспан.набл.взрослых Пр.16- 23'!M139+'[9]Уточнение Пр.17-23  '!M139</f>
        <v>0</v>
      </c>
      <c r="N139" s="871">
        <f>'[9]Диспан.набл.взрослых Пр.16- 23'!N139+'[9]Уточнение Пр.17-23  '!N139</f>
        <v>0</v>
      </c>
      <c r="O139" s="871">
        <f>'[9]Диспан.набл.взрослых Пр.16- 23'!O139+'[9]Уточнение Пр.17-23  '!O139</f>
        <v>0</v>
      </c>
      <c r="P139" s="871">
        <f>'[9]Диспан.набл.взрослых Пр.16- 23'!P139+'[9]Уточнение Пр.17-23  '!P139</f>
        <v>0</v>
      </c>
      <c r="Q139" s="871">
        <f>'[9]Диспан.набл.взрослых Пр.16- 23'!Q139+'[9]Уточнение Пр.17-23  '!Q139</f>
        <v>0</v>
      </c>
      <c r="R139" s="871">
        <f>'[9]Диспан.набл.взрослых Пр.16- 23'!R139+'[9]Уточнение Пр.17-23  '!R139</f>
        <v>0</v>
      </c>
      <c r="S139" s="871">
        <f t="shared" si="6"/>
        <v>0</v>
      </c>
      <c r="T139" s="870">
        <f>D139-'[9]Диспан.набл.взрослых Пр.16- 23'!D139</f>
        <v>0</v>
      </c>
    </row>
    <row r="140" spans="1:20" x14ac:dyDescent="0.25">
      <c r="A140" s="873">
        <v>125</v>
      </c>
      <c r="B140" s="877" t="s">
        <v>262</v>
      </c>
      <c r="C140" s="567" t="s">
        <v>263</v>
      </c>
      <c r="D140" s="871">
        <f t="shared" si="5"/>
        <v>0</v>
      </c>
      <c r="E140" s="871">
        <f>'[9]Диспан.набл.взрослых Пр.16- 23'!E140+'[9]Уточнение Пр.17-23  '!E140</f>
        <v>0</v>
      </c>
      <c r="F140" s="871">
        <f>'[9]Диспан.набл.взрослых Пр.16- 23'!F140+'[9]Уточнение Пр.17-23  '!F140</f>
        <v>0</v>
      </c>
      <c r="G140" s="871">
        <f>'[9]Диспан.набл.взрослых Пр.16- 23'!G140+'[9]Уточнение Пр.17-23  '!G140</f>
        <v>0</v>
      </c>
      <c r="H140" s="871">
        <f>'[9]Диспан.набл.взрослых Пр.16- 23'!H140+'[9]Уточнение Пр.17-23  '!H140</f>
        <v>0</v>
      </c>
      <c r="I140" s="871">
        <f>'[9]Диспан.набл.взрослых Пр.16- 23'!I140+'[9]Уточнение Пр.17-23  '!I140</f>
        <v>0</v>
      </c>
      <c r="J140" s="871">
        <f>'[9]Диспан.набл.взрослых Пр.16- 23'!J140+'[9]Уточнение Пр.17-23  '!J140</f>
        <v>0</v>
      </c>
      <c r="K140" s="871">
        <f>'[9]Диспан.набл.взрослых Пр.16- 23'!K140+'[9]Уточнение Пр.17-23  '!K140</f>
        <v>0</v>
      </c>
      <c r="L140" s="871">
        <f>'[9]Диспан.набл.взрослых Пр.16- 23'!L140+'[9]Уточнение Пр.17-23  '!L140</f>
        <v>0</v>
      </c>
      <c r="M140" s="871">
        <f>'[9]Диспан.набл.взрослых Пр.16- 23'!M140+'[9]Уточнение Пр.17-23  '!M140</f>
        <v>0</v>
      </c>
      <c r="N140" s="871">
        <f>'[9]Диспан.набл.взрослых Пр.16- 23'!N140+'[9]Уточнение Пр.17-23  '!N140</f>
        <v>0</v>
      </c>
      <c r="O140" s="871">
        <f>'[9]Диспан.набл.взрослых Пр.16- 23'!O140+'[9]Уточнение Пр.17-23  '!O140</f>
        <v>0</v>
      </c>
      <c r="P140" s="871">
        <f>'[9]Диспан.набл.взрослых Пр.16- 23'!P140+'[9]Уточнение Пр.17-23  '!P140</f>
        <v>0</v>
      </c>
      <c r="Q140" s="871">
        <f>'[9]Диспан.набл.взрослых Пр.16- 23'!Q140+'[9]Уточнение Пр.17-23  '!Q140</f>
        <v>0</v>
      </c>
      <c r="R140" s="871">
        <f>'[9]Диспан.набл.взрослых Пр.16- 23'!R140+'[9]Уточнение Пр.17-23  '!R140</f>
        <v>0</v>
      </c>
      <c r="S140" s="871">
        <f t="shared" si="6"/>
        <v>0</v>
      </c>
      <c r="T140" s="870">
        <f>D140-'[9]Диспан.набл.взрослых Пр.16- 23'!D140</f>
        <v>0</v>
      </c>
    </row>
    <row r="141" spans="1:20" x14ac:dyDescent="0.25">
      <c r="A141" s="873">
        <v>126</v>
      </c>
      <c r="B141" s="874" t="s">
        <v>264</v>
      </c>
      <c r="C141" s="875" t="s">
        <v>265</v>
      </c>
      <c r="D141" s="871">
        <f t="shared" si="5"/>
        <v>0</v>
      </c>
      <c r="E141" s="871">
        <f>'[9]Диспан.набл.взрослых Пр.16- 23'!E141+'[9]Уточнение Пр.17-23  '!E141</f>
        <v>0</v>
      </c>
      <c r="F141" s="871">
        <f>'[9]Диспан.набл.взрослых Пр.16- 23'!F141+'[9]Уточнение Пр.17-23  '!F141</f>
        <v>0</v>
      </c>
      <c r="G141" s="871">
        <f>'[9]Диспан.набл.взрослых Пр.16- 23'!G141+'[9]Уточнение Пр.17-23  '!G141</f>
        <v>0</v>
      </c>
      <c r="H141" s="871">
        <f>'[9]Диспан.набл.взрослых Пр.16- 23'!H141+'[9]Уточнение Пр.17-23  '!H141</f>
        <v>0</v>
      </c>
      <c r="I141" s="871">
        <f>'[9]Диспан.набл.взрослых Пр.16- 23'!I141+'[9]Уточнение Пр.17-23  '!I141</f>
        <v>0</v>
      </c>
      <c r="J141" s="871">
        <f>'[9]Диспан.набл.взрослых Пр.16- 23'!J141+'[9]Уточнение Пр.17-23  '!J141</f>
        <v>0</v>
      </c>
      <c r="K141" s="871">
        <f>'[9]Диспан.набл.взрослых Пр.16- 23'!K141+'[9]Уточнение Пр.17-23  '!K141</f>
        <v>0</v>
      </c>
      <c r="L141" s="871">
        <f>'[9]Диспан.набл.взрослых Пр.16- 23'!L141+'[9]Уточнение Пр.17-23  '!L141</f>
        <v>0</v>
      </c>
      <c r="M141" s="871">
        <f>'[9]Диспан.набл.взрослых Пр.16- 23'!M141+'[9]Уточнение Пр.17-23  '!M141</f>
        <v>0</v>
      </c>
      <c r="N141" s="871">
        <f>'[9]Диспан.набл.взрослых Пр.16- 23'!N141+'[9]Уточнение Пр.17-23  '!N141</f>
        <v>0</v>
      </c>
      <c r="O141" s="871">
        <f>'[9]Диспан.набл.взрослых Пр.16- 23'!O141+'[9]Уточнение Пр.17-23  '!O141</f>
        <v>0</v>
      </c>
      <c r="P141" s="871">
        <f>'[9]Диспан.набл.взрослых Пр.16- 23'!P141+'[9]Уточнение Пр.17-23  '!P141</f>
        <v>0</v>
      </c>
      <c r="Q141" s="871">
        <f>'[9]Диспан.набл.взрослых Пр.16- 23'!Q141+'[9]Уточнение Пр.17-23  '!Q141</f>
        <v>0</v>
      </c>
      <c r="R141" s="871">
        <f>'[9]Диспан.набл.взрослых Пр.16- 23'!R141+'[9]Уточнение Пр.17-23  '!R141</f>
        <v>0</v>
      </c>
      <c r="S141" s="871">
        <f t="shared" si="6"/>
        <v>0</v>
      </c>
      <c r="T141" s="870">
        <f>D141-'[9]Диспан.набл.взрослых Пр.16- 23'!D141</f>
        <v>0</v>
      </c>
    </row>
    <row r="142" spans="1:20" x14ac:dyDescent="0.25">
      <c r="A142" s="873">
        <v>127</v>
      </c>
      <c r="B142" s="874" t="s">
        <v>266</v>
      </c>
      <c r="C142" s="567" t="s">
        <v>267</v>
      </c>
      <c r="D142" s="871">
        <f t="shared" si="5"/>
        <v>0</v>
      </c>
      <c r="E142" s="871">
        <f>'[9]Диспан.набл.взрослых Пр.16- 23'!E142+'[9]Уточнение Пр.17-23  '!E142</f>
        <v>0</v>
      </c>
      <c r="F142" s="871">
        <f>'[9]Диспан.набл.взрослых Пр.16- 23'!F142+'[9]Уточнение Пр.17-23  '!F142</f>
        <v>0</v>
      </c>
      <c r="G142" s="871">
        <f>'[9]Диспан.набл.взрослых Пр.16- 23'!G142+'[9]Уточнение Пр.17-23  '!G142</f>
        <v>0</v>
      </c>
      <c r="H142" s="871">
        <f>'[9]Диспан.набл.взрослых Пр.16- 23'!H142+'[9]Уточнение Пр.17-23  '!H142</f>
        <v>0</v>
      </c>
      <c r="I142" s="871">
        <f>'[9]Диспан.набл.взрослых Пр.16- 23'!I142+'[9]Уточнение Пр.17-23  '!I142</f>
        <v>0</v>
      </c>
      <c r="J142" s="871">
        <f>'[9]Диспан.набл.взрослых Пр.16- 23'!J142+'[9]Уточнение Пр.17-23  '!J142</f>
        <v>0</v>
      </c>
      <c r="K142" s="871">
        <f>'[9]Диспан.набл.взрослых Пр.16- 23'!K142+'[9]Уточнение Пр.17-23  '!K142</f>
        <v>0</v>
      </c>
      <c r="L142" s="871">
        <f>'[9]Диспан.набл.взрослых Пр.16- 23'!L142+'[9]Уточнение Пр.17-23  '!L142</f>
        <v>0</v>
      </c>
      <c r="M142" s="871">
        <f>'[9]Диспан.набл.взрослых Пр.16- 23'!M142+'[9]Уточнение Пр.17-23  '!M142</f>
        <v>0</v>
      </c>
      <c r="N142" s="871">
        <f>'[9]Диспан.набл.взрослых Пр.16- 23'!N142+'[9]Уточнение Пр.17-23  '!N142</f>
        <v>0</v>
      </c>
      <c r="O142" s="871">
        <f>'[9]Диспан.набл.взрослых Пр.16- 23'!O142+'[9]Уточнение Пр.17-23  '!O142</f>
        <v>0</v>
      </c>
      <c r="P142" s="871">
        <f>'[9]Диспан.набл.взрослых Пр.16- 23'!P142+'[9]Уточнение Пр.17-23  '!P142</f>
        <v>0</v>
      </c>
      <c r="Q142" s="871">
        <f>'[9]Диспан.набл.взрослых Пр.16- 23'!Q142+'[9]Уточнение Пр.17-23  '!Q142</f>
        <v>0</v>
      </c>
      <c r="R142" s="871">
        <f>'[9]Диспан.набл.взрослых Пр.16- 23'!R142+'[9]Уточнение Пр.17-23  '!R142</f>
        <v>0</v>
      </c>
      <c r="S142" s="871">
        <f t="shared" si="6"/>
        <v>0</v>
      </c>
      <c r="T142" s="870">
        <f>D142-'[9]Диспан.набл.взрослых Пр.16- 23'!D142</f>
        <v>0</v>
      </c>
    </row>
    <row r="143" spans="1:20" x14ac:dyDescent="0.25">
      <c r="A143" s="873">
        <v>128</v>
      </c>
      <c r="B143" s="878" t="s">
        <v>268</v>
      </c>
      <c r="C143" s="1" t="s">
        <v>269</v>
      </c>
      <c r="D143" s="871">
        <f t="shared" ref="D143:D155" si="7">SUM(E143:R143)</f>
        <v>0</v>
      </c>
      <c r="E143" s="871">
        <f>'[9]Диспан.набл.взрослых Пр.16- 23'!E143+'[9]Уточнение Пр.17-23  '!E143</f>
        <v>0</v>
      </c>
      <c r="F143" s="871">
        <f>'[9]Диспан.набл.взрослых Пр.16- 23'!F143+'[9]Уточнение Пр.17-23  '!F143</f>
        <v>0</v>
      </c>
      <c r="G143" s="871">
        <f>'[9]Диспан.набл.взрослых Пр.16- 23'!G143+'[9]Уточнение Пр.17-23  '!G143</f>
        <v>0</v>
      </c>
      <c r="H143" s="871">
        <f>'[9]Диспан.набл.взрослых Пр.16- 23'!H143+'[9]Уточнение Пр.17-23  '!H143</f>
        <v>0</v>
      </c>
      <c r="I143" s="871">
        <f>'[9]Диспан.набл.взрослых Пр.16- 23'!I143+'[9]Уточнение Пр.17-23  '!I143</f>
        <v>0</v>
      </c>
      <c r="J143" s="871">
        <f>'[9]Диспан.набл.взрослых Пр.16- 23'!J143+'[9]Уточнение Пр.17-23  '!J143</f>
        <v>0</v>
      </c>
      <c r="K143" s="871">
        <f>'[9]Диспан.набл.взрослых Пр.16- 23'!K143+'[9]Уточнение Пр.17-23  '!K143</f>
        <v>0</v>
      </c>
      <c r="L143" s="871">
        <f>'[9]Диспан.набл.взрослых Пр.16- 23'!L143+'[9]Уточнение Пр.17-23  '!L143</f>
        <v>0</v>
      </c>
      <c r="M143" s="871">
        <f>'[9]Диспан.набл.взрослых Пр.16- 23'!M143+'[9]Уточнение Пр.17-23  '!M143</f>
        <v>0</v>
      </c>
      <c r="N143" s="871">
        <f>'[9]Диспан.набл.взрослых Пр.16- 23'!N143+'[9]Уточнение Пр.17-23  '!N143</f>
        <v>0</v>
      </c>
      <c r="O143" s="871">
        <f>'[9]Диспан.набл.взрослых Пр.16- 23'!O143+'[9]Уточнение Пр.17-23  '!O143</f>
        <v>0</v>
      </c>
      <c r="P143" s="871">
        <f>'[9]Диспан.набл.взрослых Пр.16- 23'!P143+'[9]Уточнение Пр.17-23  '!P143</f>
        <v>0</v>
      </c>
      <c r="Q143" s="871">
        <f>'[9]Диспан.набл.взрослых Пр.16- 23'!Q143+'[9]Уточнение Пр.17-23  '!Q143</f>
        <v>0</v>
      </c>
      <c r="R143" s="871">
        <f>'[9]Диспан.набл.взрослых Пр.16- 23'!R143+'[9]Уточнение Пр.17-23  '!R143</f>
        <v>0</v>
      </c>
      <c r="S143" s="871">
        <f t="shared" ref="S143:S155" si="8">ROUND(E143/$E$13*$S$8,0)</f>
        <v>0</v>
      </c>
      <c r="T143" s="870">
        <f>D143-'[9]Диспан.набл.взрослых Пр.16- 23'!D143</f>
        <v>0</v>
      </c>
    </row>
    <row r="144" spans="1:20" x14ac:dyDescent="0.25">
      <c r="A144" s="873">
        <v>129</v>
      </c>
      <c r="B144" s="877" t="s">
        <v>270</v>
      </c>
      <c r="C144" s="567" t="s">
        <v>271</v>
      </c>
      <c r="D144" s="871">
        <f t="shared" si="7"/>
        <v>0</v>
      </c>
      <c r="E144" s="871">
        <f>'[9]Диспан.набл.взрослых Пр.16- 23'!E144+'[9]Уточнение Пр.17-23  '!E144</f>
        <v>0</v>
      </c>
      <c r="F144" s="871">
        <f>'[9]Диспан.набл.взрослых Пр.16- 23'!F144+'[9]Уточнение Пр.17-23  '!F144</f>
        <v>0</v>
      </c>
      <c r="G144" s="871">
        <f>'[9]Диспан.набл.взрослых Пр.16- 23'!G144+'[9]Уточнение Пр.17-23  '!G144</f>
        <v>0</v>
      </c>
      <c r="H144" s="871">
        <f>'[9]Диспан.набл.взрослых Пр.16- 23'!H144+'[9]Уточнение Пр.17-23  '!H144</f>
        <v>0</v>
      </c>
      <c r="I144" s="871">
        <f>'[9]Диспан.набл.взрослых Пр.16- 23'!I144+'[9]Уточнение Пр.17-23  '!I144</f>
        <v>0</v>
      </c>
      <c r="J144" s="871">
        <f>'[9]Диспан.набл.взрослых Пр.16- 23'!J144+'[9]Уточнение Пр.17-23  '!J144</f>
        <v>0</v>
      </c>
      <c r="K144" s="871">
        <f>'[9]Диспан.набл.взрослых Пр.16- 23'!K144+'[9]Уточнение Пр.17-23  '!K144</f>
        <v>0</v>
      </c>
      <c r="L144" s="871">
        <f>'[9]Диспан.набл.взрослых Пр.16- 23'!L144+'[9]Уточнение Пр.17-23  '!L144</f>
        <v>0</v>
      </c>
      <c r="M144" s="871">
        <f>'[9]Диспан.набл.взрослых Пр.16- 23'!M144+'[9]Уточнение Пр.17-23  '!M144</f>
        <v>0</v>
      </c>
      <c r="N144" s="871">
        <f>'[9]Диспан.набл.взрослых Пр.16- 23'!N144+'[9]Уточнение Пр.17-23  '!N144</f>
        <v>0</v>
      </c>
      <c r="O144" s="871">
        <f>'[9]Диспан.набл.взрослых Пр.16- 23'!O144+'[9]Уточнение Пр.17-23  '!O144</f>
        <v>0</v>
      </c>
      <c r="P144" s="871">
        <f>'[9]Диспан.набл.взрослых Пр.16- 23'!P144+'[9]Уточнение Пр.17-23  '!P144</f>
        <v>0</v>
      </c>
      <c r="Q144" s="871">
        <f>'[9]Диспан.набл.взрослых Пр.16- 23'!Q144+'[9]Уточнение Пр.17-23  '!Q144</f>
        <v>0</v>
      </c>
      <c r="R144" s="871">
        <f>'[9]Диспан.набл.взрослых Пр.16- 23'!R144+'[9]Уточнение Пр.17-23  '!R144</f>
        <v>0</v>
      </c>
      <c r="S144" s="871">
        <f t="shared" si="8"/>
        <v>0</v>
      </c>
      <c r="T144" s="870">
        <f>D144-'[9]Диспан.набл.взрослых Пр.16- 23'!D144</f>
        <v>0</v>
      </c>
    </row>
    <row r="145" spans="1:20" x14ac:dyDescent="0.25">
      <c r="A145" s="873">
        <v>130</v>
      </c>
      <c r="B145" s="877" t="s">
        <v>272</v>
      </c>
      <c r="C145" s="567" t="s">
        <v>273</v>
      </c>
      <c r="D145" s="871">
        <f t="shared" si="7"/>
        <v>0</v>
      </c>
      <c r="E145" s="871">
        <f>'[9]Диспан.набл.взрослых Пр.16- 23'!E145+'[9]Уточнение Пр.17-23  '!E145</f>
        <v>0</v>
      </c>
      <c r="F145" s="871">
        <f>'[9]Диспан.набл.взрослых Пр.16- 23'!F145+'[9]Уточнение Пр.17-23  '!F145</f>
        <v>0</v>
      </c>
      <c r="G145" s="871">
        <f>'[9]Диспан.набл.взрослых Пр.16- 23'!G145+'[9]Уточнение Пр.17-23  '!G145</f>
        <v>0</v>
      </c>
      <c r="H145" s="871">
        <f>'[9]Диспан.набл.взрослых Пр.16- 23'!H145+'[9]Уточнение Пр.17-23  '!H145</f>
        <v>0</v>
      </c>
      <c r="I145" s="871">
        <f>'[9]Диспан.набл.взрослых Пр.16- 23'!I145+'[9]Уточнение Пр.17-23  '!I145</f>
        <v>0</v>
      </c>
      <c r="J145" s="871">
        <f>'[9]Диспан.набл.взрослых Пр.16- 23'!J145+'[9]Уточнение Пр.17-23  '!J145</f>
        <v>0</v>
      </c>
      <c r="K145" s="871">
        <f>'[9]Диспан.набл.взрослых Пр.16- 23'!K145+'[9]Уточнение Пр.17-23  '!K145</f>
        <v>0</v>
      </c>
      <c r="L145" s="871">
        <f>'[9]Диспан.набл.взрослых Пр.16- 23'!L145+'[9]Уточнение Пр.17-23  '!L145</f>
        <v>0</v>
      </c>
      <c r="M145" s="871">
        <f>'[9]Диспан.набл.взрослых Пр.16- 23'!M145+'[9]Уточнение Пр.17-23  '!M145</f>
        <v>0</v>
      </c>
      <c r="N145" s="871">
        <f>'[9]Диспан.набл.взрослых Пр.16- 23'!N145+'[9]Уточнение Пр.17-23  '!N145</f>
        <v>0</v>
      </c>
      <c r="O145" s="871">
        <f>'[9]Диспан.набл.взрослых Пр.16- 23'!O145+'[9]Уточнение Пр.17-23  '!O145</f>
        <v>0</v>
      </c>
      <c r="P145" s="871">
        <f>'[9]Диспан.набл.взрослых Пр.16- 23'!P145+'[9]Уточнение Пр.17-23  '!P145</f>
        <v>0</v>
      </c>
      <c r="Q145" s="871">
        <f>'[9]Диспан.набл.взрослых Пр.16- 23'!Q145+'[9]Уточнение Пр.17-23  '!Q145</f>
        <v>0</v>
      </c>
      <c r="R145" s="871">
        <f>'[9]Диспан.набл.взрослых Пр.16- 23'!R145+'[9]Уточнение Пр.17-23  '!R145</f>
        <v>0</v>
      </c>
      <c r="S145" s="871">
        <f t="shared" si="8"/>
        <v>0</v>
      </c>
      <c r="T145" s="870">
        <f>D145-'[9]Диспан.набл.взрослых Пр.16- 23'!D145</f>
        <v>0</v>
      </c>
    </row>
    <row r="146" spans="1:20" x14ac:dyDescent="0.25">
      <c r="A146" s="873">
        <v>131</v>
      </c>
      <c r="B146" s="877" t="s">
        <v>274</v>
      </c>
      <c r="C146" s="567" t="s">
        <v>275</v>
      </c>
      <c r="D146" s="871">
        <f t="shared" si="7"/>
        <v>0</v>
      </c>
      <c r="E146" s="871">
        <f>'[9]Диспан.набл.взрослых Пр.16- 23'!E146+'[9]Уточнение Пр.17-23  '!E146</f>
        <v>0</v>
      </c>
      <c r="F146" s="871">
        <f>'[9]Диспан.набл.взрослых Пр.16- 23'!F146+'[9]Уточнение Пр.17-23  '!F146</f>
        <v>0</v>
      </c>
      <c r="G146" s="871">
        <f>'[9]Диспан.набл.взрослых Пр.16- 23'!G146+'[9]Уточнение Пр.17-23  '!G146</f>
        <v>0</v>
      </c>
      <c r="H146" s="871">
        <f>'[9]Диспан.набл.взрослых Пр.16- 23'!H146+'[9]Уточнение Пр.17-23  '!H146</f>
        <v>0</v>
      </c>
      <c r="I146" s="871">
        <f>'[9]Диспан.набл.взрослых Пр.16- 23'!I146+'[9]Уточнение Пр.17-23  '!I146</f>
        <v>0</v>
      </c>
      <c r="J146" s="871">
        <f>'[9]Диспан.набл.взрослых Пр.16- 23'!J146+'[9]Уточнение Пр.17-23  '!J146</f>
        <v>0</v>
      </c>
      <c r="K146" s="871">
        <f>'[9]Диспан.набл.взрослых Пр.16- 23'!K146+'[9]Уточнение Пр.17-23  '!K146</f>
        <v>0</v>
      </c>
      <c r="L146" s="871">
        <f>'[9]Диспан.набл.взрослых Пр.16- 23'!L146+'[9]Уточнение Пр.17-23  '!L146</f>
        <v>0</v>
      </c>
      <c r="M146" s="871">
        <f>'[9]Диспан.набл.взрослых Пр.16- 23'!M146+'[9]Уточнение Пр.17-23  '!M146</f>
        <v>0</v>
      </c>
      <c r="N146" s="871">
        <f>'[9]Диспан.набл.взрослых Пр.16- 23'!N146+'[9]Уточнение Пр.17-23  '!N146</f>
        <v>0</v>
      </c>
      <c r="O146" s="871">
        <f>'[9]Диспан.набл.взрослых Пр.16- 23'!O146+'[9]Уточнение Пр.17-23  '!O146</f>
        <v>0</v>
      </c>
      <c r="P146" s="871">
        <f>'[9]Диспан.набл.взрослых Пр.16- 23'!P146+'[9]Уточнение Пр.17-23  '!P146</f>
        <v>0</v>
      </c>
      <c r="Q146" s="871">
        <f>'[9]Диспан.набл.взрослых Пр.16- 23'!Q146+'[9]Уточнение Пр.17-23  '!Q146</f>
        <v>0</v>
      </c>
      <c r="R146" s="871">
        <f>'[9]Диспан.набл.взрослых Пр.16- 23'!R146+'[9]Уточнение Пр.17-23  '!R146</f>
        <v>0</v>
      </c>
      <c r="S146" s="871">
        <f t="shared" si="8"/>
        <v>0</v>
      </c>
      <c r="T146" s="870">
        <f>D146-'[9]Диспан.набл.взрослых Пр.16- 23'!D146</f>
        <v>0</v>
      </c>
    </row>
    <row r="147" spans="1:20" x14ac:dyDescent="0.25">
      <c r="A147" s="873">
        <v>132</v>
      </c>
      <c r="B147" s="878" t="s">
        <v>276</v>
      </c>
      <c r="C147" s="1" t="s">
        <v>277</v>
      </c>
      <c r="D147" s="871">
        <f t="shared" si="7"/>
        <v>20130</v>
      </c>
      <c r="E147" s="871">
        <f>'[9]Диспан.набл.взрослых Пр.16- 23'!E147+'[9]Уточнение Пр.17-23  '!E147</f>
        <v>15756</v>
      </c>
      <c r="F147" s="871">
        <f>'[9]Диспан.набл.взрослых Пр.16- 23'!F147+'[9]Уточнение Пр.17-23  '!F147</f>
        <v>3685</v>
      </c>
      <c r="G147" s="871">
        <f>'[9]Диспан.набл.взрослых Пр.16- 23'!G147+'[9]Уточнение Пр.17-23  '!G147</f>
        <v>376</v>
      </c>
      <c r="H147" s="871">
        <f>'[9]Диспан.набл.взрослых Пр.16- 23'!H147+'[9]Уточнение Пр.17-23  '!H147</f>
        <v>75</v>
      </c>
      <c r="I147" s="871">
        <f>'[9]Диспан.набл.взрослых Пр.16- 23'!I147+'[9]Уточнение Пр.17-23  '!I147</f>
        <v>0</v>
      </c>
      <c r="J147" s="871">
        <f>'[9]Диспан.набл.взрослых Пр.16- 23'!J147+'[9]Уточнение Пр.17-23  '!J147</f>
        <v>0</v>
      </c>
      <c r="K147" s="871">
        <f>'[9]Диспан.набл.взрослых Пр.16- 23'!K147+'[9]Уточнение Пр.17-23  '!K147</f>
        <v>13</v>
      </c>
      <c r="L147" s="871">
        <f>'[9]Диспан.набл.взрослых Пр.16- 23'!L147+'[9]Уточнение Пр.17-23  '!L147</f>
        <v>0</v>
      </c>
      <c r="M147" s="871">
        <f>'[9]Диспан.набл.взрослых Пр.16- 23'!M147+'[9]Уточнение Пр.17-23  '!M147</f>
        <v>11</v>
      </c>
      <c r="N147" s="871">
        <f>'[9]Диспан.набл.взрослых Пр.16- 23'!N147+'[9]Уточнение Пр.17-23  '!N147</f>
        <v>138</v>
      </c>
      <c r="O147" s="871">
        <f>'[9]Диспан.набл.взрослых Пр.16- 23'!O147+'[9]Уточнение Пр.17-23  '!O147</f>
        <v>0</v>
      </c>
      <c r="P147" s="871">
        <f>'[9]Диспан.набл.взрослых Пр.16- 23'!P147+'[9]Уточнение Пр.17-23  '!P147</f>
        <v>51</v>
      </c>
      <c r="Q147" s="871">
        <f>'[9]Диспан.набл.взрослых Пр.16- 23'!Q147+'[9]Уточнение Пр.17-23  '!Q147</f>
        <v>0</v>
      </c>
      <c r="R147" s="871">
        <f>'[9]Диспан.набл.взрослых Пр.16- 23'!R147+'[9]Уточнение Пр.17-23  '!R147</f>
        <v>25</v>
      </c>
      <c r="S147" s="871">
        <f t="shared" si="8"/>
        <v>15756</v>
      </c>
      <c r="T147" s="870">
        <f>D147-'[9]Диспан.набл.взрослых Пр.16- 23'!D147</f>
        <v>0</v>
      </c>
    </row>
    <row r="148" spans="1:20" x14ac:dyDescent="0.25">
      <c r="A148" s="873">
        <v>133</v>
      </c>
      <c r="B148" s="876" t="s">
        <v>278</v>
      </c>
      <c r="C148" s="1" t="s">
        <v>279</v>
      </c>
      <c r="D148" s="871">
        <f t="shared" si="7"/>
        <v>24499</v>
      </c>
      <c r="E148" s="871">
        <f>'[9]Диспан.набл.взрослых Пр.16- 23'!E148+'[9]Уточнение Пр.17-23  '!E148</f>
        <v>20292</v>
      </c>
      <c r="F148" s="871">
        <f>'[9]Диспан.набл.взрослых Пр.16- 23'!F148+'[9]Уточнение Пр.17-23  '!F148</f>
        <v>3046</v>
      </c>
      <c r="G148" s="871">
        <f>'[9]Диспан.набл.взрослых Пр.16- 23'!G148+'[9]Уточнение Пр.17-23  '!G148</f>
        <v>706</v>
      </c>
      <c r="H148" s="871">
        <f>'[9]Диспан.набл.взрослых Пр.16- 23'!H148+'[9]Уточнение Пр.17-23  '!H148</f>
        <v>180</v>
      </c>
      <c r="I148" s="871">
        <f>'[9]Диспан.набл.взрослых Пр.16- 23'!I148+'[9]Уточнение Пр.17-23  '!I148</f>
        <v>0</v>
      </c>
      <c r="J148" s="871">
        <f>'[9]Диспан.набл.взрослых Пр.16- 23'!J148+'[9]Уточнение Пр.17-23  '!J148</f>
        <v>0</v>
      </c>
      <c r="K148" s="871">
        <f>'[9]Диспан.набл.взрослых Пр.16- 23'!K148+'[9]Уточнение Пр.17-23  '!K148</f>
        <v>0</v>
      </c>
      <c r="L148" s="871">
        <f>'[9]Диспан.набл.взрослых Пр.16- 23'!L148+'[9]Уточнение Пр.17-23  '!L148</f>
        <v>4</v>
      </c>
      <c r="M148" s="871">
        <f>'[9]Диспан.набл.взрослых Пр.16- 23'!M148+'[9]Уточнение Пр.17-23  '!M148</f>
        <v>13</v>
      </c>
      <c r="N148" s="871">
        <f>'[9]Диспан.набл.взрослых Пр.16- 23'!N148+'[9]Уточнение Пр.17-23  '!N148</f>
        <v>0</v>
      </c>
      <c r="O148" s="871">
        <f>'[9]Диспан.набл.взрослых Пр.16- 23'!O148+'[9]Уточнение Пр.17-23  '!O148</f>
        <v>2</v>
      </c>
      <c r="P148" s="871">
        <f>'[9]Диспан.набл.взрослых Пр.16- 23'!P148+'[9]Уточнение Пр.17-23  '!P148</f>
        <v>0</v>
      </c>
      <c r="Q148" s="871">
        <f>'[9]Диспан.набл.взрослых Пр.16- 23'!Q148+'[9]Уточнение Пр.17-23  '!Q148</f>
        <v>219</v>
      </c>
      <c r="R148" s="871">
        <f>'[9]Диспан.набл.взрослых Пр.16- 23'!R148+'[9]Уточнение Пр.17-23  '!R148</f>
        <v>37</v>
      </c>
      <c r="S148" s="871">
        <f t="shared" si="8"/>
        <v>20292</v>
      </c>
      <c r="T148" s="870">
        <f>D148-'[9]Диспан.набл.взрослых Пр.16- 23'!D148</f>
        <v>0</v>
      </c>
    </row>
    <row r="149" spans="1:20" x14ac:dyDescent="0.25">
      <c r="A149" s="873">
        <v>134</v>
      </c>
      <c r="B149" s="877" t="s">
        <v>280</v>
      </c>
      <c r="C149" s="567" t="s">
        <v>281</v>
      </c>
      <c r="D149" s="871">
        <f t="shared" si="7"/>
        <v>0</v>
      </c>
      <c r="E149" s="871">
        <f>'[9]Диспан.набл.взрослых Пр.16- 23'!E149+'[9]Уточнение Пр.17-23  '!E149</f>
        <v>0</v>
      </c>
      <c r="F149" s="871">
        <f>'[9]Диспан.набл.взрослых Пр.16- 23'!F149+'[9]Уточнение Пр.17-23  '!F149</f>
        <v>0</v>
      </c>
      <c r="G149" s="871">
        <f>'[9]Диспан.набл.взрослых Пр.16- 23'!G149+'[9]Уточнение Пр.17-23  '!G149</f>
        <v>0</v>
      </c>
      <c r="H149" s="871">
        <f>'[9]Диспан.набл.взрослых Пр.16- 23'!H149+'[9]Уточнение Пр.17-23  '!H149</f>
        <v>0</v>
      </c>
      <c r="I149" s="871">
        <f>'[9]Диспан.набл.взрослых Пр.16- 23'!I149+'[9]Уточнение Пр.17-23  '!I149</f>
        <v>0</v>
      </c>
      <c r="J149" s="871">
        <f>'[9]Диспан.набл.взрослых Пр.16- 23'!J149+'[9]Уточнение Пр.17-23  '!J149</f>
        <v>0</v>
      </c>
      <c r="K149" s="871">
        <f>'[9]Диспан.набл.взрослых Пр.16- 23'!K149+'[9]Уточнение Пр.17-23  '!K149</f>
        <v>0</v>
      </c>
      <c r="L149" s="871">
        <f>'[9]Диспан.набл.взрослых Пр.16- 23'!L149+'[9]Уточнение Пр.17-23  '!L149</f>
        <v>0</v>
      </c>
      <c r="M149" s="871">
        <f>'[9]Диспан.набл.взрослых Пр.16- 23'!M149+'[9]Уточнение Пр.17-23  '!M149</f>
        <v>0</v>
      </c>
      <c r="N149" s="871">
        <f>'[9]Диспан.набл.взрослых Пр.16- 23'!N149+'[9]Уточнение Пр.17-23  '!N149</f>
        <v>0</v>
      </c>
      <c r="O149" s="871">
        <f>'[9]Диспан.набл.взрослых Пр.16- 23'!O149+'[9]Уточнение Пр.17-23  '!O149</f>
        <v>0</v>
      </c>
      <c r="P149" s="871">
        <f>'[9]Диспан.набл.взрослых Пр.16- 23'!P149+'[9]Уточнение Пр.17-23  '!P149</f>
        <v>0</v>
      </c>
      <c r="Q149" s="871">
        <f>'[9]Диспан.набл.взрослых Пр.16- 23'!Q149+'[9]Уточнение Пр.17-23  '!Q149</f>
        <v>0</v>
      </c>
      <c r="R149" s="871">
        <f>'[9]Диспан.набл.взрослых Пр.16- 23'!R149+'[9]Уточнение Пр.17-23  '!R149</f>
        <v>0</v>
      </c>
      <c r="S149" s="871">
        <f t="shared" si="8"/>
        <v>0</v>
      </c>
      <c r="T149" s="870">
        <f>D149-'[9]Диспан.набл.взрослых Пр.16- 23'!D149</f>
        <v>0</v>
      </c>
    </row>
    <row r="150" spans="1:20" x14ac:dyDescent="0.25">
      <c r="A150" s="873">
        <v>135</v>
      </c>
      <c r="B150" s="874" t="s">
        <v>282</v>
      </c>
      <c r="C150" s="875" t="s">
        <v>283</v>
      </c>
      <c r="D150" s="871">
        <f t="shared" si="7"/>
        <v>0</v>
      </c>
      <c r="E150" s="871">
        <f>'[9]Диспан.набл.взрослых Пр.16- 23'!E150+'[9]Уточнение Пр.17-23  '!E150</f>
        <v>0</v>
      </c>
      <c r="F150" s="871">
        <f>'[9]Диспан.набл.взрослых Пр.16- 23'!F150+'[9]Уточнение Пр.17-23  '!F150</f>
        <v>0</v>
      </c>
      <c r="G150" s="871">
        <f>'[9]Диспан.набл.взрослых Пр.16- 23'!G150+'[9]Уточнение Пр.17-23  '!G150</f>
        <v>0</v>
      </c>
      <c r="H150" s="871">
        <f>'[9]Диспан.набл.взрослых Пр.16- 23'!H150+'[9]Уточнение Пр.17-23  '!H150</f>
        <v>0</v>
      </c>
      <c r="I150" s="871">
        <f>'[9]Диспан.набл.взрослых Пр.16- 23'!I150+'[9]Уточнение Пр.17-23  '!I150</f>
        <v>0</v>
      </c>
      <c r="J150" s="871">
        <f>'[9]Диспан.набл.взрослых Пр.16- 23'!J150+'[9]Уточнение Пр.17-23  '!J150</f>
        <v>0</v>
      </c>
      <c r="K150" s="871">
        <f>'[9]Диспан.набл.взрослых Пр.16- 23'!K150+'[9]Уточнение Пр.17-23  '!K150</f>
        <v>0</v>
      </c>
      <c r="L150" s="871">
        <f>'[9]Диспан.набл.взрослых Пр.16- 23'!L150+'[9]Уточнение Пр.17-23  '!L150</f>
        <v>0</v>
      </c>
      <c r="M150" s="871">
        <f>'[9]Диспан.набл.взрослых Пр.16- 23'!M150+'[9]Уточнение Пр.17-23  '!M150</f>
        <v>0</v>
      </c>
      <c r="N150" s="871">
        <f>'[9]Диспан.набл.взрослых Пр.16- 23'!N150+'[9]Уточнение Пр.17-23  '!N150</f>
        <v>0</v>
      </c>
      <c r="O150" s="871">
        <f>'[9]Диспан.набл.взрослых Пр.16- 23'!O150+'[9]Уточнение Пр.17-23  '!O150</f>
        <v>0</v>
      </c>
      <c r="P150" s="871">
        <f>'[9]Диспан.набл.взрослых Пр.16- 23'!P150+'[9]Уточнение Пр.17-23  '!P150</f>
        <v>0</v>
      </c>
      <c r="Q150" s="871">
        <f>'[9]Диспан.набл.взрослых Пр.16- 23'!Q150+'[9]Уточнение Пр.17-23  '!Q150</f>
        <v>0</v>
      </c>
      <c r="R150" s="871">
        <f>'[9]Диспан.набл.взрослых Пр.16- 23'!R150+'[9]Уточнение Пр.17-23  '!R150</f>
        <v>0</v>
      </c>
      <c r="S150" s="871">
        <f t="shared" si="8"/>
        <v>0</v>
      </c>
      <c r="T150" s="870">
        <f>D150-'[9]Диспан.набл.взрослых Пр.16- 23'!D150</f>
        <v>0</v>
      </c>
    </row>
    <row r="151" spans="1:20" x14ac:dyDescent="0.25">
      <c r="A151" s="873">
        <v>136</v>
      </c>
      <c r="B151" s="877" t="s">
        <v>284</v>
      </c>
      <c r="C151" s="567" t="s">
        <v>285</v>
      </c>
      <c r="D151" s="871">
        <f t="shared" si="7"/>
        <v>0</v>
      </c>
      <c r="E151" s="871">
        <f>'[9]Диспан.набл.взрослых Пр.16- 23'!E151+'[9]Уточнение Пр.17-23  '!E151</f>
        <v>0</v>
      </c>
      <c r="F151" s="871">
        <f>'[9]Диспан.набл.взрослых Пр.16- 23'!F151+'[9]Уточнение Пр.17-23  '!F151</f>
        <v>0</v>
      </c>
      <c r="G151" s="871">
        <f>'[9]Диспан.набл.взрослых Пр.16- 23'!G151+'[9]Уточнение Пр.17-23  '!G151</f>
        <v>0</v>
      </c>
      <c r="H151" s="871">
        <f>'[9]Диспан.набл.взрослых Пр.16- 23'!H151+'[9]Уточнение Пр.17-23  '!H151</f>
        <v>0</v>
      </c>
      <c r="I151" s="871">
        <f>'[9]Диспан.набл.взрослых Пр.16- 23'!I151+'[9]Уточнение Пр.17-23  '!I151</f>
        <v>0</v>
      </c>
      <c r="J151" s="871">
        <f>'[9]Диспан.набл.взрослых Пр.16- 23'!J151+'[9]Уточнение Пр.17-23  '!J151</f>
        <v>0</v>
      </c>
      <c r="K151" s="871">
        <f>'[9]Диспан.набл.взрослых Пр.16- 23'!K151+'[9]Уточнение Пр.17-23  '!K151</f>
        <v>0</v>
      </c>
      <c r="L151" s="871">
        <f>'[9]Диспан.набл.взрослых Пр.16- 23'!L151+'[9]Уточнение Пр.17-23  '!L151</f>
        <v>0</v>
      </c>
      <c r="M151" s="871">
        <f>'[9]Диспан.набл.взрослых Пр.16- 23'!M151+'[9]Уточнение Пр.17-23  '!M151</f>
        <v>0</v>
      </c>
      <c r="N151" s="871">
        <f>'[9]Диспан.набл.взрослых Пр.16- 23'!N151+'[9]Уточнение Пр.17-23  '!N151</f>
        <v>0</v>
      </c>
      <c r="O151" s="871">
        <f>'[9]Диспан.набл.взрослых Пр.16- 23'!O151+'[9]Уточнение Пр.17-23  '!O151</f>
        <v>0</v>
      </c>
      <c r="P151" s="871">
        <f>'[9]Диспан.набл.взрослых Пр.16- 23'!P151+'[9]Уточнение Пр.17-23  '!P151</f>
        <v>0</v>
      </c>
      <c r="Q151" s="871">
        <f>'[9]Диспан.набл.взрослых Пр.16- 23'!Q151+'[9]Уточнение Пр.17-23  '!Q151</f>
        <v>0</v>
      </c>
      <c r="R151" s="871">
        <f>'[9]Диспан.набл.взрослых Пр.16- 23'!R151+'[9]Уточнение Пр.17-23  '!R151</f>
        <v>0</v>
      </c>
      <c r="S151" s="871">
        <f t="shared" si="8"/>
        <v>0</v>
      </c>
      <c r="T151" s="870">
        <f>D151-'[9]Диспан.набл.взрослых Пр.16- 23'!D151</f>
        <v>0</v>
      </c>
    </row>
    <row r="152" spans="1:20" x14ac:dyDescent="0.25">
      <c r="A152" s="873">
        <v>137</v>
      </c>
      <c r="B152" s="40" t="s">
        <v>387</v>
      </c>
      <c r="C152" s="349" t="s">
        <v>388</v>
      </c>
      <c r="D152" s="871">
        <f t="shared" si="7"/>
        <v>0</v>
      </c>
      <c r="E152" s="871">
        <f>'[9]Диспан.набл.взрослых Пр.16- 23'!E152+'[9]Уточнение Пр.17-23  '!E152</f>
        <v>0</v>
      </c>
      <c r="F152" s="871">
        <f>'[9]Диспан.набл.взрослых Пр.16- 23'!F152+'[9]Уточнение Пр.17-23  '!F152</f>
        <v>0</v>
      </c>
      <c r="G152" s="871">
        <f>'[9]Диспан.набл.взрослых Пр.16- 23'!G152+'[9]Уточнение Пр.17-23  '!G152</f>
        <v>0</v>
      </c>
      <c r="H152" s="871">
        <f>'[9]Диспан.набл.взрослых Пр.16- 23'!H152+'[9]Уточнение Пр.17-23  '!H152</f>
        <v>0</v>
      </c>
      <c r="I152" s="871">
        <f>'[9]Диспан.набл.взрослых Пр.16- 23'!I152+'[9]Уточнение Пр.17-23  '!I152</f>
        <v>0</v>
      </c>
      <c r="J152" s="871">
        <f>'[9]Диспан.набл.взрослых Пр.16- 23'!J152+'[9]Уточнение Пр.17-23  '!J152</f>
        <v>0</v>
      </c>
      <c r="K152" s="871">
        <f>'[9]Диспан.набл.взрослых Пр.16- 23'!K152+'[9]Уточнение Пр.17-23  '!K152</f>
        <v>0</v>
      </c>
      <c r="L152" s="871">
        <f>'[9]Диспан.набл.взрослых Пр.16- 23'!L152+'[9]Уточнение Пр.17-23  '!L152</f>
        <v>0</v>
      </c>
      <c r="M152" s="871">
        <f>'[9]Диспан.набл.взрослых Пр.16- 23'!M152+'[9]Уточнение Пр.17-23  '!M152</f>
        <v>0</v>
      </c>
      <c r="N152" s="871">
        <f>'[9]Диспан.набл.взрослых Пр.16- 23'!N152+'[9]Уточнение Пр.17-23  '!N152</f>
        <v>0</v>
      </c>
      <c r="O152" s="871">
        <f>'[9]Диспан.набл.взрослых Пр.16- 23'!O152+'[9]Уточнение Пр.17-23  '!O152</f>
        <v>0</v>
      </c>
      <c r="P152" s="871">
        <f>'[9]Диспан.набл.взрослых Пр.16- 23'!P152+'[9]Уточнение Пр.17-23  '!P152</f>
        <v>0</v>
      </c>
      <c r="Q152" s="871">
        <f>'[9]Диспан.набл.взрослых Пр.16- 23'!Q152+'[9]Уточнение Пр.17-23  '!Q152</f>
        <v>0</v>
      </c>
      <c r="R152" s="871">
        <f>'[9]Диспан.набл.взрослых Пр.16- 23'!R152+'[9]Уточнение Пр.17-23  '!R152</f>
        <v>0</v>
      </c>
      <c r="S152" s="871">
        <f t="shared" si="8"/>
        <v>0</v>
      </c>
      <c r="T152" s="870">
        <f>D152-'[9]Диспан.набл.взрослых Пр.16- 23'!D152</f>
        <v>0</v>
      </c>
    </row>
    <row r="153" spans="1:20" x14ac:dyDescent="0.25">
      <c r="A153" s="873">
        <v>138</v>
      </c>
      <c r="B153" s="41" t="s">
        <v>389</v>
      </c>
      <c r="C153" s="350" t="s">
        <v>390</v>
      </c>
      <c r="D153" s="871">
        <f t="shared" si="7"/>
        <v>0</v>
      </c>
      <c r="E153" s="871">
        <f>'[9]Диспан.набл.взрослых Пр.16- 23'!E153+'[9]Уточнение Пр.17-23  '!E153</f>
        <v>0</v>
      </c>
      <c r="F153" s="871">
        <f>'[9]Диспан.набл.взрослых Пр.16- 23'!F153+'[9]Уточнение Пр.17-23  '!F153</f>
        <v>0</v>
      </c>
      <c r="G153" s="871">
        <f>'[9]Диспан.набл.взрослых Пр.16- 23'!G153+'[9]Уточнение Пр.17-23  '!G153</f>
        <v>0</v>
      </c>
      <c r="H153" s="871">
        <f>'[9]Диспан.набл.взрослых Пр.16- 23'!H153+'[9]Уточнение Пр.17-23  '!H153</f>
        <v>0</v>
      </c>
      <c r="I153" s="871">
        <f>'[9]Диспан.набл.взрослых Пр.16- 23'!I153+'[9]Уточнение Пр.17-23  '!I153</f>
        <v>0</v>
      </c>
      <c r="J153" s="871">
        <f>'[9]Диспан.набл.взрослых Пр.16- 23'!J153+'[9]Уточнение Пр.17-23  '!J153</f>
        <v>0</v>
      </c>
      <c r="K153" s="871">
        <f>'[9]Диспан.набл.взрослых Пр.16- 23'!K153+'[9]Уточнение Пр.17-23  '!K153</f>
        <v>0</v>
      </c>
      <c r="L153" s="871">
        <f>'[9]Диспан.набл.взрослых Пр.16- 23'!L153+'[9]Уточнение Пр.17-23  '!L153</f>
        <v>0</v>
      </c>
      <c r="M153" s="871">
        <f>'[9]Диспан.набл.взрослых Пр.16- 23'!M153+'[9]Уточнение Пр.17-23  '!M153</f>
        <v>0</v>
      </c>
      <c r="N153" s="871">
        <f>'[9]Диспан.набл.взрослых Пр.16- 23'!N153+'[9]Уточнение Пр.17-23  '!N153</f>
        <v>0</v>
      </c>
      <c r="O153" s="871">
        <f>'[9]Диспан.набл.взрослых Пр.16- 23'!O153+'[9]Уточнение Пр.17-23  '!O153</f>
        <v>0</v>
      </c>
      <c r="P153" s="871">
        <f>'[9]Диспан.набл.взрослых Пр.16- 23'!P153+'[9]Уточнение Пр.17-23  '!P153</f>
        <v>0</v>
      </c>
      <c r="Q153" s="871">
        <f>'[9]Диспан.набл.взрослых Пр.16- 23'!Q153+'[9]Уточнение Пр.17-23  '!Q153</f>
        <v>0</v>
      </c>
      <c r="R153" s="871">
        <f>'[9]Диспан.набл.взрослых Пр.16- 23'!R153+'[9]Уточнение Пр.17-23  '!R153</f>
        <v>0</v>
      </c>
      <c r="S153" s="871">
        <f t="shared" si="8"/>
        <v>0</v>
      </c>
      <c r="T153" s="870">
        <f>D153-'[9]Диспан.набл.взрослых Пр.16- 23'!D153</f>
        <v>0</v>
      </c>
    </row>
    <row r="154" spans="1:20" x14ac:dyDescent="0.25">
      <c r="A154" s="873">
        <v>139</v>
      </c>
      <c r="B154" s="42" t="s">
        <v>391</v>
      </c>
      <c r="C154" s="555" t="s">
        <v>392</v>
      </c>
      <c r="D154" s="871">
        <f t="shared" si="7"/>
        <v>0</v>
      </c>
      <c r="E154" s="871">
        <f>'[9]Диспан.набл.взрослых Пр.16- 23'!E154+'[9]Уточнение Пр.17-23  '!E154</f>
        <v>0</v>
      </c>
      <c r="F154" s="871">
        <f>'[9]Диспан.набл.взрослых Пр.16- 23'!F154+'[9]Уточнение Пр.17-23  '!F154</f>
        <v>0</v>
      </c>
      <c r="G154" s="871">
        <f>'[9]Диспан.набл.взрослых Пр.16- 23'!G154+'[9]Уточнение Пр.17-23  '!G154</f>
        <v>0</v>
      </c>
      <c r="H154" s="871">
        <f>'[9]Диспан.набл.взрослых Пр.16- 23'!H154+'[9]Уточнение Пр.17-23  '!H154</f>
        <v>0</v>
      </c>
      <c r="I154" s="871">
        <f>'[9]Диспан.набл.взрослых Пр.16- 23'!I154+'[9]Уточнение Пр.17-23  '!I154</f>
        <v>0</v>
      </c>
      <c r="J154" s="871">
        <f>'[9]Диспан.набл.взрослых Пр.16- 23'!J154+'[9]Уточнение Пр.17-23  '!J154</f>
        <v>0</v>
      </c>
      <c r="K154" s="871">
        <f>'[9]Диспан.набл.взрослых Пр.16- 23'!K154+'[9]Уточнение Пр.17-23  '!K154</f>
        <v>0</v>
      </c>
      <c r="L154" s="871">
        <f>'[9]Диспан.набл.взрослых Пр.16- 23'!L154+'[9]Уточнение Пр.17-23  '!L154</f>
        <v>0</v>
      </c>
      <c r="M154" s="871">
        <f>'[9]Диспан.набл.взрослых Пр.16- 23'!M154+'[9]Уточнение Пр.17-23  '!M154</f>
        <v>0</v>
      </c>
      <c r="N154" s="871">
        <f>'[9]Диспан.набл.взрослых Пр.16- 23'!N154+'[9]Уточнение Пр.17-23  '!N154</f>
        <v>0</v>
      </c>
      <c r="O154" s="871">
        <f>'[9]Диспан.набл.взрослых Пр.16- 23'!O154+'[9]Уточнение Пр.17-23  '!O154</f>
        <v>0</v>
      </c>
      <c r="P154" s="871">
        <f>'[9]Диспан.набл.взрослых Пр.16- 23'!P154+'[9]Уточнение Пр.17-23  '!P154</f>
        <v>0</v>
      </c>
      <c r="Q154" s="871">
        <f>'[9]Диспан.набл.взрослых Пр.16- 23'!Q154+'[9]Уточнение Пр.17-23  '!Q154</f>
        <v>0</v>
      </c>
      <c r="R154" s="871">
        <f>'[9]Диспан.набл.взрослых Пр.16- 23'!R154+'[9]Уточнение Пр.17-23  '!R154</f>
        <v>0</v>
      </c>
      <c r="S154" s="871">
        <f t="shared" si="8"/>
        <v>0</v>
      </c>
      <c r="T154" s="870">
        <f>D154-'[9]Диспан.набл.взрослых Пр.16- 23'!D154</f>
        <v>0</v>
      </c>
    </row>
    <row r="155" spans="1:20" x14ac:dyDescent="0.25">
      <c r="A155" s="873">
        <v>140</v>
      </c>
      <c r="B155" s="351" t="s">
        <v>393</v>
      </c>
      <c r="C155" s="352" t="s">
        <v>394</v>
      </c>
      <c r="D155" s="871">
        <f t="shared" si="7"/>
        <v>0</v>
      </c>
      <c r="E155" s="871">
        <f>'[9]Диспан.набл.взрослых Пр.16- 23'!E155+'[9]Уточнение Пр.17-23  '!E155</f>
        <v>0</v>
      </c>
      <c r="F155" s="871">
        <f>'[9]Диспан.набл.взрослых Пр.16- 23'!F155+'[9]Уточнение Пр.17-23  '!F155</f>
        <v>0</v>
      </c>
      <c r="G155" s="871">
        <f>'[9]Диспан.набл.взрослых Пр.16- 23'!G155+'[9]Уточнение Пр.17-23  '!G155</f>
        <v>0</v>
      </c>
      <c r="H155" s="871">
        <f>'[9]Диспан.набл.взрослых Пр.16- 23'!H155+'[9]Уточнение Пр.17-23  '!H155</f>
        <v>0</v>
      </c>
      <c r="I155" s="871">
        <f>'[9]Диспан.набл.взрослых Пр.16- 23'!I155+'[9]Уточнение Пр.17-23  '!I155</f>
        <v>0</v>
      </c>
      <c r="J155" s="871">
        <f>'[9]Диспан.набл.взрослых Пр.16- 23'!J155+'[9]Уточнение Пр.17-23  '!J155</f>
        <v>0</v>
      </c>
      <c r="K155" s="871">
        <f>'[9]Диспан.набл.взрослых Пр.16- 23'!K155+'[9]Уточнение Пр.17-23  '!K155</f>
        <v>0</v>
      </c>
      <c r="L155" s="871">
        <f>'[9]Диспан.набл.взрослых Пр.16- 23'!L155+'[9]Уточнение Пр.17-23  '!L155</f>
        <v>0</v>
      </c>
      <c r="M155" s="871">
        <f>'[9]Диспан.набл.взрослых Пр.16- 23'!M155+'[9]Уточнение Пр.17-23  '!M155</f>
        <v>0</v>
      </c>
      <c r="N155" s="871">
        <f>'[9]Диспан.набл.взрослых Пр.16- 23'!N155+'[9]Уточнение Пр.17-23  '!N155</f>
        <v>0</v>
      </c>
      <c r="O155" s="871">
        <f>'[9]Диспан.набл.взрослых Пр.16- 23'!O155+'[9]Уточнение Пр.17-23  '!O155</f>
        <v>0</v>
      </c>
      <c r="P155" s="871">
        <f>'[9]Диспан.набл.взрослых Пр.16- 23'!P155+'[9]Уточнение Пр.17-23  '!P155</f>
        <v>0</v>
      </c>
      <c r="Q155" s="871">
        <f>'[9]Диспан.набл.взрослых Пр.16- 23'!Q155+'[9]Уточнение Пр.17-23  '!Q155</f>
        <v>0</v>
      </c>
      <c r="R155" s="871">
        <f>'[9]Диспан.набл.взрослых Пр.16- 23'!R155+'[9]Уточнение Пр.17-23  '!R155</f>
        <v>0</v>
      </c>
      <c r="S155" s="871">
        <f t="shared" si="8"/>
        <v>0</v>
      </c>
      <c r="T155" s="870">
        <f>D155-'[9]Диспан.набл.взрослых Пр.16- 23'!D155</f>
        <v>0</v>
      </c>
    </row>
    <row r="160" spans="1:20" x14ac:dyDescent="0.25">
      <c r="E160" s="864"/>
    </row>
  </sheetData>
  <mergeCells count="25">
    <mergeCell ref="A13:C13"/>
    <mergeCell ref="A96:A98"/>
    <mergeCell ref="B96:B98"/>
    <mergeCell ref="O8:O9"/>
    <mergeCell ref="P8:P9"/>
    <mergeCell ref="A11:C11"/>
    <mergeCell ref="A12:C12"/>
    <mergeCell ref="I8:I9"/>
    <mergeCell ref="J8:J9"/>
    <mergeCell ref="K8:K9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Q8:Q9"/>
    <mergeCell ref="R8:R9"/>
    <mergeCell ref="L8:L9"/>
    <mergeCell ref="M8:M9"/>
    <mergeCell ref="N8:N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53"/>
  <sheetViews>
    <sheetView zoomScale="90" zoomScaleNormal="90" workbookViewId="0">
      <pane xSplit="3" ySplit="8" topLeftCell="D93" activePane="bottomRight" state="frozen"/>
      <selection pane="topRight" activeCell="D1" sqref="D1"/>
      <selection pane="bottomLeft" activeCell="A8" sqref="A8"/>
      <selection pane="bottomRight" activeCell="H5" sqref="H5:J5"/>
    </sheetView>
  </sheetViews>
  <sheetFormatPr defaultColWidth="10.7109375" defaultRowHeight="12.75" x14ac:dyDescent="0.2"/>
  <cols>
    <col min="1" max="1" width="7" style="556" customWidth="1"/>
    <col min="2" max="2" width="10.7109375" style="556"/>
    <col min="3" max="3" width="36.28515625" style="4" customWidth="1"/>
    <col min="4" max="6" width="13.42578125" style="4" customWidth="1"/>
    <col min="7" max="10" width="15.28515625" style="4" customWidth="1"/>
    <col min="11" max="11" width="15.7109375" style="4" customWidth="1"/>
    <col min="12" max="16384" width="10.7109375" style="4"/>
  </cols>
  <sheetData>
    <row r="1" spans="1:12" ht="32.25" customHeight="1" x14ac:dyDescent="0.2">
      <c r="B1" s="1173" t="s">
        <v>332</v>
      </c>
      <c r="C1" s="1173"/>
      <c r="D1" s="1173"/>
      <c r="E1" s="1173"/>
      <c r="F1" s="1173"/>
      <c r="G1" s="1173"/>
      <c r="H1" s="1173"/>
      <c r="I1" s="1173"/>
      <c r="J1" s="1173"/>
      <c r="K1" s="885"/>
    </row>
    <row r="2" spans="1:12" ht="9.75" customHeight="1" x14ac:dyDescent="0.2">
      <c r="C2" s="557"/>
    </row>
    <row r="3" spans="1:12" s="515" customFormat="1" ht="47.25" customHeight="1" x14ac:dyDescent="0.2">
      <c r="A3" s="1174" t="s">
        <v>0</v>
      </c>
      <c r="B3" s="1175" t="s">
        <v>302</v>
      </c>
      <c r="C3" s="1177" t="s">
        <v>2</v>
      </c>
      <c r="D3" s="1179" t="s">
        <v>303</v>
      </c>
      <c r="E3" s="1180"/>
      <c r="F3" s="1180"/>
      <c r="G3" s="1180"/>
      <c r="H3" s="1180"/>
      <c r="I3" s="1180"/>
      <c r="J3" s="1181"/>
    </row>
    <row r="4" spans="1:12" s="515" customFormat="1" ht="25.5" customHeight="1" x14ac:dyDescent="0.2">
      <c r="A4" s="1174"/>
      <c r="B4" s="1176"/>
      <c r="C4" s="1178"/>
      <c r="D4" s="1182" t="s">
        <v>304</v>
      </c>
      <c r="E4" s="1183"/>
      <c r="F4" s="1183"/>
      <c r="G4" s="1184" t="s">
        <v>305</v>
      </c>
      <c r="H4" s="1185"/>
      <c r="I4" s="1185"/>
      <c r="J4" s="1186"/>
    </row>
    <row r="5" spans="1:12" s="515" customFormat="1" ht="25.5" customHeight="1" x14ac:dyDescent="0.2">
      <c r="A5" s="1174"/>
      <c r="B5" s="1176"/>
      <c r="C5" s="1178"/>
      <c r="D5" s="1187" t="s">
        <v>306</v>
      </c>
      <c r="E5" s="1189" t="s">
        <v>307</v>
      </c>
      <c r="F5" s="1189"/>
      <c r="G5" s="1190" t="s">
        <v>356</v>
      </c>
      <c r="H5" s="1189" t="s">
        <v>307</v>
      </c>
      <c r="I5" s="1189"/>
      <c r="J5" s="1189"/>
    </row>
    <row r="6" spans="1:12" s="515" customFormat="1" ht="66.75" customHeight="1" x14ac:dyDescent="0.2">
      <c r="A6" s="1174"/>
      <c r="B6" s="1176"/>
      <c r="C6" s="1178"/>
      <c r="D6" s="1188"/>
      <c r="E6" s="886" t="s">
        <v>380</v>
      </c>
      <c r="F6" s="886" t="s">
        <v>379</v>
      </c>
      <c r="G6" s="1188"/>
      <c r="H6" s="886" t="s">
        <v>381</v>
      </c>
      <c r="I6" s="886" t="s">
        <v>382</v>
      </c>
      <c r="J6" s="886" t="s">
        <v>383</v>
      </c>
    </row>
    <row r="7" spans="1:12" s="515" customFormat="1" ht="12.75" customHeight="1" x14ac:dyDescent="0.2">
      <c r="A7" s="558">
        <v>1</v>
      </c>
      <c r="B7" s="836">
        <v>2</v>
      </c>
      <c r="C7" s="837">
        <v>3</v>
      </c>
      <c r="D7" s="887">
        <v>4</v>
      </c>
      <c r="E7" s="888">
        <v>5</v>
      </c>
      <c r="F7" s="888">
        <v>6</v>
      </c>
      <c r="G7" s="888">
        <v>7</v>
      </c>
      <c r="H7" s="889">
        <v>8</v>
      </c>
      <c r="I7" s="889">
        <v>9</v>
      </c>
      <c r="J7" s="889">
        <v>10</v>
      </c>
    </row>
    <row r="8" spans="1:12" s="515" customFormat="1" ht="21" customHeight="1" x14ac:dyDescent="0.2">
      <c r="A8" s="1165" t="s">
        <v>308</v>
      </c>
      <c r="B8" s="1165"/>
      <c r="C8" s="1165"/>
      <c r="D8" s="890">
        <f>SUM(D9:D146)</f>
        <v>370242</v>
      </c>
      <c r="E8" s="890">
        <f t="shared" ref="E8:J8" si="0">SUM(E9:E146)</f>
        <v>125703</v>
      </c>
      <c r="F8" s="890">
        <f t="shared" si="0"/>
        <v>125703</v>
      </c>
      <c r="G8" s="890">
        <f t="shared" si="0"/>
        <v>37710</v>
      </c>
      <c r="H8" s="890">
        <f t="shared" si="0"/>
        <v>12570</v>
      </c>
      <c r="I8" s="890">
        <f t="shared" si="0"/>
        <v>12570</v>
      </c>
      <c r="J8" s="890">
        <f t="shared" si="0"/>
        <v>12570</v>
      </c>
    </row>
    <row r="9" spans="1:12" x14ac:dyDescent="0.2">
      <c r="A9" s="835">
        <v>1</v>
      </c>
      <c r="B9" s="559" t="s">
        <v>16</v>
      </c>
      <c r="C9" s="25" t="s">
        <v>17</v>
      </c>
      <c r="D9" s="537">
        <f>'[10]Углуб.дисп.Пр. 11-23 '!D9+'[10]Уточнение Пр.16-23'!D9</f>
        <v>1855</v>
      </c>
      <c r="E9" s="537">
        <v>1729</v>
      </c>
      <c r="F9" s="537">
        <v>1729</v>
      </c>
      <c r="G9" s="537">
        <f>'[10]Углуб.дисп.Пр. 11-23 '!G9+'[10]Уточнение Пр.16-23'!G9</f>
        <v>519</v>
      </c>
      <c r="H9" s="537">
        <v>173</v>
      </c>
      <c r="I9" s="537">
        <v>173</v>
      </c>
      <c r="J9" s="537">
        <v>173</v>
      </c>
      <c r="L9" s="560"/>
    </row>
    <row r="10" spans="1:12" x14ac:dyDescent="0.2">
      <c r="A10" s="835">
        <v>2</v>
      </c>
      <c r="B10" s="561" t="s">
        <v>18</v>
      </c>
      <c r="C10" s="25" t="s">
        <v>19</v>
      </c>
      <c r="D10" s="537">
        <f>'[10]Углуб.дисп.Пр. 11-23 '!D10+'[10]Уточнение Пр.16-23'!D10</f>
        <v>1867</v>
      </c>
      <c r="E10" s="537">
        <v>513</v>
      </c>
      <c r="F10" s="537">
        <v>513</v>
      </c>
      <c r="G10" s="537">
        <f>'[10]Углуб.дисп.Пр. 11-23 '!G10+'[10]Уточнение Пр.16-23'!G10</f>
        <v>153</v>
      </c>
      <c r="H10" s="537">
        <v>51</v>
      </c>
      <c r="I10" s="537">
        <v>51</v>
      </c>
      <c r="J10" s="537">
        <v>51</v>
      </c>
      <c r="L10" s="560"/>
    </row>
    <row r="11" spans="1:12" x14ac:dyDescent="0.2">
      <c r="A11" s="835">
        <v>3</v>
      </c>
      <c r="B11" s="562" t="s">
        <v>20</v>
      </c>
      <c r="C11" s="3" t="s">
        <v>21</v>
      </c>
      <c r="D11" s="537">
        <f>'[10]Углуб.дисп.Пр. 11-23 '!D11+'[10]Уточнение Пр.16-23'!D11</f>
        <v>5561</v>
      </c>
      <c r="E11" s="537">
        <v>1221</v>
      </c>
      <c r="F11" s="537">
        <v>1221</v>
      </c>
      <c r="G11" s="537">
        <f>'[10]Углуб.дисп.Пр. 11-23 '!G11+'[10]Уточнение Пр.16-23'!G11</f>
        <v>366</v>
      </c>
      <c r="H11" s="537">
        <v>122</v>
      </c>
      <c r="I11" s="537">
        <v>122</v>
      </c>
      <c r="J11" s="537">
        <v>122</v>
      </c>
      <c r="L11" s="560"/>
    </row>
    <row r="12" spans="1:12" x14ac:dyDescent="0.2">
      <c r="A12" s="835">
        <v>4</v>
      </c>
      <c r="B12" s="559" t="s">
        <v>22</v>
      </c>
      <c r="C12" s="25" t="s">
        <v>23</v>
      </c>
      <c r="D12" s="537">
        <f>'[10]Углуб.дисп.Пр. 11-23 '!D12+'[10]Уточнение Пр.16-23'!D12</f>
        <v>1724</v>
      </c>
      <c r="E12" s="537">
        <v>772</v>
      </c>
      <c r="F12" s="537">
        <v>772</v>
      </c>
      <c r="G12" s="537">
        <f>'[10]Углуб.дисп.Пр. 11-23 '!G12+'[10]Уточнение Пр.16-23'!G12</f>
        <v>231</v>
      </c>
      <c r="H12" s="537">
        <v>77</v>
      </c>
      <c r="I12" s="537">
        <v>77</v>
      </c>
      <c r="J12" s="537">
        <v>77</v>
      </c>
      <c r="L12" s="560"/>
    </row>
    <row r="13" spans="1:12" x14ac:dyDescent="0.2">
      <c r="A13" s="835">
        <v>5</v>
      </c>
      <c r="B13" s="559" t="s">
        <v>24</v>
      </c>
      <c r="C13" s="25" t="s">
        <v>25</v>
      </c>
      <c r="D13" s="537">
        <f>'[10]Углуб.дисп.Пр. 11-23 '!D13+'[10]Уточнение Пр.16-23'!D13</f>
        <v>1481</v>
      </c>
      <c r="E13" s="537">
        <v>333</v>
      </c>
      <c r="F13" s="537">
        <v>333</v>
      </c>
      <c r="G13" s="537">
        <f>'[10]Углуб.дисп.Пр. 11-23 '!G13+'[10]Уточнение Пр.16-23'!G13</f>
        <v>99</v>
      </c>
      <c r="H13" s="537">
        <v>33</v>
      </c>
      <c r="I13" s="537">
        <v>33</v>
      </c>
      <c r="J13" s="537">
        <v>33</v>
      </c>
      <c r="L13" s="560"/>
    </row>
    <row r="14" spans="1:12" x14ac:dyDescent="0.2">
      <c r="A14" s="835">
        <v>6</v>
      </c>
      <c r="B14" s="562" t="s">
        <v>26</v>
      </c>
      <c r="C14" s="3" t="s">
        <v>27</v>
      </c>
      <c r="D14" s="537">
        <f>'[10]Углуб.дисп.Пр. 11-23 '!D14+'[10]Уточнение Пр.16-23'!D14</f>
        <v>10094</v>
      </c>
      <c r="E14" s="537">
        <v>2322</v>
      </c>
      <c r="F14" s="537">
        <v>2322</v>
      </c>
      <c r="G14" s="537">
        <f>'[10]Углуб.дисп.Пр. 11-23 '!G14+'[10]Уточнение Пр.16-23'!G14</f>
        <v>696</v>
      </c>
      <c r="H14" s="537">
        <v>232</v>
      </c>
      <c r="I14" s="537">
        <v>232</v>
      </c>
      <c r="J14" s="537">
        <v>232</v>
      </c>
      <c r="L14" s="560"/>
    </row>
    <row r="15" spans="1:12" x14ac:dyDescent="0.2">
      <c r="A15" s="835">
        <v>7</v>
      </c>
      <c r="B15" s="563" t="s">
        <v>28</v>
      </c>
      <c r="C15" s="292" t="s">
        <v>29</v>
      </c>
      <c r="D15" s="537">
        <f>'[10]Углуб.дисп.Пр. 11-23 '!D15+'[10]Уточнение Пр.16-23'!D15</f>
        <v>7459</v>
      </c>
      <c r="E15" s="537">
        <v>1107</v>
      </c>
      <c r="F15" s="537">
        <v>1107</v>
      </c>
      <c r="G15" s="537">
        <f>'[10]Углуб.дисп.Пр. 11-23 '!G15+'[10]Уточнение Пр.16-23'!G15</f>
        <v>333</v>
      </c>
      <c r="H15" s="537">
        <v>111</v>
      </c>
      <c r="I15" s="537">
        <v>111</v>
      </c>
      <c r="J15" s="537">
        <v>111</v>
      </c>
      <c r="L15" s="560"/>
    </row>
    <row r="16" spans="1:12" x14ac:dyDescent="0.2">
      <c r="A16" s="835">
        <v>8</v>
      </c>
      <c r="B16" s="562" t="s">
        <v>30</v>
      </c>
      <c r="C16" s="3" t="s">
        <v>31</v>
      </c>
      <c r="D16" s="537">
        <f>'[10]Углуб.дисп.Пр. 11-23 '!D16+'[10]Уточнение Пр.16-23'!D16</f>
        <v>1855</v>
      </c>
      <c r="E16" s="537">
        <v>297</v>
      </c>
      <c r="F16" s="537">
        <v>297</v>
      </c>
      <c r="G16" s="537">
        <f>'[10]Углуб.дисп.Пр. 11-23 '!G16+'[10]Уточнение Пр.16-23'!G16</f>
        <v>90</v>
      </c>
      <c r="H16" s="537">
        <v>30</v>
      </c>
      <c r="I16" s="537">
        <v>30</v>
      </c>
      <c r="J16" s="537">
        <v>30</v>
      </c>
      <c r="L16" s="560"/>
    </row>
    <row r="17" spans="1:12" x14ac:dyDescent="0.2">
      <c r="A17" s="835">
        <v>9</v>
      </c>
      <c r="B17" s="562" t="s">
        <v>32</v>
      </c>
      <c r="C17" s="3" t="s">
        <v>33</v>
      </c>
      <c r="D17" s="537">
        <f>'[10]Углуб.дисп.Пр. 11-23 '!D17+'[10]Уточнение Пр.16-23'!D17</f>
        <v>2065</v>
      </c>
      <c r="E17" s="537">
        <v>1391</v>
      </c>
      <c r="F17" s="537">
        <v>1391</v>
      </c>
      <c r="G17" s="537">
        <f>'[10]Углуб.дисп.Пр. 11-23 '!G17+'[10]Уточнение Пр.16-23'!G17</f>
        <v>417</v>
      </c>
      <c r="H17" s="537">
        <v>139</v>
      </c>
      <c r="I17" s="537">
        <v>139</v>
      </c>
      <c r="J17" s="537">
        <v>139</v>
      </c>
      <c r="L17" s="560"/>
    </row>
    <row r="18" spans="1:12" x14ac:dyDescent="0.2">
      <c r="A18" s="835">
        <v>10</v>
      </c>
      <c r="B18" s="562" t="s">
        <v>34</v>
      </c>
      <c r="C18" s="3" t="s">
        <v>35</v>
      </c>
      <c r="D18" s="537">
        <f>'[10]Углуб.дисп.Пр. 11-23 '!D18+'[10]Уточнение Пр.16-23'!D18</f>
        <v>2290</v>
      </c>
      <c r="E18" s="537">
        <v>251</v>
      </c>
      <c r="F18" s="537">
        <v>251</v>
      </c>
      <c r="G18" s="537">
        <f>'[10]Углуб.дисп.Пр. 11-23 '!G18+'[10]Уточнение Пр.16-23'!G18</f>
        <v>75</v>
      </c>
      <c r="H18" s="537">
        <v>25</v>
      </c>
      <c r="I18" s="537">
        <v>25</v>
      </c>
      <c r="J18" s="537">
        <v>25</v>
      </c>
      <c r="L18" s="560"/>
    </row>
    <row r="19" spans="1:12" x14ac:dyDescent="0.2">
      <c r="A19" s="835">
        <v>11</v>
      </c>
      <c r="B19" s="562" t="s">
        <v>36</v>
      </c>
      <c r="C19" s="3" t="s">
        <v>37</v>
      </c>
      <c r="D19" s="537">
        <f>'[10]Углуб.дисп.Пр. 11-23 '!D19+'[10]Уточнение Пр.16-23'!D19</f>
        <v>1619</v>
      </c>
      <c r="E19" s="537">
        <v>370</v>
      </c>
      <c r="F19" s="537">
        <v>370</v>
      </c>
      <c r="G19" s="537">
        <f>'[10]Углуб.дисп.Пр. 11-23 '!G19+'[10]Уточнение Пр.16-23'!G19</f>
        <v>111</v>
      </c>
      <c r="H19" s="537">
        <v>37</v>
      </c>
      <c r="I19" s="537">
        <v>37</v>
      </c>
      <c r="J19" s="537">
        <v>37</v>
      </c>
      <c r="L19" s="560"/>
    </row>
    <row r="20" spans="1:12" x14ac:dyDescent="0.2">
      <c r="A20" s="835">
        <v>12</v>
      </c>
      <c r="B20" s="562" t="s">
        <v>38</v>
      </c>
      <c r="C20" s="3" t="s">
        <v>39</v>
      </c>
      <c r="D20" s="537">
        <f>'[10]Углуб.дисп.Пр. 11-23 '!D20+'[10]Уточнение Пр.16-23'!D20</f>
        <v>4547</v>
      </c>
      <c r="E20" s="537">
        <v>798</v>
      </c>
      <c r="F20" s="537">
        <v>798</v>
      </c>
      <c r="G20" s="537">
        <f>'[10]Углуб.дисп.Пр. 11-23 '!G20+'[10]Уточнение Пр.16-23'!G20</f>
        <v>240</v>
      </c>
      <c r="H20" s="537">
        <v>80</v>
      </c>
      <c r="I20" s="537">
        <v>80</v>
      </c>
      <c r="J20" s="537">
        <v>80</v>
      </c>
      <c r="L20" s="560"/>
    </row>
    <row r="21" spans="1:12" x14ac:dyDescent="0.2">
      <c r="A21" s="835">
        <v>13</v>
      </c>
      <c r="B21" s="562" t="s">
        <v>40</v>
      </c>
      <c r="C21" s="25" t="s">
        <v>41</v>
      </c>
      <c r="D21" s="537">
        <f>'[10]Углуб.дисп.Пр. 11-23 '!D21+'[10]Уточнение Пр.16-23'!D21</f>
        <v>0</v>
      </c>
      <c r="E21" s="537">
        <v>0</v>
      </c>
      <c r="F21" s="537">
        <v>0</v>
      </c>
      <c r="G21" s="537">
        <f>'[10]Углуб.дисп.Пр. 11-23 '!G21+'[10]Уточнение Пр.16-23'!G21</f>
        <v>0</v>
      </c>
      <c r="H21" s="537">
        <v>0</v>
      </c>
      <c r="I21" s="537">
        <v>0</v>
      </c>
      <c r="J21" s="537">
        <v>0</v>
      </c>
      <c r="L21" s="560"/>
    </row>
    <row r="22" spans="1:12" x14ac:dyDescent="0.2">
      <c r="A22" s="835">
        <v>14</v>
      </c>
      <c r="B22" s="559" t="s">
        <v>42</v>
      </c>
      <c r="C22" s="3" t="s">
        <v>43</v>
      </c>
      <c r="D22" s="537">
        <f>'[10]Углуб.дисп.Пр. 11-23 '!D22+'[10]Уточнение Пр.16-23'!D22</f>
        <v>0</v>
      </c>
      <c r="E22" s="537">
        <v>0</v>
      </c>
      <c r="F22" s="537">
        <v>0</v>
      </c>
      <c r="G22" s="537">
        <f>'[10]Углуб.дисп.Пр. 11-23 '!G22+'[10]Уточнение Пр.16-23'!G22</f>
        <v>0</v>
      </c>
      <c r="H22" s="537">
        <v>0</v>
      </c>
      <c r="I22" s="537">
        <v>0</v>
      </c>
      <c r="J22" s="537">
        <v>0</v>
      </c>
      <c r="L22" s="560"/>
    </row>
    <row r="23" spans="1:12" x14ac:dyDescent="0.2">
      <c r="A23" s="835">
        <v>15</v>
      </c>
      <c r="B23" s="562" t="s">
        <v>44</v>
      </c>
      <c r="C23" s="3" t="s">
        <v>45</v>
      </c>
      <c r="D23" s="537">
        <f>'[10]Углуб.дисп.Пр. 11-23 '!D23+'[10]Уточнение Пр.16-23'!D23</f>
        <v>1120</v>
      </c>
      <c r="E23" s="537">
        <v>865</v>
      </c>
      <c r="F23" s="537">
        <v>865</v>
      </c>
      <c r="G23" s="537">
        <f>'[10]Углуб.дисп.Пр. 11-23 '!G23+'[10]Уточнение Пр.16-23'!G23</f>
        <v>261</v>
      </c>
      <c r="H23" s="537">
        <v>87</v>
      </c>
      <c r="I23" s="537">
        <v>87</v>
      </c>
      <c r="J23" s="537">
        <v>87</v>
      </c>
      <c r="L23" s="560"/>
    </row>
    <row r="24" spans="1:12" x14ac:dyDescent="0.2">
      <c r="A24" s="835">
        <v>16</v>
      </c>
      <c r="B24" s="562" t="s">
        <v>46</v>
      </c>
      <c r="C24" s="3" t="s">
        <v>47</v>
      </c>
      <c r="D24" s="537">
        <f>'[10]Углуб.дисп.Пр. 11-23 '!D24+'[10]Уточнение Пр.16-23'!D24</f>
        <v>2446</v>
      </c>
      <c r="E24" s="537">
        <v>660</v>
      </c>
      <c r="F24" s="537">
        <v>660</v>
      </c>
      <c r="G24" s="537">
        <f>'[10]Углуб.дисп.Пр. 11-23 '!G24+'[10]Уточнение Пр.16-23'!G24</f>
        <v>198</v>
      </c>
      <c r="H24" s="537">
        <v>66</v>
      </c>
      <c r="I24" s="537">
        <v>66</v>
      </c>
      <c r="J24" s="537">
        <v>66</v>
      </c>
      <c r="L24" s="560"/>
    </row>
    <row r="25" spans="1:12" x14ac:dyDescent="0.2">
      <c r="A25" s="835">
        <v>17</v>
      </c>
      <c r="B25" s="562" t="s">
        <v>48</v>
      </c>
      <c r="C25" s="3" t="s">
        <v>49</v>
      </c>
      <c r="D25" s="537">
        <f>'[10]Углуб.дисп.Пр. 11-23 '!D25+'[10]Уточнение Пр.16-23'!D25</f>
        <v>3695</v>
      </c>
      <c r="E25" s="537">
        <v>1519</v>
      </c>
      <c r="F25" s="537">
        <v>1519</v>
      </c>
      <c r="G25" s="537">
        <f>'[10]Углуб.дисп.Пр. 11-23 '!G25+'[10]Уточнение Пр.16-23'!G25</f>
        <v>456</v>
      </c>
      <c r="H25" s="537">
        <v>152</v>
      </c>
      <c r="I25" s="537">
        <v>152</v>
      </c>
      <c r="J25" s="537">
        <v>152</v>
      </c>
      <c r="L25" s="560"/>
    </row>
    <row r="26" spans="1:12" x14ac:dyDescent="0.2">
      <c r="A26" s="835">
        <v>18</v>
      </c>
      <c r="B26" s="562" t="s">
        <v>50</v>
      </c>
      <c r="C26" s="3" t="s">
        <v>51</v>
      </c>
      <c r="D26" s="537">
        <f>'[10]Углуб.дисп.Пр. 11-23 '!D26+'[10]Уточнение Пр.16-23'!D26</f>
        <v>9303</v>
      </c>
      <c r="E26" s="537">
        <v>2958</v>
      </c>
      <c r="F26" s="537">
        <v>2958</v>
      </c>
      <c r="G26" s="537">
        <f>'[10]Углуб.дисп.Пр. 11-23 '!G26+'[10]Уточнение Пр.16-23'!G26</f>
        <v>888</v>
      </c>
      <c r="H26" s="537">
        <v>296</v>
      </c>
      <c r="I26" s="537">
        <v>296</v>
      </c>
      <c r="J26" s="537">
        <v>296</v>
      </c>
      <c r="L26" s="560"/>
    </row>
    <row r="27" spans="1:12" x14ac:dyDescent="0.2">
      <c r="A27" s="835">
        <v>19</v>
      </c>
      <c r="B27" s="559" t="s">
        <v>52</v>
      </c>
      <c r="C27" s="25" t="s">
        <v>53</v>
      </c>
      <c r="D27" s="537">
        <f>'[10]Углуб.дисп.Пр. 11-23 '!D27+'[10]Уточнение Пр.16-23'!D27</f>
        <v>1308</v>
      </c>
      <c r="E27" s="537">
        <v>849</v>
      </c>
      <c r="F27" s="537">
        <v>849</v>
      </c>
      <c r="G27" s="537">
        <f>'[10]Углуб.дисп.Пр. 11-23 '!G27+'[10]Уточнение Пр.16-23'!G27</f>
        <v>255</v>
      </c>
      <c r="H27" s="537">
        <v>85</v>
      </c>
      <c r="I27" s="537">
        <v>85</v>
      </c>
      <c r="J27" s="537">
        <v>85</v>
      </c>
      <c r="L27" s="560"/>
    </row>
    <row r="28" spans="1:12" x14ac:dyDescent="0.2">
      <c r="A28" s="835">
        <v>20</v>
      </c>
      <c r="B28" s="559" t="s">
        <v>54</v>
      </c>
      <c r="C28" s="25" t="s">
        <v>55</v>
      </c>
      <c r="D28" s="537">
        <f>'[10]Углуб.дисп.Пр. 11-23 '!D28+'[10]Уточнение Пр.16-23'!D28</f>
        <v>894</v>
      </c>
      <c r="E28" s="537">
        <v>395</v>
      </c>
      <c r="F28" s="537">
        <v>395</v>
      </c>
      <c r="G28" s="537">
        <f>'[10]Углуб.дисп.Пр. 11-23 '!G28+'[10]Уточнение Пр.16-23'!G28</f>
        <v>120</v>
      </c>
      <c r="H28" s="537">
        <v>40</v>
      </c>
      <c r="I28" s="537">
        <v>40</v>
      </c>
      <c r="J28" s="537">
        <v>40</v>
      </c>
      <c r="L28" s="560"/>
    </row>
    <row r="29" spans="1:12" x14ac:dyDescent="0.2">
      <c r="A29" s="835">
        <v>21</v>
      </c>
      <c r="B29" s="559" t="s">
        <v>56</v>
      </c>
      <c r="C29" s="25" t="s">
        <v>57</v>
      </c>
      <c r="D29" s="537">
        <f>'[10]Углуб.дисп.Пр. 11-23 '!D29+'[10]Уточнение Пр.16-23'!D29</f>
        <v>5295</v>
      </c>
      <c r="E29" s="537">
        <v>1431</v>
      </c>
      <c r="F29" s="537">
        <v>1431</v>
      </c>
      <c r="G29" s="537">
        <f>'[10]Углуб.дисп.Пр. 11-23 '!G29+'[10]Уточнение Пр.16-23'!G29</f>
        <v>429</v>
      </c>
      <c r="H29" s="537">
        <v>143</v>
      </c>
      <c r="I29" s="537">
        <v>143</v>
      </c>
      <c r="J29" s="537">
        <v>143</v>
      </c>
      <c r="L29" s="560"/>
    </row>
    <row r="30" spans="1:12" x14ac:dyDescent="0.2">
      <c r="A30" s="835">
        <v>22</v>
      </c>
      <c r="B30" s="559" t="s">
        <v>58</v>
      </c>
      <c r="C30" s="25" t="s">
        <v>59</v>
      </c>
      <c r="D30" s="537">
        <f>'[10]Углуб.дисп.Пр. 11-23 '!D30+'[10]Уточнение Пр.16-23'!D30</f>
        <v>6679</v>
      </c>
      <c r="E30" s="537">
        <v>1184</v>
      </c>
      <c r="F30" s="537">
        <v>1184</v>
      </c>
      <c r="G30" s="537">
        <f>'[10]Углуб.дисп.Пр. 11-23 '!G30+'[10]Уточнение Пр.16-23'!G30</f>
        <v>354</v>
      </c>
      <c r="H30" s="537">
        <v>118</v>
      </c>
      <c r="I30" s="537">
        <v>118</v>
      </c>
      <c r="J30" s="537">
        <v>118</v>
      </c>
      <c r="L30" s="560"/>
    </row>
    <row r="31" spans="1:12" x14ac:dyDescent="0.2">
      <c r="A31" s="835">
        <v>23</v>
      </c>
      <c r="B31" s="562" t="s">
        <v>60</v>
      </c>
      <c r="C31" s="3" t="s">
        <v>61</v>
      </c>
      <c r="D31" s="537">
        <f>'[10]Углуб.дисп.Пр. 11-23 '!D31+'[10]Уточнение Пр.16-23'!D31</f>
        <v>1177</v>
      </c>
      <c r="E31" s="537">
        <v>159</v>
      </c>
      <c r="F31" s="537">
        <v>159</v>
      </c>
      <c r="G31" s="537">
        <f>'[10]Углуб.дисп.Пр. 11-23 '!G31+'[10]Уточнение Пр.16-23'!G31</f>
        <v>48</v>
      </c>
      <c r="H31" s="537">
        <v>16</v>
      </c>
      <c r="I31" s="537">
        <v>16</v>
      </c>
      <c r="J31" s="537">
        <v>16</v>
      </c>
      <c r="L31" s="560"/>
    </row>
    <row r="32" spans="1:12" x14ac:dyDescent="0.2">
      <c r="A32" s="835">
        <v>24</v>
      </c>
      <c r="B32" s="562" t="s">
        <v>62</v>
      </c>
      <c r="C32" s="3" t="s">
        <v>63</v>
      </c>
      <c r="D32" s="537">
        <f>'[10]Углуб.дисп.Пр. 11-23 '!D32+'[10]Уточнение Пр.16-23'!D32</f>
        <v>0</v>
      </c>
      <c r="E32" s="537">
        <v>0</v>
      </c>
      <c r="F32" s="537">
        <v>0</v>
      </c>
      <c r="G32" s="537">
        <f>'[10]Углуб.дисп.Пр. 11-23 '!G32+'[10]Уточнение Пр.16-23'!G32</f>
        <v>0</v>
      </c>
      <c r="H32" s="537">
        <v>0</v>
      </c>
      <c r="I32" s="537">
        <v>0</v>
      </c>
      <c r="J32" s="537">
        <v>0</v>
      </c>
      <c r="L32" s="560"/>
    </row>
    <row r="33" spans="1:12" ht="25.5" x14ac:dyDescent="0.2">
      <c r="A33" s="835">
        <v>25</v>
      </c>
      <c r="B33" s="562" t="s">
        <v>64</v>
      </c>
      <c r="C33" s="3" t="s">
        <v>65</v>
      </c>
      <c r="D33" s="537">
        <f>'[10]Углуб.дисп.Пр. 11-23 '!D33+'[10]Уточнение Пр.16-23'!D33</f>
        <v>0</v>
      </c>
      <c r="E33" s="537">
        <v>0</v>
      </c>
      <c r="F33" s="537">
        <v>0</v>
      </c>
      <c r="G33" s="537">
        <f>'[10]Углуб.дисп.Пр. 11-23 '!G33+'[10]Уточнение Пр.16-23'!G33</f>
        <v>0</v>
      </c>
      <c r="H33" s="537">
        <v>0</v>
      </c>
      <c r="I33" s="537">
        <v>0</v>
      </c>
      <c r="J33" s="537">
        <v>0</v>
      </c>
      <c r="L33" s="560"/>
    </row>
    <row r="34" spans="1:12" x14ac:dyDescent="0.2">
      <c r="A34" s="835">
        <v>26</v>
      </c>
      <c r="B34" s="559" t="s">
        <v>66</v>
      </c>
      <c r="C34" s="292" t="s">
        <v>67</v>
      </c>
      <c r="D34" s="537">
        <f>'[10]Углуб.дисп.Пр. 11-23 '!D34+'[10]Уточнение Пр.16-23'!D34</f>
        <v>15380</v>
      </c>
      <c r="E34" s="537">
        <f>'[10]Углуб.дисп.Пр. 9-23'!E34+'[10]Откл.Пр.11-23-Пр.9-23'!E34</f>
        <v>7315</v>
      </c>
      <c r="F34" s="537">
        <f>'[10]Углуб.дисп.Пр. 9-23'!F34+'[10]Откл.Пр.11-23-Пр.9-23'!F34</f>
        <v>8443</v>
      </c>
      <c r="G34" s="537">
        <f>'[10]Углуб.дисп.Пр. 11-23 '!G34+'[10]Уточнение Пр.16-23'!G34</f>
        <v>2602</v>
      </c>
      <c r="H34" s="537">
        <f>'[10]Углуб.дисп.Пр. 9-23'!H34+'[10]Откл.Пр.11-23-Пр.9-23'!H34</f>
        <v>822</v>
      </c>
      <c r="I34" s="537">
        <f>'[10]Углуб.дисп.Пр. 9-23'!I34+'[10]Откл.Пр.11-23-Пр.9-23'!I34</f>
        <v>865</v>
      </c>
      <c r="J34" s="537">
        <f>'[10]Углуб.дисп.Пр. 9-23'!J34+'[10]Откл.Пр.11-23-Пр.9-23'!J34</f>
        <v>877</v>
      </c>
      <c r="L34" s="560"/>
    </row>
    <row r="35" spans="1:12" x14ac:dyDescent="0.2">
      <c r="A35" s="835">
        <v>27</v>
      </c>
      <c r="B35" s="562" t="s">
        <v>68</v>
      </c>
      <c r="C35" s="3" t="s">
        <v>69</v>
      </c>
      <c r="D35" s="537">
        <f>'[10]Углуб.дисп.Пр. 11-23 '!D35+'[10]Уточнение Пр.16-23'!D35</f>
        <v>3580</v>
      </c>
      <c r="E35" s="537">
        <f>'[10]Углуб.дисп.Пр. 9-23'!E35+'[10]Откл.Пр.11-23-Пр.9-23'!E35</f>
        <v>1837</v>
      </c>
      <c r="F35" s="537">
        <f>'[10]Углуб.дисп.Пр. 9-23'!F35+'[10]Откл.Пр.11-23-Пр.9-23'!F35</f>
        <v>709</v>
      </c>
      <c r="G35" s="537">
        <f>'[10]Углуб.дисп.Пр. 11-23 '!G35+'[10]Уточнение Пр.16-23'!G35</f>
        <v>143</v>
      </c>
      <c r="H35" s="537">
        <f>'[10]Углуб.дисп.Пр. 9-23'!H35+'[10]Откл.Пр.11-23-Пр.9-23'!H35</f>
        <v>93</v>
      </c>
      <c r="I35" s="537">
        <f>'[10]Углуб.дисп.Пр. 9-23'!I35+'[10]Откл.Пр.11-23-Пр.9-23'!I35</f>
        <v>50</v>
      </c>
      <c r="J35" s="537">
        <f>'[10]Углуб.дисп.Пр. 9-23'!J35+'[10]Откл.Пр.11-23-Пр.9-23'!J35</f>
        <v>38</v>
      </c>
      <c r="L35" s="560"/>
    </row>
    <row r="36" spans="1:12" x14ac:dyDescent="0.2">
      <c r="A36" s="835">
        <v>28</v>
      </c>
      <c r="B36" s="562" t="s">
        <v>70</v>
      </c>
      <c r="C36" s="3" t="s">
        <v>71</v>
      </c>
      <c r="D36" s="537">
        <f>'[10]Углуб.дисп.Пр. 11-23 '!D36+'[10]Уточнение Пр.16-23'!D36</f>
        <v>0</v>
      </c>
      <c r="E36" s="537">
        <v>0</v>
      </c>
      <c r="F36" s="537">
        <v>0</v>
      </c>
      <c r="G36" s="537">
        <f>'[10]Углуб.дисп.Пр. 11-23 '!G36+'[10]Уточнение Пр.16-23'!G36</f>
        <v>0</v>
      </c>
      <c r="H36" s="537">
        <v>0</v>
      </c>
      <c r="I36" s="537">
        <v>0</v>
      </c>
      <c r="J36" s="537">
        <v>0</v>
      </c>
      <c r="L36" s="560"/>
    </row>
    <row r="37" spans="1:12" x14ac:dyDescent="0.2">
      <c r="A37" s="835">
        <v>29</v>
      </c>
      <c r="B37" s="561" t="s">
        <v>72</v>
      </c>
      <c r="C37" s="292" t="s">
        <v>73</v>
      </c>
      <c r="D37" s="537">
        <f>'[10]Углуб.дисп.Пр. 11-23 '!D37+'[10]Уточнение Пр.16-23'!D37</f>
        <v>0</v>
      </c>
      <c r="E37" s="537">
        <v>0</v>
      </c>
      <c r="F37" s="537">
        <v>0</v>
      </c>
      <c r="G37" s="537">
        <f>'[10]Углуб.дисп.Пр. 11-23 '!G37+'[10]Уточнение Пр.16-23'!G37</f>
        <v>0</v>
      </c>
      <c r="H37" s="537">
        <v>0</v>
      </c>
      <c r="I37" s="537">
        <v>0</v>
      </c>
      <c r="J37" s="537">
        <v>0</v>
      </c>
      <c r="L37" s="560"/>
    </row>
    <row r="38" spans="1:12" x14ac:dyDescent="0.2">
      <c r="A38" s="835">
        <v>30</v>
      </c>
      <c r="B38" s="559" t="s">
        <v>74</v>
      </c>
      <c r="C38" s="25" t="s">
        <v>357</v>
      </c>
      <c r="D38" s="537">
        <f>'[10]Углуб.дисп.Пр. 11-23 '!D38+'[10]Уточнение Пр.16-23'!D38</f>
        <v>0</v>
      </c>
      <c r="E38" s="537">
        <v>0</v>
      </c>
      <c r="F38" s="537">
        <v>0</v>
      </c>
      <c r="G38" s="537">
        <f>'[10]Углуб.дисп.Пр. 11-23 '!G38+'[10]Уточнение Пр.16-23'!G38</f>
        <v>0</v>
      </c>
      <c r="H38" s="537">
        <v>0</v>
      </c>
      <c r="I38" s="537">
        <v>0</v>
      </c>
      <c r="J38" s="537">
        <v>0</v>
      </c>
      <c r="L38" s="560"/>
    </row>
    <row r="39" spans="1:12" x14ac:dyDescent="0.2">
      <c r="A39" s="835">
        <v>31</v>
      </c>
      <c r="B39" s="562" t="s">
        <v>75</v>
      </c>
      <c r="C39" s="3" t="s">
        <v>76</v>
      </c>
      <c r="D39" s="537">
        <f>'[10]Углуб.дисп.Пр. 11-23 '!D39+'[10]Уточнение Пр.16-23'!D39</f>
        <v>1141</v>
      </c>
      <c r="E39" s="537">
        <v>266</v>
      </c>
      <c r="F39" s="537">
        <v>266</v>
      </c>
      <c r="G39" s="537">
        <f>'[10]Углуб.дисп.Пр. 11-23 '!G39+'[10]Уточнение Пр.16-23'!G39</f>
        <v>81</v>
      </c>
      <c r="H39" s="537">
        <v>27</v>
      </c>
      <c r="I39" s="537">
        <v>27</v>
      </c>
      <c r="J39" s="537">
        <v>27</v>
      </c>
      <c r="L39" s="560"/>
    </row>
    <row r="40" spans="1:12" x14ac:dyDescent="0.2">
      <c r="A40" s="835">
        <v>32</v>
      </c>
      <c r="B40" s="561" t="s">
        <v>77</v>
      </c>
      <c r="C40" s="25" t="s">
        <v>78</v>
      </c>
      <c r="D40" s="537">
        <f>'[10]Углуб.дисп.Пр. 11-23 '!D40+'[10]Уточнение Пр.16-23'!D40</f>
        <v>6434</v>
      </c>
      <c r="E40" s="537">
        <v>1122</v>
      </c>
      <c r="F40" s="537">
        <v>1122</v>
      </c>
      <c r="G40" s="537">
        <f>'[10]Углуб.дисп.Пр. 11-23 '!G40+'[10]Уточнение Пр.16-23'!G40</f>
        <v>336</v>
      </c>
      <c r="H40" s="537">
        <v>112</v>
      </c>
      <c r="I40" s="537">
        <v>112</v>
      </c>
      <c r="J40" s="537">
        <v>112</v>
      </c>
      <c r="L40" s="560"/>
    </row>
    <row r="41" spans="1:12" x14ac:dyDescent="0.2">
      <c r="A41" s="835">
        <v>33</v>
      </c>
      <c r="B41" s="563" t="s">
        <v>79</v>
      </c>
      <c r="C41" s="292" t="s">
        <v>80</v>
      </c>
      <c r="D41" s="537">
        <f>'[10]Углуб.дисп.Пр. 11-23 '!D41+'[10]Уточнение Пр.16-23'!D41</f>
        <v>13810</v>
      </c>
      <c r="E41" s="537">
        <v>991</v>
      </c>
      <c r="F41" s="537">
        <v>991</v>
      </c>
      <c r="G41" s="537">
        <f>'[10]Углуб.дисп.Пр. 11-23 '!G41+'[10]Уточнение Пр.16-23'!G41</f>
        <v>297</v>
      </c>
      <c r="H41" s="537">
        <v>99</v>
      </c>
      <c r="I41" s="537">
        <v>99</v>
      </c>
      <c r="J41" s="537">
        <v>99</v>
      </c>
      <c r="L41" s="560"/>
    </row>
    <row r="42" spans="1:12" x14ac:dyDescent="0.2">
      <c r="A42" s="835">
        <v>34</v>
      </c>
      <c r="B42" s="561" t="s">
        <v>81</v>
      </c>
      <c r="C42" s="25" t="s">
        <v>82</v>
      </c>
      <c r="D42" s="537">
        <f>'[10]Углуб.дисп.Пр. 11-23 '!D42+'[10]Уточнение Пр.16-23'!D42</f>
        <v>2397</v>
      </c>
      <c r="E42" s="537">
        <v>613</v>
      </c>
      <c r="F42" s="537">
        <v>613</v>
      </c>
      <c r="G42" s="537">
        <f>'[10]Углуб.дисп.Пр. 11-23 '!G42+'[10]Уточнение Пр.16-23'!G42</f>
        <v>183</v>
      </c>
      <c r="H42" s="537">
        <v>61</v>
      </c>
      <c r="I42" s="537">
        <v>61</v>
      </c>
      <c r="J42" s="537">
        <v>61</v>
      </c>
      <c r="L42" s="560"/>
    </row>
    <row r="43" spans="1:12" x14ac:dyDescent="0.2">
      <c r="A43" s="835">
        <v>35</v>
      </c>
      <c r="B43" s="562" t="s">
        <v>83</v>
      </c>
      <c r="C43" s="3" t="s">
        <v>84</v>
      </c>
      <c r="D43" s="537">
        <f>'[10]Углуб.дисп.Пр. 11-23 '!D43+'[10]Уточнение Пр.16-23'!D43</f>
        <v>5724</v>
      </c>
      <c r="E43" s="537">
        <v>1057</v>
      </c>
      <c r="F43" s="537">
        <v>1057</v>
      </c>
      <c r="G43" s="537">
        <f>'[10]Углуб.дисп.Пр. 11-23 '!G43+'[10]Уточнение Пр.16-23'!G43</f>
        <v>318</v>
      </c>
      <c r="H43" s="537">
        <v>106</v>
      </c>
      <c r="I43" s="537">
        <v>106</v>
      </c>
      <c r="J43" s="537">
        <v>106</v>
      </c>
      <c r="L43" s="560"/>
    </row>
    <row r="44" spans="1:12" x14ac:dyDescent="0.2">
      <c r="A44" s="835">
        <v>36</v>
      </c>
      <c r="B44" s="561" t="s">
        <v>85</v>
      </c>
      <c r="C44" s="25" t="s">
        <v>86</v>
      </c>
      <c r="D44" s="537">
        <f>'[10]Углуб.дисп.Пр. 11-23 '!D44+'[10]Уточнение Пр.16-23'!D44</f>
        <v>2206</v>
      </c>
      <c r="E44" s="537">
        <v>1600</v>
      </c>
      <c r="F44" s="537">
        <v>1600</v>
      </c>
      <c r="G44" s="537">
        <f>'[10]Углуб.дисп.Пр. 11-23 '!G44+'[10]Уточнение Пр.16-23'!G44</f>
        <v>480</v>
      </c>
      <c r="H44" s="537">
        <v>160</v>
      </c>
      <c r="I44" s="537">
        <v>160</v>
      </c>
      <c r="J44" s="537">
        <v>160</v>
      </c>
      <c r="L44" s="560"/>
    </row>
    <row r="45" spans="1:12" x14ac:dyDescent="0.2">
      <c r="A45" s="835">
        <v>37</v>
      </c>
      <c r="B45" s="559" t="s">
        <v>87</v>
      </c>
      <c r="C45" s="25" t="s">
        <v>88</v>
      </c>
      <c r="D45" s="537">
        <f>'[10]Углуб.дисп.Пр. 11-23 '!D45+'[10]Уточнение Пр.16-23'!D45</f>
        <v>6475</v>
      </c>
      <c r="E45" s="537">
        <v>1073</v>
      </c>
      <c r="F45" s="537">
        <v>1073</v>
      </c>
      <c r="G45" s="537">
        <f>'[10]Углуб.дисп.Пр. 11-23 '!G45+'[10]Уточнение Пр.16-23'!G45</f>
        <v>321</v>
      </c>
      <c r="H45" s="537">
        <v>107</v>
      </c>
      <c r="I45" s="537">
        <v>107</v>
      </c>
      <c r="J45" s="537">
        <v>107</v>
      </c>
      <c r="L45" s="560"/>
    </row>
    <row r="46" spans="1:12" x14ac:dyDescent="0.2">
      <c r="A46" s="835">
        <v>38</v>
      </c>
      <c r="B46" s="564" t="s">
        <v>89</v>
      </c>
      <c r="C46" s="565" t="s">
        <v>90</v>
      </c>
      <c r="D46" s="537">
        <f>'[10]Углуб.дисп.Пр. 11-23 '!D46+'[10]Уточнение Пр.16-23'!D46</f>
        <v>1898</v>
      </c>
      <c r="E46" s="537">
        <v>309</v>
      </c>
      <c r="F46" s="537">
        <v>309</v>
      </c>
      <c r="G46" s="537">
        <f>'[10]Углуб.дисп.Пр. 11-23 '!G46+'[10]Уточнение Пр.16-23'!G46</f>
        <v>93</v>
      </c>
      <c r="H46" s="537">
        <v>31</v>
      </c>
      <c r="I46" s="537">
        <v>31</v>
      </c>
      <c r="J46" s="537">
        <v>31</v>
      </c>
      <c r="L46" s="560"/>
    </row>
    <row r="47" spans="1:12" x14ac:dyDescent="0.2">
      <c r="A47" s="835">
        <v>39</v>
      </c>
      <c r="B47" s="559" t="s">
        <v>91</v>
      </c>
      <c r="C47" s="25" t="s">
        <v>92</v>
      </c>
      <c r="D47" s="537">
        <f>'[10]Углуб.дисп.Пр. 11-23 '!D47+'[10]Уточнение Пр.16-23'!D47</f>
        <v>1102</v>
      </c>
      <c r="E47" s="537">
        <v>467</v>
      </c>
      <c r="F47" s="537">
        <v>467</v>
      </c>
      <c r="G47" s="537">
        <f>'[10]Углуб.дисп.Пр. 11-23 '!G47+'[10]Уточнение Пр.16-23'!G47</f>
        <v>141</v>
      </c>
      <c r="H47" s="537">
        <v>47</v>
      </c>
      <c r="I47" s="537">
        <v>47</v>
      </c>
      <c r="J47" s="537">
        <v>47</v>
      </c>
      <c r="L47" s="560"/>
    </row>
    <row r="48" spans="1:12" x14ac:dyDescent="0.2">
      <c r="A48" s="835">
        <v>40</v>
      </c>
      <c r="B48" s="563" t="s">
        <v>93</v>
      </c>
      <c r="C48" s="292" t="s">
        <v>94</v>
      </c>
      <c r="D48" s="537">
        <f>'[10]Углуб.дисп.Пр. 11-23 '!D48+'[10]Уточнение Пр.16-23'!D48</f>
        <v>1954</v>
      </c>
      <c r="E48" s="537">
        <v>675</v>
      </c>
      <c r="F48" s="537">
        <v>675</v>
      </c>
      <c r="G48" s="537">
        <f>'[10]Углуб.дисп.Пр. 11-23 '!G48+'[10]Уточнение Пр.16-23'!G48</f>
        <v>204</v>
      </c>
      <c r="H48" s="537">
        <v>68</v>
      </c>
      <c r="I48" s="537">
        <v>68</v>
      </c>
      <c r="J48" s="537">
        <v>68</v>
      </c>
      <c r="L48" s="560"/>
    </row>
    <row r="49" spans="1:12" x14ac:dyDescent="0.2">
      <c r="A49" s="835">
        <v>41</v>
      </c>
      <c r="B49" s="562" t="s">
        <v>95</v>
      </c>
      <c r="C49" s="3" t="s">
        <v>96</v>
      </c>
      <c r="D49" s="537">
        <f>'[10]Углуб.дисп.Пр. 11-23 '!D49+'[10]Уточнение Пр.16-23'!D49</f>
        <v>1237</v>
      </c>
      <c r="E49" s="537">
        <v>267</v>
      </c>
      <c r="F49" s="537">
        <v>267</v>
      </c>
      <c r="G49" s="537">
        <f>'[10]Углуб.дисп.Пр. 11-23 '!G49+'[10]Уточнение Пр.16-23'!G49</f>
        <v>81</v>
      </c>
      <c r="H49" s="537">
        <v>27</v>
      </c>
      <c r="I49" s="537">
        <v>27</v>
      </c>
      <c r="J49" s="537">
        <v>27</v>
      </c>
      <c r="L49" s="560"/>
    </row>
    <row r="50" spans="1:12" x14ac:dyDescent="0.2">
      <c r="A50" s="835">
        <v>42</v>
      </c>
      <c r="B50" s="561" t="s">
        <v>97</v>
      </c>
      <c r="C50" s="25" t="s">
        <v>98</v>
      </c>
      <c r="D50" s="537">
        <f>'[10]Углуб.дисп.Пр. 11-23 '!D50+'[10]Уточнение Пр.16-23'!D50</f>
        <v>3959</v>
      </c>
      <c r="E50" s="537">
        <v>2061</v>
      </c>
      <c r="F50" s="537">
        <v>2061</v>
      </c>
      <c r="G50" s="537">
        <f>'[10]Углуб.дисп.Пр. 11-23 '!G50+'[10]Уточнение Пр.16-23'!G50</f>
        <v>618</v>
      </c>
      <c r="H50" s="537">
        <v>206</v>
      </c>
      <c r="I50" s="537">
        <v>206</v>
      </c>
      <c r="J50" s="537">
        <v>206</v>
      </c>
      <c r="L50" s="560"/>
    </row>
    <row r="51" spans="1:12" x14ac:dyDescent="0.2">
      <c r="A51" s="835">
        <v>43</v>
      </c>
      <c r="B51" s="562" t="s">
        <v>99</v>
      </c>
      <c r="C51" s="3" t="s">
        <v>100</v>
      </c>
      <c r="D51" s="537">
        <f>'[10]Углуб.дисп.Пр. 11-23 '!D51+'[10]Уточнение Пр.16-23'!D51</f>
        <v>9280</v>
      </c>
      <c r="E51" s="537">
        <v>2500</v>
      </c>
      <c r="F51" s="537">
        <v>2500</v>
      </c>
      <c r="G51" s="537">
        <f>'[10]Углуб.дисп.Пр. 11-23 '!G51+'[10]Уточнение Пр.16-23'!G51</f>
        <v>750</v>
      </c>
      <c r="H51" s="537">
        <v>250</v>
      </c>
      <c r="I51" s="537">
        <v>250</v>
      </c>
      <c r="J51" s="537">
        <v>250</v>
      </c>
      <c r="L51" s="560"/>
    </row>
    <row r="52" spans="1:12" x14ac:dyDescent="0.2">
      <c r="A52" s="835">
        <v>44</v>
      </c>
      <c r="B52" s="559" t="s">
        <v>101</v>
      </c>
      <c r="C52" s="25" t="s">
        <v>102</v>
      </c>
      <c r="D52" s="537">
        <f>'[10]Углуб.дисп.Пр. 11-23 '!D52+'[10]Уточнение Пр.16-23'!D52</f>
        <v>2035</v>
      </c>
      <c r="E52" s="537">
        <v>539</v>
      </c>
      <c r="F52" s="537">
        <v>539</v>
      </c>
      <c r="G52" s="537">
        <f>'[10]Углуб.дисп.Пр. 11-23 '!G52+'[10]Уточнение Пр.16-23'!G52</f>
        <v>162</v>
      </c>
      <c r="H52" s="537">
        <v>54</v>
      </c>
      <c r="I52" s="537">
        <v>54</v>
      </c>
      <c r="J52" s="537">
        <v>54</v>
      </c>
      <c r="L52" s="560"/>
    </row>
    <row r="53" spans="1:12" x14ac:dyDescent="0.2">
      <c r="A53" s="835">
        <v>45</v>
      </c>
      <c r="B53" s="559" t="s">
        <v>103</v>
      </c>
      <c r="C53" s="25" t="s">
        <v>104</v>
      </c>
      <c r="D53" s="537">
        <f>'[10]Углуб.дисп.Пр. 11-23 '!D53+'[10]Уточнение Пр.16-23'!D53</f>
        <v>10946</v>
      </c>
      <c r="E53" s="537">
        <v>2744</v>
      </c>
      <c r="F53" s="537">
        <v>2744</v>
      </c>
      <c r="G53" s="537">
        <f>'[10]Углуб.дисп.Пр. 11-23 '!G53+'[10]Уточнение Пр.16-23'!G53</f>
        <v>822</v>
      </c>
      <c r="H53" s="537">
        <v>274</v>
      </c>
      <c r="I53" s="537">
        <v>274</v>
      </c>
      <c r="J53" s="537">
        <v>274</v>
      </c>
      <c r="L53" s="560"/>
    </row>
    <row r="54" spans="1:12" x14ac:dyDescent="0.2">
      <c r="A54" s="835">
        <v>46</v>
      </c>
      <c r="B54" s="562" t="s">
        <v>105</v>
      </c>
      <c r="C54" s="3" t="s">
        <v>106</v>
      </c>
      <c r="D54" s="537">
        <f>'[10]Углуб.дисп.Пр. 11-23 '!D54+'[10]Уточнение Пр.16-23'!D54</f>
        <v>1573</v>
      </c>
      <c r="E54" s="537">
        <v>722</v>
      </c>
      <c r="F54" s="537">
        <v>722</v>
      </c>
      <c r="G54" s="537">
        <f>'[10]Углуб.дисп.Пр. 11-23 '!G54+'[10]Уточнение Пр.16-23'!G54</f>
        <v>216</v>
      </c>
      <c r="H54" s="537">
        <v>72</v>
      </c>
      <c r="I54" s="537">
        <v>72</v>
      </c>
      <c r="J54" s="537">
        <v>72</v>
      </c>
      <c r="L54" s="560"/>
    </row>
    <row r="55" spans="1:12" x14ac:dyDescent="0.2">
      <c r="A55" s="835">
        <v>47</v>
      </c>
      <c r="B55" s="562" t="s">
        <v>107</v>
      </c>
      <c r="C55" s="3" t="s">
        <v>108</v>
      </c>
      <c r="D55" s="537">
        <f>'[10]Углуб.дисп.Пр. 11-23 '!D55+'[10]Уточнение Пр.16-23'!D55</f>
        <v>2447</v>
      </c>
      <c r="E55" s="537">
        <v>1580</v>
      </c>
      <c r="F55" s="537">
        <v>1580</v>
      </c>
      <c r="G55" s="537">
        <f>'[10]Углуб.дисп.Пр. 11-23 '!G55+'[10]Уточнение Пр.16-23'!G55</f>
        <v>474</v>
      </c>
      <c r="H55" s="537">
        <v>158</v>
      </c>
      <c r="I55" s="537">
        <v>158</v>
      </c>
      <c r="J55" s="537">
        <v>158</v>
      </c>
      <c r="L55" s="560"/>
    </row>
    <row r="56" spans="1:12" x14ac:dyDescent="0.2">
      <c r="A56" s="835">
        <v>48</v>
      </c>
      <c r="B56" s="561" t="s">
        <v>109</v>
      </c>
      <c r="C56" s="25" t="s">
        <v>110</v>
      </c>
      <c r="D56" s="537">
        <f>'[10]Углуб.дисп.Пр. 11-23 '!D56+'[10]Уточнение Пр.16-23'!D56</f>
        <v>2756</v>
      </c>
      <c r="E56" s="537">
        <v>1133</v>
      </c>
      <c r="F56" s="537">
        <v>1133</v>
      </c>
      <c r="G56" s="537">
        <f>'[10]Углуб.дисп.Пр. 11-23 '!G56+'[10]Уточнение Пр.16-23'!G56</f>
        <v>339</v>
      </c>
      <c r="H56" s="537">
        <v>113</v>
      </c>
      <c r="I56" s="537">
        <v>113</v>
      </c>
      <c r="J56" s="537">
        <v>113</v>
      </c>
      <c r="L56" s="560"/>
    </row>
    <row r="57" spans="1:12" x14ac:dyDescent="0.2">
      <c r="A57" s="835">
        <v>49</v>
      </c>
      <c r="B57" s="562" t="s">
        <v>111</v>
      </c>
      <c r="C57" s="3" t="s">
        <v>112</v>
      </c>
      <c r="D57" s="537">
        <f>'[10]Углуб.дисп.Пр. 11-23 '!D57+'[10]Уточнение Пр.16-23'!D57</f>
        <v>1170</v>
      </c>
      <c r="E57" s="537">
        <v>540</v>
      </c>
      <c r="F57" s="537">
        <v>540</v>
      </c>
      <c r="G57" s="537">
        <f>'[10]Углуб.дисп.Пр. 11-23 '!G57+'[10]Уточнение Пр.16-23'!G57</f>
        <v>162</v>
      </c>
      <c r="H57" s="537">
        <v>54</v>
      </c>
      <c r="I57" s="537">
        <v>54</v>
      </c>
      <c r="J57" s="537">
        <v>54</v>
      </c>
      <c r="L57" s="560"/>
    </row>
    <row r="58" spans="1:12" x14ac:dyDescent="0.2">
      <c r="A58" s="835">
        <v>50</v>
      </c>
      <c r="B58" s="561" t="s">
        <v>113</v>
      </c>
      <c r="C58" s="25" t="s">
        <v>114</v>
      </c>
      <c r="D58" s="537">
        <f>'[10]Углуб.дисп.Пр. 11-23 '!D58+'[10]Уточнение Пр.16-23'!D58</f>
        <v>1388</v>
      </c>
      <c r="E58" s="537">
        <v>1024</v>
      </c>
      <c r="F58" s="537">
        <v>1024</v>
      </c>
      <c r="G58" s="537">
        <f>'[10]Углуб.дисп.Пр. 11-23 '!G58+'[10]Уточнение Пр.16-23'!G58</f>
        <v>306</v>
      </c>
      <c r="H58" s="537">
        <v>102</v>
      </c>
      <c r="I58" s="537">
        <v>102</v>
      </c>
      <c r="J58" s="537">
        <v>102</v>
      </c>
      <c r="L58" s="560"/>
    </row>
    <row r="59" spans="1:12" x14ac:dyDescent="0.2">
      <c r="A59" s="835">
        <v>51</v>
      </c>
      <c r="B59" s="562" t="s">
        <v>115</v>
      </c>
      <c r="C59" s="3" t="s">
        <v>116</v>
      </c>
      <c r="D59" s="537">
        <f>'[10]Углуб.дисп.Пр. 11-23 '!D59+'[10]Уточнение Пр.16-23'!D59</f>
        <v>2426</v>
      </c>
      <c r="E59" s="537">
        <v>1931</v>
      </c>
      <c r="F59" s="537">
        <v>1931</v>
      </c>
      <c r="G59" s="537">
        <f>'[10]Углуб.дисп.Пр. 11-23 '!G59+'[10]Уточнение Пр.16-23'!G59</f>
        <v>579</v>
      </c>
      <c r="H59" s="537">
        <v>193</v>
      </c>
      <c r="I59" s="537">
        <v>193</v>
      </c>
      <c r="J59" s="537">
        <v>193</v>
      </c>
      <c r="L59" s="560"/>
    </row>
    <row r="60" spans="1:12" x14ac:dyDescent="0.2">
      <c r="A60" s="835">
        <v>52</v>
      </c>
      <c r="B60" s="562" t="s">
        <v>117</v>
      </c>
      <c r="C60" s="3" t="s">
        <v>118</v>
      </c>
      <c r="D60" s="537">
        <f>'[10]Углуб.дисп.Пр. 11-23 '!D60+'[10]Уточнение Пр.16-23'!D60</f>
        <v>12247</v>
      </c>
      <c r="E60" s="537">
        <v>1430</v>
      </c>
      <c r="F60" s="537">
        <v>1430</v>
      </c>
      <c r="G60" s="537">
        <f>'[10]Углуб.дисп.Пр. 11-23 '!G60+'[10]Уточнение Пр.16-23'!G60</f>
        <v>429</v>
      </c>
      <c r="H60" s="537">
        <v>143</v>
      </c>
      <c r="I60" s="537">
        <v>143</v>
      </c>
      <c r="J60" s="537">
        <v>143</v>
      </c>
      <c r="L60" s="560"/>
    </row>
    <row r="61" spans="1:12" x14ac:dyDescent="0.2">
      <c r="A61" s="835">
        <v>53</v>
      </c>
      <c r="B61" s="562" t="s">
        <v>119</v>
      </c>
      <c r="C61" s="3" t="s">
        <v>120</v>
      </c>
      <c r="D61" s="537">
        <f>'[10]Углуб.дисп.Пр. 11-23 '!D61+'[10]Уточнение Пр.16-23'!D61</f>
        <v>1810</v>
      </c>
      <c r="E61" s="537">
        <v>388</v>
      </c>
      <c r="F61" s="537">
        <v>388</v>
      </c>
      <c r="G61" s="537">
        <f>'[10]Углуб.дисп.Пр. 11-23 '!G61+'[10]Уточнение Пр.16-23'!G61</f>
        <v>117</v>
      </c>
      <c r="H61" s="537">
        <v>39</v>
      </c>
      <c r="I61" s="537">
        <v>39</v>
      </c>
      <c r="J61" s="537">
        <v>39</v>
      </c>
      <c r="L61" s="560"/>
    </row>
    <row r="62" spans="1:12" x14ac:dyDescent="0.2">
      <c r="A62" s="835">
        <v>54</v>
      </c>
      <c r="B62" s="562" t="s">
        <v>121</v>
      </c>
      <c r="C62" s="3" t="s">
        <v>122</v>
      </c>
      <c r="D62" s="537">
        <f>'[10]Углуб.дисп.Пр. 11-23 '!D62+'[10]Уточнение Пр.16-23'!D62</f>
        <v>0</v>
      </c>
      <c r="E62" s="537">
        <v>0</v>
      </c>
      <c r="F62" s="537">
        <v>0</v>
      </c>
      <c r="G62" s="537">
        <f>'[10]Углуб.дисп.Пр. 11-23 '!G62+'[10]Уточнение Пр.16-23'!G62</f>
        <v>0</v>
      </c>
      <c r="H62" s="537">
        <v>0</v>
      </c>
      <c r="I62" s="537">
        <v>0</v>
      </c>
      <c r="J62" s="537">
        <v>0</v>
      </c>
      <c r="L62" s="560"/>
    </row>
    <row r="63" spans="1:12" x14ac:dyDescent="0.2">
      <c r="A63" s="835">
        <v>55</v>
      </c>
      <c r="B63" s="562" t="s">
        <v>123</v>
      </c>
      <c r="C63" s="3" t="s">
        <v>124</v>
      </c>
      <c r="D63" s="537">
        <f>'[10]Углуб.дисп.Пр. 11-23 '!D63+'[10]Уточнение Пр.16-23'!D63</f>
        <v>0</v>
      </c>
      <c r="E63" s="537">
        <v>0</v>
      </c>
      <c r="F63" s="537">
        <v>0</v>
      </c>
      <c r="G63" s="537">
        <f>'[10]Углуб.дисп.Пр. 11-23 '!G63+'[10]Уточнение Пр.16-23'!G63</f>
        <v>0</v>
      </c>
      <c r="H63" s="537">
        <v>0</v>
      </c>
      <c r="I63" s="537">
        <v>0</v>
      </c>
      <c r="J63" s="537">
        <v>0</v>
      </c>
      <c r="L63" s="560"/>
    </row>
    <row r="64" spans="1:12" x14ac:dyDescent="0.2">
      <c r="A64" s="835">
        <v>56</v>
      </c>
      <c r="B64" s="566" t="s">
        <v>125</v>
      </c>
      <c r="C64" s="1" t="s">
        <v>126</v>
      </c>
      <c r="D64" s="537">
        <f>'[10]Углуб.дисп.Пр. 11-23 '!D64+'[10]Уточнение Пр.16-23'!D64</f>
        <v>0</v>
      </c>
      <c r="E64" s="537">
        <v>0</v>
      </c>
      <c r="F64" s="537">
        <v>0</v>
      </c>
      <c r="G64" s="537">
        <f>'[10]Углуб.дисп.Пр. 11-23 '!G64+'[10]Уточнение Пр.16-23'!G64</f>
        <v>0</v>
      </c>
      <c r="H64" s="537">
        <v>0</v>
      </c>
      <c r="I64" s="537">
        <v>0</v>
      </c>
      <c r="J64" s="537">
        <v>0</v>
      </c>
      <c r="L64" s="560"/>
    </row>
    <row r="65" spans="1:12" x14ac:dyDescent="0.2">
      <c r="A65" s="835">
        <v>57</v>
      </c>
      <c r="B65" s="562" t="s">
        <v>127</v>
      </c>
      <c r="C65" s="3" t="s">
        <v>128</v>
      </c>
      <c r="D65" s="537">
        <f>'[10]Углуб.дисп.Пр. 11-23 '!D65+'[10]Уточнение Пр.16-23'!D65</f>
        <v>0</v>
      </c>
      <c r="E65" s="537">
        <v>0</v>
      </c>
      <c r="F65" s="537">
        <v>0</v>
      </c>
      <c r="G65" s="537">
        <f>'[10]Углуб.дисп.Пр. 11-23 '!G65+'[10]Уточнение Пр.16-23'!G65</f>
        <v>0</v>
      </c>
      <c r="H65" s="537">
        <v>0</v>
      </c>
      <c r="I65" s="537">
        <v>0</v>
      </c>
      <c r="J65" s="537">
        <v>0</v>
      </c>
      <c r="L65" s="560"/>
    </row>
    <row r="66" spans="1:12" x14ac:dyDescent="0.2">
      <c r="A66" s="835">
        <v>58</v>
      </c>
      <c r="B66" s="561" t="s">
        <v>129</v>
      </c>
      <c r="C66" s="3" t="s">
        <v>309</v>
      </c>
      <c r="D66" s="537">
        <f>'[10]Углуб.дисп.Пр. 11-23 '!D66+'[10]Уточнение Пр.16-23'!D66</f>
        <v>0</v>
      </c>
      <c r="E66" s="537">
        <v>0</v>
      </c>
      <c r="F66" s="537">
        <v>0</v>
      </c>
      <c r="G66" s="537">
        <f>'[10]Углуб.дисп.Пр. 11-23 '!G66+'[10]Уточнение Пр.16-23'!G66</f>
        <v>0</v>
      </c>
      <c r="H66" s="537">
        <v>0</v>
      </c>
      <c r="I66" s="537">
        <v>0</v>
      </c>
      <c r="J66" s="537">
        <v>0</v>
      </c>
      <c r="L66" s="560"/>
    </row>
    <row r="67" spans="1:12" x14ac:dyDescent="0.2">
      <c r="A67" s="835">
        <v>59</v>
      </c>
      <c r="B67" s="563" t="s">
        <v>131</v>
      </c>
      <c r="C67" s="292" t="s">
        <v>132</v>
      </c>
      <c r="D67" s="537">
        <f>'[10]Углуб.дисп.Пр. 11-23 '!D67+'[10]Уточнение Пр.16-23'!D67</f>
        <v>0</v>
      </c>
      <c r="E67" s="537">
        <v>0</v>
      </c>
      <c r="F67" s="537">
        <v>0</v>
      </c>
      <c r="G67" s="537">
        <f>'[10]Углуб.дисп.Пр. 11-23 '!G67+'[10]Уточнение Пр.16-23'!G67</f>
        <v>0</v>
      </c>
      <c r="H67" s="537">
        <v>0</v>
      </c>
      <c r="I67" s="537">
        <v>0</v>
      </c>
      <c r="J67" s="537">
        <v>0</v>
      </c>
      <c r="L67" s="560"/>
    </row>
    <row r="68" spans="1:12" x14ac:dyDescent="0.2">
      <c r="A68" s="835">
        <v>60</v>
      </c>
      <c r="B68" s="561" t="s">
        <v>133</v>
      </c>
      <c r="C68" s="3" t="s">
        <v>310</v>
      </c>
      <c r="D68" s="537">
        <f>'[10]Углуб.дисп.Пр. 11-23 '!D68+'[10]Уточнение Пр.16-23'!D68</f>
        <v>0</v>
      </c>
      <c r="E68" s="537">
        <v>0</v>
      </c>
      <c r="F68" s="537">
        <v>0</v>
      </c>
      <c r="G68" s="537">
        <f>'[10]Углуб.дисп.Пр. 11-23 '!G68+'[10]Уточнение Пр.16-23'!G68</f>
        <v>0</v>
      </c>
      <c r="H68" s="537">
        <v>0</v>
      </c>
      <c r="I68" s="537">
        <v>0</v>
      </c>
      <c r="J68" s="537">
        <v>0</v>
      </c>
      <c r="L68" s="560"/>
    </row>
    <row r="69" spans="1:12" ht="25.5" x14ac:dyDescent="0.2">
      <c r="A69" s="835">
        <v>61</v>
      </c>
      <c r="B69" s="562" t="s">
        <v>135</v>
      </c>
      <c r="C69" s="3" t="s">
        <v>136</v>
      </c>
      <c r="D69" s="537">
        <f>'[10]Углуб.дисп.Пр. 11-23 '!D69+'[10]Уточнение Пр.16-23'!D69</f>
        <v>0</v>
      </c>
      <c r="E69" s="537">
        <v>0</v>
      </c>
      <c r="F69" s="537">
        <v>0</v>
      </c>
      <c r="G69" s="537">
        <f>'[10]Углуб.дисп.Пр. 11-23 '!G69+'[10]Уточнение Пр.16-23'!G69</f>
        <v>0</v>
      </c>
      <c r="H69" s="537">
        <v>0</v>
      </c>
      <c r="I69" s="537">
        <v>0</v>
      </c>
      <c r="J69" s="537">
        <v>0</v>
      </c>
      <c r="L69" s="560"/>
    </row>
    <row r="70" spans="1:12" ht="25.5" x14ac:dyDescent="0.2">
      <c r="A70" s="835">
        <v>62</v>
      </c>
      <c r="B70" s="559" t="s">
        <v>137</v>
      </c>
      <c r="C70" s="3" t="s">
        <v>311</v>
      </c>
      <c r="D70" s="537">
        <f>'[10]Углуб.дисп.Пр. 11-23 '!D70+'[10]Уточнение Пр.16-23'!D70</f>
        <v>0</v>
      </c>
      <c r="E70" s="537">
        <v>0</v>
      </c>
      <c r="F70" s="537">
        <v>0</v>
      </c>
      <c r="G70" s="537">
        <f>'[10]Углуб.дисп.Пр. 11-23 '!G70+'[10]Уточнение Пр.16-23'!G70</f>
        <v>0</v>
      </c>
      <c r="H70" s="537">
        <v>0</v>
      </c>
      <c r="I70" s="537">
        <v>0</v>
      </c>
      <c r="J70" s="537">
        <v>0</v>
      </c>
      <c r="L70" s="560"/>
    </row>
    <row r="71" spans="1:12" ht="25.5" x14ac:dyDescent="0.2">
      <c r="A71" s="835">
        <v>63</v>
      </c>
      <c r="B71" s="559" t="s">
        <v>139</v>
      </c>
      <c r="C71" s="3" t="s">
        <v>312</v>
      </c>
      <c r="D71" s="537">
        <f>'[10]Углуб.дисп.Пр. 11-23 '!D71+'[10]Уточнение Пр.16-23'!D71</f>
        <v>0</v>
      </c>
      <c r="E71" s="537">
        <v>0</v>
      </c>
      <c r="F71" s="537">
        <v>0</v>
      </c>
      <c r="G71" s="537">
        <f>'[10]Углуб.дисп.Пр. 11-23 '!G71+'[10]Уточнение Пр.16-23'!G71</f>
        <v>0</v>
      </c>
      <c r="H71" s="537">
        <v>0</v>
      </c>
      <c r="I71" s="537">
        <v>0</v>
      </c>
      <c r="J71" s="537">
        <v>0</v>
      </c>
      <c r="L71" s="560"/>
    </row>
    <row r="72" spans="1:12" x14ac:dyDescent="0.2">
      <c r="A72" s="835">
        <v>64</v>
      </c>
      <c r="B72" s="561" t="s">
        <v>141</v>
      </c>
      <c r="C72" s="3" t="s">
        <v>313</v>
      </c>
      <c r="D72" s="537">
        <f>'[10]Углуб.дисп.Пр. 11-23 '!D72+'[10]Уточнение Пр.16-23'!D72</f>
        <v>11273</v>
      </c>
      <c r="E72" s="537">
        <v>3331</v>
      </c>
      <c r="F72" s="537">
        <v>3331</v>
      </c>
      <c r="G72" s="537">
        <f>'[10]Углуб.дисп.Пр. 11-23 '!G72+'[10]Уточнение Пр.16-23'!G72</f>
        <v>999</v>
      </c>
      <c r="H72" s="537">
        <v>333</v>
      </c>
      <c r="I72" s="537">
        <v>333</v>
      </c>
      <c r="J72" s="537">
        <v>333</v>
      </c>
      <c r="L72" s="560"/>
    </row>
    <row r="73" spans="1:12" x14ac:dyDescent="0.2">
      <c r="A73" s="835">
        <v>65</v>
      </c>
      <c r="B73" s="561" t="s">
        <v>143</v>
      </c>
      <c r="C73" s="25" t="s">
        <v>144</v>
      </c>
      <c r="D73" s="537">
        <f>'[10]Углуб.дисп.Пр. 11-23 '!D73+'[10]Уточнение Пр.16-23'!D73</f>
        <v>10686</v>
      </c>
      <c r="E73" s="537">
        <v>2961</v>
      </c>
      <c r="F73" s="537">
        <v>2961</v>
      </c>
      <c r="G73" s="537">
        <f>'[10]Углуб.дисп.Пр. 11-23 '!G73+'[10]Уточнение Пр.16-23'!G73</f>
        <v>888</v>
      </c>
      <c r="H73" s="537">
        <v>296</v>
      </c>
      <c r="I73" s="537">
        <v>296</v>
      </c>
      <c r="J73" s="537">
        <v>296</v>
      </c>
      <c r="L73" s="560"/>
    </row>
    <row r="74" spans="1:12" x14ac:dyDescent="0.2">
      <c r="A74" s="835">
        <v>66</v>
      </c>
      <c r="B74" s="561" t="s">
        <v>145</v>
      </c>
      <c r="C74" s="3" t="s">
        <v>314</v>
      </c>
      <c r="D74" s="537">
        <f>'[10]Углуб.дисп.Пр. 11-23 '!D74+'[10]Уточнение Пр.16-23'!D74</f>
        <v>12002</v>
      </c>
      <c r="E74" s="537">
        <v>4508</v>
      </c>
      <c r="F74" s="537">
        <v>4508</v>
      </c>
      <c r="G74" s="537">
        <f>'[10]Углуб.дисп.Пр. 11-23 '!G74+'[10]Уточнение Пр.16-23'!G74</f>
        <v>1353</v>
      </c>
      <c r="H74" s="537">
        <v>451</v>
      </c>
      <c r="I74" s="537">
        <v>451</v>
      </c>
      <c r="J74" s="537">
        <v>451</v>
      </c>
      <c r="L74" s="560"/>
    </row>
    <row r="75" spans="1:12" ht="25.5" x14ac:dyDescent="0.2">
      <c r="A75" s="835">
        <v>67</v>
      </c>
      <c r="B75" s="561" t="s">
        <v>147</v>
      </c>
      <c r="C75" s="3" t="s">
        <v>315</v>
      </c>
      <c r="D75" s="537">
        <f>'[10]Углуб.дисп.Пр. 11-23 '!D75+'[10]Уточнение Пр.16-23'!D75</f>
        <v>0</v>
      </c>
      <c r="E75" s="537">
        <v>0</v>
      </c>
      <c r="F75" s="537">
        <v>0</v>
      </c>
      <c r="G75" s="537">
        <f>'[10]Углуб.дисп.Пр. 11-23 '!G75+'[10]Уточнение Пр.16-23'!G75</f>
        <v>0</v>
      </c>
      <c r="H75" s="537">
        <v>0</v>
      </c>
      <c r="I75" s="537">
        <v>0</v>
      </c>
      <c r="J75" s="537">
        <v>0</v>
      </c>
      <c r="L75" s="560"/>
    </row>
    <row r="76" spans="1:12" ht="25.5" x14ac:dyDescent="0.2">
      <c r="A76" s="835">
        <v>68</v>
      </c>
      <c r="B76" s="559" t="s">
        <v>149</v>
      </c>
      <c r="C76" s="3" t="s">
        <v>316</v>
      </c>
      <c r="D76" s="537">
        <f>'[10]Углуб.дисп.Пр. 11-23 '!D76+'[10]Уточнение Пр.16-23'!D76</f>
        <v>0</v>
      </c>
      <c r="E76" s="537">
        <v>0</v>
      </c>
      <c r="F76" s="537">
        <v>0</v>
      </c>
      <c r="G76" s="537">
        <f>'[10]Углуб.дисп.Пр. 11-23 '!G76+'[10]Уточнение Пр.16-23'!G76</f>
        <v>0</v>
      </c>
      <c r="H76" s="537">
        <v>0</v>
      </c>
      <c r="I76" s="537">
        <v>0</v>
      </c>
      <c r="J76" s="537">
        <v>0</v>
      </c>
      <c r="L76" s="560"/>
    </row>
    <row r="77" spans="1:12" ht="25.5" x14ac:dyDescent="0.2">
      <c r="A77" s="835">
        <v>69</v>
      </c>
      <c r="B77" s="561" t="s">
        <v>151</v>
      </c>
      <c r="C77" s="3" t="s">
        <v>317</v>
      </c>
      <c r="D77" s="537">
        <f>'[10]Углуб.дисп.Пр. 11-23 '!D77+'[10]Уточнение Пр.16-23'!D77</f>
        <v>0</v>
      </c>
      <c r="E77" s="537">
        <v>0</v>
      </c>
      <c r="F77" s="537">
        <v>0</v>
      </c>
      <c r="G77" s="537">
        <f>'[10]Углуб.дисп.Пр. 11-23 '!G77+'[10]Уточнение Пр.16-23'!G77</f>
        <v>0</v>
      </c>
      <c r="H77" s="537">
        <v>0</v>
      </c>
      <c r="I77" s="537">
        <v>0</v>
      </c>
      <c r="J77" s="537">
        <v>0</v>
      </c>
      <c r="L77" s="560"/>
    </row>
    <row r="78" spans="1:12" ht="25.5" x14ac:dyDescent="0.2">
      <c r="A78" s="835">
        <v>70</v>
      </c>
      <c r="B78" s="561" t="s">
        <v>153</v>
      </c>
      <c r="C78" s="3" t="s">
        <v>318</v>
      </c>
      <c r="D78" s="537">
        <f>'[10]Углуб.дисп.Пр. 11-23 '!D78+'[10]Уточнение Пр.16-23'!D78</f>
        <v>0</v>
      </c>
      <c r="E78" s="537">
        <v>0</v>
      </c>
      <c r="F78" s="537">
        <v>0</v>
      </c>
      <c r="G78" s="537">
        <f>'[10]Углуб.дисп.Пр. 11-23 '!G78+'[10]Уточнение Пр.16-23'!G78</f>
        <v>0</v>
      </c>
      <c r="H78" s="537">
        <v>0</v>
      </c>
      <c r="I78" s="537">
        <v>0</v>
      </c>
      <c r="J78" s="537">
        <v>0</v>
      </c>
      <c r="L78" s="560"/>
    </row>
    <row r="79" spans="1:12" ht="25.5" x14ac:dyDescent="0.2">
      <c r="A79" s="835">
        <v>71</v>
      </c>
      <c r="B79" s="559" t="s">
        <v>155</v>
      </c>
      <c r="C79" s="3" t="s">
        <v>319</v>
      </c>
      <c r="D79" s="537">
        <f>'[10]Углуб.дисп.Пр. 11-23 '!D79+'[10]Уточнение Пр.16-23'!D79</f>
        <v>0</v>
      </c>
      <c r="E79" s="537">
        <v>0</v>
      </c>
      <c r="F79" s="537">
        <v>0</v>
      </c>
      <c r="G79" s="537">
        <f>'[10]Углуб.дисп.Пр. 11-23 '!G79+'[10]Уточнение Пр.16-23'!G79</f>
        <v>0</v>
      </c>
      <c r="H79" s="537">
        <v>0</v>
      </c>
      <c r="I79" s="537">
        <v>0</v>
      </c>
      <c r="J79" s="537">
        <v>0</v>
      </c>
      <c r="L79" s="560"/>
    </row>
    <row r="80" spans="1:12" ht="25.5" x14ac:dyDescent="0.2">
      <c r="A80" s="835">
        <v>72</v>
      </c>
      <c r="B80" s="559" t="s">
        <v>157</v>
      </c>
      <c r="C80" s="3" t="s">
        <v>320</v>
      </c>
      <c r="D80" s="537">
        <f>'[10]Углуб.дисп.Пр. 11-23 '!D80+'[10]Уточнение Пр.16-23'!D80</f>
        <v>0</v>
      </c>
      <c r="E80" s="537">
        <v>0</v>
      </c>
      <c r="F80" s="537">
        <v>0</v>
      </c>
      <c r="G80" s="537">
        <f>'[10]Углуб.дисп.Пр. 11-23 '!G80+'[10]Уточнение Пр.16-23'!G80</f>
        <v>0</v>
      </c>
      <c r="H80" s="537">
        <v>0</v>
      </c>
      <c r="I80" s="537">
        <v>0</v>
      </c>
      <c r="J80" s="537">
        <v>0</v>
      </c>
      <c r="L80" s="560"/>
    </row>
    <row r="81" spans="1:12" ht="25.5" x14ac:dyDescent="0.2">
      <c r="A81" s="835">
        <v>73</v>
      </c>
      <c r="B81" s="559" t="s">
        <v>159</v>
      </c>
      <c r="C81" s="3" t="s">
        <v>321</v>
      </c>
      <c r="D81" s="537">
        <f>'[10]Углуб.дисп.Пр. 11-23 '!D81+'[10]Уточнение Пр.16-23'!D81</f>
        <v>0</v>
      </c>
      <c r="E81" s="537">
        <v>0</v>
      </c>
      <c r="F81" s="537">
        <v>0</v>
      </c>
      <c r="G81" s="537">
        <f>'[10]Углуб.дисп.Пр. 11-23 '!G81+'[10]Уточнение Пр.16-23'!G81</f>
        <v>0</v>
      </c>
      <c r="H81" s="537">
        <v>0</v>
      </c>
      <c r="I81" s="537">
        <v>0</v>
      </c>
      <c r="J81" s="537">
        <v>0</v>
      </c>
      <c r="L81" s="560"/>
    </row>
    <row r="82" spans="1:12" x14ac:dyDescent="0.2">
      <c r="A82" s="835">
        <v>74</v>
      </c>
      <c r="B82" s="562" t="s">
        <v>161</v>
      </c>
      <c r="C82" s="3" t="s">
        <v>162</v>
      </c>
      <c r="D82" s="537">
        <f>'[10]Углуб.дисп.Пр. 11-23 '!D82+'[10]Уточнение Пр.16-23'!D82</f>
        <v>7739</v>
      </c>
      <c r="E82" s="537">
        <v>2742</v>
      </c>
      <c r="F82" s="537">
        <v>2742</v>
      </c>
      <c r="G82" s="537">
        <f>'[10]Углуб.дисп.Пр. 11-23 '!G82+'[10]Уточнение Пр.16-23'!G82</f>
        <v>822</v>
      </c>
      <c r="H82" s="537">
        <v>274</v>
      </c>
      <c r="I82" s="537">
        <v>274</v>
      </c>
      <c r="J82" s="537">
        <v>274</v>
      </c>
      <c r="L82" s="560"/>
    </row>
    <row r="83" spans="1:12" x14ac:dyDescent="0.2">
      <c r="A83" s="835">
        <v>75</v>
      </c>
      <c r="B83" s="559" t="s">
        <v>163</v>
      </c>
      <c r="C83" s="3" t="s">
        <v>322</v>
      </c>
      <c r="D83" s="537">
        <f>'[10]Углуб.дисп.Пр. 11-23 '!D83+'[10]Уточнение Пр.16-23'!D83</f>
        <v>21642</v>
      </c>
      <c r="E83" s="537">
        <v>6053</v>
      </c>
      <c r="F83" s="537">
        <v>6053</v>
      </c>
      <c r="G83" s="537">
        <f>'[10]Углуб.дисп.Пр. 11-23 '!G83+'[10]Уточнение Пр.16-23'!G83</f>
        <v>1812</v>
      </c>
      <c r="H83" s="537">
        <v>604</v>
      </c>
      <c r="I83" s="537">
        <v>604</v>
      </c>
      <c r="J83" s="537">
        <v>604</v>
      </c>
      <c r="L83" s="560"/>
    </row>
    <row r="84" spans="1:12" x14ac:dyDescent="0.2">
      <c r="A84" s="835">
        <v>76</v>
      </c>
      <c r="B84" s="562" t="s">
        <v>165</v>
      </c>
      <c r="C84" s="3" t="s">
        <v>166</v>
      </c>
      <c r="D84" s="537">
        <f>'[10]Углуб.дисп.Пр. 11-23 '!D84+'[10]Уточнение Пр.16-23'!D84</f>
        <v>9741</v>
      </c>
      <c r="E84" s="537">
        <v>3875</v>
      </c>
      <c r="F84" s="537">
        <v>3875</v>
      </c>
      <c r="G84" s="537">
        <f>'[10]Углуб.дисп.Пр. 11-23 '!G84+'[10]Уточнение Пр.16-23'!G84</f>
        <v>1164</v>
      </c>
      <c r="H84" s="537">
        <v>388</v>
      </c>
      <c r="I84" s="537">
        <v>388</v>
      </c>
      <c r="J84" s="537">
        <v>388</v>
      </c>
      <c r="L84" s="560"/>
    </row>
    <row r="85" spans="1:12" x14ac:dyDescent="0.2">
      <c r="A85" s="835">
        <v>77</v>
      </c>
      <c r="B85" s="563" t="s">
        <v>167</v>
      </c>
      <c r="C85" s="292" t="s">
        <v>168</v>
      </c>
      <c r="D85" s="537">
        <f>'[10]Углуб.дисп.Пр. 11-23 '!D85+'[10]Уточнение Пр.16-23'!D85</f>
        <v>5065</v>
      </c>
      <c r="E85" s="537">
        <v>774</v>
      </c>
      <c r="F85" s="537">
        <v>774</v>
      </c>
      <c r="G85" s="537">
        <f>'[10]Углуб.дисп.Пр. 11-23 '!G85+'[10]Уточнение Пр.16-23'!G85</f>
        <v>423</v>
      </c>
      <c r="H85" s="537">
        <v>77</v>
      </c>
      <c r="I85" s="537">
        <v>77</v>
      </c>
      <c r="J85" s="537">
        <v>77</v>
      </c>
      <c r="L85" s="560"/>
    </row>
    <row r="86" spans="1:12" x14ac:dyDescent="0.2">
      <c r="A86" s="835">
        <v>78</v>
      </c>
      <c r="B86" s="559" t="s">
        <v>169</v>
      </c>
      <c r="C86" s="3" t="s">
        <v>170</v>
      </c>
      <c r="D86" s="537">
        <f>'[10]Углуб.дисп.Пр. 11-23 '!D86+'[10]Уточнение Пр.16-23'!D86</f>
        <v>20949</v>
      </c>
      <c r="E86" s="537">
        <v>17557</v>
      </c>
      <c r="F86" s="537">
        <v>17557</v>
      </c>
      <c r="G86" s="537">
        <f>'[10]Углуб.дисп.Пр. 11-23 '!G86+'[10]Уточнение Пр.16-23'!G86</f>
        <v>5268</v>
      </c>
      <c r="H86" s="537">
        <v>1756</v>
      </c>
      <c r="I86" s="537">
        <v>1756</v>
      </c>
      <c r="J86" s="537">
        <v>1756</v>
      </c>
      <c r="L86" s="560"/>
    </row>
    <row r="87" spans="1:12" x14ac:dyDescent="0.2">
      <c r="A87" s="835">
        <v>79</v>
      </c>
      <c r="B87" s="563" t="s">
        <v>171</v>
      </c>
      <c r="C87" s="292" t="s">
        <v>172</v>
      </c>
      <c r="D87" s="537">
        <f>'[10]Углуб.дисп.Пр. 11-23 '!D87+'[10]Уточнение Пр.16-23'!D87</f>
        <v>0</v>
      </c>
      <c r="E87" s="537">
        <v>0</v>
      </c>
      <c r="F87" s="537">
        <v>0</v>
      </c>
      <c r="G87" s="537">
        <f>'[10]Углуб.дисп.Пр. 11-23 '!G87+'[10]Уточнение Пр.16-23'!G87</f>
        <v>0</v>
      </c>
      <c r="H87" s="537">
        <v>0</v>
      </c>
      <c r="I87" s="537">
        <v>0</v>
      </c>
      <c r="J87" s="537">
        <v>0</v>
      </c>
      <c r="L87" s="560"/>
    </row>
    <row r="88" spans="1:12" x14ac:dyDescent="0.2">
      <c r="A88" s="835">
        <v>80</v>
      </c>
      <c r="B88" s="559" t="s">
        <v>173</v>
      </c>
      <c r="C88" s="3" t="s">
        <v>323</v>
      </c>
      <c r="D88" s="537">
        <f>'[10]Углуб.дисп.Пр. 11-23 '!D88+'[10]Уточнение Пр.16-23'!D88</f>
        <v>18769</v>
      </c>
      <c r="E88" s="537">
        <v>8931</v>
      </c>
      <c r="F88" s="537">
        <v>8931</v>
      </c>
      <c r="G88" s="537">
        <f>'[10]Углуб.дисп.Пр. 11-23 '!G88+'[10]Уточнение Пр.16-23'!G88</f>
        <v>2679</v>
      </c>
      <c r="H88" s="537">
        <v>893</v>
      </c>
      <c r="I88" s="537">
        <v>893</v>
      </c>
      <c r="J88" s="537">
        <v>893</v>
      </c>
      <c r="L88" s="560"/>
    </row>
    <row r="89" spans="1:12" x14ac:dyDescent="0.2">
      <c r="A89" s="835">
        <v>81</v>
      </c>
      <c r="B89" s="563" t="s">
        <v>175</v>
      </c>
      <c r="C89" s="1" t="s">
        <v>746</v>
      </c>
      <c r="D89" s="537">
        <f>'[10]Углуб.дисп.Пр. 11-23 '!D89+'[10]Уточнение Пр.16-23'!D89</f>
        <v>0</v>
      </c>
      <c r="E89" s="537">
        <v>0</v>
      </c>
      <c r="F89" s="537">
        <v>0</v>
      </c>
      <c r="G89" s="537">
        <f>'[10]Углуб.дисп.Пр. 11-23 '!G89+'[10]Уточнение Пр.16-23'!G89</f>
        <v>0</v>
      </c>
      <c r="H89" s="537">
        <v>0</v>
      </c>
      <c r="I89" s="537">
        <v>0</v>
      </c>
      <c r="J89" s="537">
        <v>0</v>
      </c>
      <c r="L89" s="560"/>
    </row>
    <row r="90" spans="1:12" x14ac:dyDescent="0.2">
      <c r="A90" s="835">
        <v>82</v>
      </c>
      <c r="B90" s="561" t="s">
        <v>177</v>
      </c>
      <c r="C90" s="3" t="s">
        <v>359</v>
      </c>
      <c r="D90" s="537">
        <f>'[10]Углуб.дисп.Пр. 11-23 '!D90+'[10]Уточнение Пр.16-23'!D90</f>
        <v>0</v>
      </c>
      <c r="E90" s="537">
        <v>0</v>
      </c>
      <c r="F90" s="537">
        <v>0</v>
      </c>
      <c r="G90" s="537">
        <f>'[10]Углуб.дисп.Пр. 11-23 '!G90+'[10]Уточнение Пр.16-23'!G90</f>
        <v>0</v>
      </c>
      <c r="H90" s="537">
        <v>0</v>
      </c>
      <c r="I90" s="537">
        <v>0</v>
      </c>
      <c r="J90" s="537">
        <v>0</v>
      </c>
      <c r="L90" s="560"/>
    </row>
    <row r="91" spans="1:12" ht="42.75" customHeight="1" x14ac:dyDescent="0.2">
      <c r="A91" s="1166">
        <v>83</v>
      </c>
      <c r="B91" s="1169" t="s">
        <v>178</v>
      </c>
      <c r="C91" s="1" t="s">
        <v>744</v>
      </c>
      <c r="D91" s="537">
        <f>'[10]Углуб.дисп.Пр. 11-23 '!D91+'[10]Уточнение Пр.16-23'!D91</f>
        <v>859</v>
      </c>
      <c r="E91" s="537">
        <v>149</v>
      </c>
      <c r="F91" s="537">
        <v>149</v>
      </c>
      <c r="G91" s="537">
        <f>'[10]Углуб.дисп.Пр. 11-23 '!G91+'[10]Уточнение Пр.16-23'!G91</f>
        <v>45</v>
      </c>
      <c r="H91" s="537">
        <v>15</v>
      </c>
      <c r="I91" s="537">
        <v>15</v>
      </c>
      <c r="J91" s="537">
        <v>15</v>
      </c>
      <c r="L91" s="560"/>
    </row>
    <row r="92" spans="1:12" ht="24" x14ac:dyDescent="0.2">
      <c r="A92" s="1167"/>
      <c r="B92" s="1170"/>
      <c r="C92" s="567" t="s">
        <v>180</v>
      </c>
      <c r="D92" s="537">
        <f>'[10]Углуб.дисп.Пр. 11-23 '!D92+'[10]Уточнение Пр.16-23'!D92</f>
        <v>0</v>
      </c>
      <c r="E92" s="537">
        <v>0</v>
      </c>
      <c r="F92" s="537">
        <v>0</v>
      </c>
      <c r="G92" s="537">
        <f>'[10]Углуб.дисп.Пр. 11-23 '!G92+'[10]Уточнение Пр.16-23'!G92</f>
        <v>0</v>
      </c>
      <c r="H92" s="537">
        <v>0</v>
      </c>
      <c r="I92" s="537">
        <v>0</v>
      </c>
      <c r="J92" s="537">
        <v>0</v>
      </c>
      <c r="L92" s="560"/>
    </row>
    <row r="93" spans="1:12" ht="36" x14ac:dyDescent="0.2">
      <c r="A93" s="1168"/>
      <c r="B93" s="1171"/>
      <c r="C93" s="307" t="s">
        <v>745</v>
      </c>
      <c r="D93" s="537">
        <f>'[10]Углуб.дисп.Пр. 11-23 '!D93+'[10]Уточнение Пр.16-23'!D93</f>
        <v>0</v>
      </c>
      <c r="E93" s="537">
        <v>0</v>
      </c>
      <c r="F93" s="537">
        <v>0</v>
      </c>
      <c r="G93" s="537">
        <f>'[10]Углуб.дисп.Пр. 11-23 '!G93+'[10]Уточнение Пр.16-23'!G93</f>
        <v>0</v>
      </c>
      <c r="H93" s="537">
        <v>0</v>
      </c>
      <c r="I93" s="537">
        <v>0</v>
      </c>
      <c r="J93" s="537">
        <v>0</v>
      </c>
      <c r="L93" s="560"/>
    </row>
    <row r="94" spans="1:12" ht="25.5" x14ac:dyDescent="0.2">
      <c r="A94" s="835">
        <v>84</v>
      </c>
      <c r="B94" s="561" t="s">
        <v>181</v>
      </c>
      <c r="C94" s="25" t="s">
        <v>182</v>
      </c>
      <c r="D94" s="537">
        <f>'[10]Углуб.дисп.Пр. 11-23 '!D94+'[10]Уточнение Пр.16-23'!D94</f>
        <v>0</v>
      </c>
      <c r="E94" s="537">
        <v>0</v>
      </c>
      <c r="F94" s="537">
        <v>0</v>
      </c>
      <c r="G94" s="537">
        <f>'[10]Углуб.дисп.Пр. 11-23 '!G94+'[10]Уточнение Пр.16-23'!G94</f>
        <v>0</v>
      </c>
      <c r="H94" s="537">
        <v>0</v>
      </c>
      <c r="I94" s="537">
        <v>0</v>
      </c>
      <c r="J94" s="537">
        <v>0</v>
      </c>
      <c r="L94" s="560"/>
    </row>
    <row r="95" spans="1:12" x14ac:dyDescent="0.2">
      <c r="A95" s="835">
        <v>85</v>
      </c>
      <c r="B95" s="561" t="s">
        <v>183</v>
      </c>
      <c r="C95" s="292" t="s">
        <v>184</v>
      </c>
      <c r="D95" s="537">
        <f>'[10]Углуб.дисп.Пр. 11-23 '!D95+'[10]Уточнение Пр.16-23'!D95</f>
        <v>788</v>
      </c>
      <c r="E95" s="537">
        <v>249</v>
      </c>
      <c r="F95" s="537">
        <v>249</v>
      </c>
      <c r="G95" s="537">
        <f>'[10]Углуб.дисп.Пр. 11-23 '!G95+'[10]Уточнение Пр.16-23'!G95</f>
        <v>75</v>
      </c>
      <c r="H95" s="537">
        <v>25</v>
      </c>
      <c r="I95" s="537">
        <v>25</v>
      </c>
      <c r="J95" s="537">
        <v>25</v>
      </c>
      <c r="L95" s="560"/>
    </row>
    <row r="96" spans="1:12" x14ac:dyDescent="0.2">
      <c r="A96" s="835">
        <v>86</v>
      </c>
      <c r="B96" s="562" t="s">
        <v>185</v>
      </c>
      <c r="C96" s="3" t="s">
        <v>186</v>
      </c>
      <c r="D96" s="537">
        <f>'[10]Углуб.дисп.Пр. 11-23 '!D96+'[10]Уточнение Пр.16-23'!D96</f>
        <v>4399</v>
      </c>
      <c r="E96" s="537">
        <v>918</v>
      </c>
      <c r="F96" s="537">
        <v>918</v>
      </c>
      <c r="G96" s="537">
        <f>'[10]Углуб.дисп.Пр. 11-23 '!G96+'[10]Уточнение Пр.16-23'!G96</f>
        <v>276</v>
      </c>
      <c r="H96" s="537">
        <v>92</v>
      </c>
      <c r="I96" s="537">
        <v>92</v>
      </c>
      <c r="J96" s="537">
        <v>92</v>
      </c>
      <c r="L96" s="560"/>
    </row>
    <row r="97" spans="1:12" x14ac:dyDescent="0.2">
      <c r="A97" s="835">
        <v>87</v>
      </c>
      <c r="B97" s="561" t="s">
        <v>187</v>
      </c>
      <c r="C97" s="25" t="s">
        <v>188</v>
      </c>
      <c r="D97" s="537">
        <f>'[10]Углуб.дисп.Пр. 11-23 '!D97+'[10]Уточнение Пр.16-23'!D97</f>
        <v>1400</v>
      </c>
      <c r="E97" s="537">
        <v>440</v>
      </c>
      <c r="F97" s="537">
        <v>440</v>
      </c>
      <c r="G97" s="537">
        <f>'[10]Углуб.дисп.Пр. 11-23 '!G97+'[10]Уточнение Пр.16-23'!G97</f>
        <v>132</v>
      </c>
      <c r="H97" s="537">
        <v>44</v>
      </c>
      <c r="I97" s="537">
        <v>44</v>
      </c>
      <c r="J97" s="537">
        <v>44</v>
      </c>
      <c r="L97" s="560"/>
    </row>
    <row r="98" spans="1:12" x14ac:dyDescent="0.2">
      <c r="A98" s="835">
        <v>88</v>
      </c>
      <c r="B98" s="562" t="s">
        <v>189</v>
      </c>
      <c r="C98" s="3" t="s">
        <v>190</v>
      </c>
      <c r="D98" s="537">
        <f>'[10]Углуб.дисп.Пр. 11-23 '!D98+'[10]Уточнение Пр.16-23'!D98</f>
        <v>890</v>
      </c>
      <c r="E98" s="537">
        <v>100</v>
      </c>
      <c r="F98" s="537">
        <v>100</v>
      </c>
      <c r="G98" s="537">
        <f>'[10]Углуб.дисп.Пр. 11-23 '!G98+'[10]Уточнение Пр.16-23'!G98</f>
        <v>30</v>
      </c>
      <c r="H98" s="537">
        <v>10</v>
      </c>
      <c r="I98" s="537">
        <v>10</v>
      </c>
      <c r="J98" s="537">
        <v>10</v>
      </c>
      <c r="L98" s="560"/>
    </row>
    <row r="99" spans="1:12" x14ac:dyDescent="0.2">
      <c r="A99" s="835">
        <v>89</v>
      </c>
      <c r="B99" s="562" t="s">
        <v>191</v>
      </c>
      <c r="C99" s="3" t="s">
        <v>192</v>
      </c>
      <c r="D99" s="537">
        <f>'[10]Углуб.дисп.Пр. 11-23 '!D99+'[10]Уточнение Пр.16-23'!D99</f>
        <v>4177</v>
      </c>
      <c r="E99" s="537">
        <v>1697</v>
      </c>
      <c r="F99" s="537">
        <v>1697</v>
      </c>
      <c r="G99" s="537">
        <f>'[10]Углуб.дисп.Пр. 11-23 '!G99+'[10]Уточнение Пр.16-23'!G99</f>
        <v>510</v>
      </c>
      <c r="H99" s="537">
        <v>170</v>
      </c>
      <c r="I99" s="537">
        <v>170</v>
      </c>
      <c r="J99" s="537">
        <v>170</v>
      </c>
      <c r="L99" s="560"/>
    </row>
    <row r="100" spans="1:12" x14ac:dyDescent="0.2">
      <c r="A100" s="835">
        <v>90</v>
      </c>
      <c r="B100" s="561" t="s">
        <v>193</v>
      </c>
      <c r="C100" s="292" t="s">
        <v>194</v>
      </c>
      <c r="D100" s="537">
        <f>'[10]Углуб.дисп.Пр. 11-23 '!D100+'[10]Уточнение Пр.16-23'!D100</f>
        <v>1493</v>
      </c>
      <c r="E100" s="537">
        <v>1160</v>
      </c>
      <c r="F100" s="537">
        <v>1160</v>
      </c>
      <c r="G100" s="537">
        <f>'[10]Углуб.дисп.Пр. 11-23 '!G100+'[10]Уточнение Пр.16-23'!G100</f>
        <v>348</v>
      </c>
      <c r="H100" s="537">
        <v>116</v>
      </c>
      <c r="I100" s="537">
        <v>116</v>
      </c>
      <c r="J100" s="537">
        <v>116</v>
      </c>
      <c r="L100" s="560"/>
    </row>
    <row r="101" spans="1:12" x14ac:dyDescent="0.2">
      <c r="A101" s="835">
        <v>91</v>
      </c>
      <c r="B101" s="561" t="s">
        <v>195</v>
      </c>
      <c r="C101" s="25" t="s">
        <v>196</v>
      </c>
      <c r="D101" s="537">
        <f>'[10]Углуб.дисп.Пр. 11-23 '!D101+'[10]Уточнение Пр.16-23'!D101</f>
        <v>3288</v>
      </c>
      <c r="E101" s="537">
        <v>307</v>
      </c>
      <c r="F101" s="537">
        <v>307</v>
      </c>
      <c r="G101" s="537">
        <f>'[10]Углуб.дисп.Пр. 11-23 '!G101+'[10]Уточнение Пр.16-23'!G101</f>
        <v>93</v>
      </c>
      <c r="H101" s="537">
        <v>31</v>
      </c>
      <c r="I101" s="537">
        <v>31</v>
      </c>
      <c r="J101" s="537">
        <v>31</v>
      </c>
      <c r="L101" s="560"/>
    </row>
    <row r="102" spans="1:12" x14ac:dyDescent="0.2">
      <c r="A102" s="835">
        <v>92</v>
      </c>
      <c r="B102" s="559" t="s">
        <v>197</v>
      </c>
      <c r="C102" s="25" t="s">
        <v>198</v>
      </c>
      <c r="D102" s="537">
        <f>'[10]Углуб.дисп.Пр. 11-23 '!D102+'[10]Уточнение Пр.16-23'!D102</f>
        <v>2948</v>
      </c>
      <c r="E102" s="537">
        <v>1375</v>
      </c>
      <c r="F102" s="537">
        <v>1375</v>
      </c>
      <c r="G102" s="537">
        <f>'[10]Углуб.дисп.Пр. 11-23 '!G102+'[10]Уточнение Пр.16-23'!G102</f>
        <v>414</v>
      </c>
      <c r="H102" s="537">
        <v>138</v>
      </c>
      <c r="I102" s="537">
        <v>138</v>
      </c>
      <c r="J102" s="537">
        <v>138</v>
      </c>
      <c r="L102" s="560"/>
    </row>
    <row r="103" spans="1:12" x14ac:dyDescent="0.2">
      <c r="A103" s="835">
        <v>93</v>
      </c>
      <c r="B103" s="559" t="s">
        <v>199</v>
      </c>
      <c r="C103" s="25" t="s">
        <v>200</v>
      </c>
      <c r="D103" s="537">
        <f>'[10]Углуб.дисп.Пр. 11-23 '!D103+'[10]Уточнение Пр.16-23'!D103</f>
        <v>3992</v>
      </c>
      <c r="E103" s="537">
        <v>1974</v>
      </c>
      <c r="F103" s="537">
        <v>1974</v>
      </c>
      <c r="G103" s="537">
        <f>'[10]Углуб.дисп.Пр. 11-23 '!G103+'[10]Уточнение Пр.16-23'!G103</f>
        <v>591</v>
      </c>
      <c r="H103" s="537">
        <v>197</v>
      </c>
      <c r="I103" s="537">
        <v>197</v>
      </c>
      <c r="J103" s="537">
        <v>197</v>
      </c>
      <c r="L103" s="560"/>
    </row>
    <row r="104" spans="1:12" x14ac:dyDescent="0.2">
      <c r="A104" s="835">
        <v>94</v>
      </c>
      <c r="B104" s="562" t="s">
        <v>201</v>
      </c>
      <c r="C104" s="3" t="s">
        <v>202</v>
      </c>
      <c r="D104" s="537">
        <f>'[10]Углуб.дисп.Пр. 11-23 '!D104+'[10]Уточнение Пр.16-23'!D104</f>
        <v>770</v>
      </c>
      <c r="E104" s="537">
        <v>122</v>
      </c>
      <c r="F104" s="537">
        <v>122</v>
      </c>
      <c r="G104" s="537">
        <f>'[10]Углуб.дисп.Пр. 11-23 '!G104+'[10]Уточнение Пр.16-23'!G104</f>
        <v>36</v>
      </c>
      <c r="H104" s="537">
        <v>12</v>
      </c>
      <c r="I104" s="537">
        <v>12</v>
      </c>
      <c r="J104" s="537">
        <v>12</v>
      </c>
      <c r="L104" s="560"/>
    </row>
    <row r="105" spans="1:12" x14ac:dyDescent="0.2">
      <c r="A105" s="835">
        <v>95</v>
      </c>
      <c r="B105" s="563" t="s">
        <v>203</v>
      </c>
      <c r="C105" s="292" t="s">
        <v>204</v>
      </c>
      <c r="D105" s="537">
        <f>'[10]Углуб.дисп.Пр. 11-23 '!D105+'[10]Уточнение Пр.16-23'!D105</f>
        <v>2356</v>
      </c>
      <c r="E105" s="537">
        <v>743</v>
      </c>
      <c r="F105" s="537">
        <v>743</v>
      </c>
      <c r="G105" s="537">
        <f>'[10]Углуб.дисп.Пр. 11-23 '!G105+'[10]Уточнение Пр.16-23'!G105</f>
        <v>222</v>
      </c>
      <c r="H105" s="537">
        <v>74</v>
      </c>
      <c r="I105" s="537">
        <v>74</v>
      </c>
      <c r="J105" s="537">
        <v>74</v>
      </c>
      <c r="L105" s="560"/>
    </row>
    <row r="106" spans="1:12" x14ac:dyDescent="0.2">
      <c r="A106" s="835">
        <v>96</v>
      </c>
      <c r="B106" s="559" t="s">
        <v>205</v>
      </c>
      <c r="C106" s="25" t="s">
        <v>206</v>
      </c>
      <c r="D106" s="537">
        <f>'[10]Углуб.дисп.Пр. 11-23 '!D106+'[10]Уточнение Пр.16-23'!D106</f>
        <v>1013</v>
      </c>
      <c r="E106" s="537">
        <v>144</v>
      </c>
      <c r="F106" s="537">
        <v>144</v>
      </c>
      <c r="G106" s="537">
        <f>'[10]Углуб.дисп.Пр. 11-23 '!G106+'[10]Уточнение Пр.16-23'!G106</f>
        <v>42</v>
      </c>
      <c r="H106" s="537">
        <v>14</v>
      </c>
      <c r="I106" s="537">
        <v>14</v>
      </c>
      <c r="J106" s="537">
        <v>14</v>
      </c>
      <c r="L106" s="560"/>
    </row>
    <row r="107" spans="1:12" x14ac:dyDescent="0.2">
      <c r="A107" s="835">
        <v>97</v>
      </c>
      <c r="B107" s="561" t="s">
        <v>207</v>
      </c>
      <c r="C107" s="25" t="s">
        <v>208</v>
      </c>
      <c r="D107" s="537">
        <f>'[10]Углуб.дисп.Пр. 11-23 '!D107+'[10]Уточнение Пр.16-23'!D107</f>
        <v>2072</v>
      </c>
      <c r="E107" s="537">
        <v>88</v>
      </c>
      <c r="F107" s="537">
        <v>88</v>
      </c>
      <c r="G107" s="537">
        <f>'[10]Углуб.дисп.Пр. 11-23 '!G107+'[10]Уточнение Пр.16-23'!G107</f>
        <v>27</v>
      </c>
      <c r="H107" s="537">
        <v>9</v>
      </c>
      <c r="I107" s="537">
        <v>9</v>
      </c>
      <c r="J107" s="537">
        <v>9</v>
      </c>
      <c r="L107" s="560"/>
    </row>
    <row r="108" spans="1:12" x14ac:dyDescent="0.2">
      <c r="A108" s="835">
        <v>98</v>
      </c>
      <c r="B108" s="562" t="s">
        <v>209</v>
      </c>
      <c r="C108" s="3" t="s">
        <v>210</v>
      </c>
      <c r="D108" s="537">
        <f>'[10]Углуб.дисп.Пр. 11-23 '!D108+'[10]Уточнение Пр.16-23'!D108</f>
        <v>1593</v>
      </c>
      <c r="E108" s="537">
        <v>619</v>
      </c>
      <c r="F108" s="537">
        <v>619</v>
      </c>
      <c r="G108" s="537">
        <f>'[10]Углуб.дисп.Пр. 11-23 '!G108+'[10]Уточнение Пр.16-23'!G108</f>
        <v>186</v>
      </c>
      <c r="H108" s="537">
        <v>62</v>
      </c>
      <c r="I108" s="537">
        <v>62</v>
      </c>
      <c r="J108" s="537">
        <v>62</v>
      </c>
      <c r="L108" s="560"/>
    </row>
    <row r="109" spans="1:12" x14ac:dyDescent="0.2">
      <c r="A109" s="835">
        <v>99</v>
      </c>
      <c r="B109" s="562" t="s">
        <v>211</v>
      </c>
      <c r="C109" s="3" t="s">
        <v>212</v>
      </c>
      <c r="D109" s="537">
        <f>'[10]Углуб.дисп.Пр. 11-23 '!D109+'[10]Уточнение Пр.16-23'!D109</f>
        <v>2049</v>
      </c>
      <c r="E109" s="537">
        <v>228</v>
      </c>
      <c r="F109" s="537">
        <v>228</v>
      </c>
      <c r="G109" s="537">
        <f>'[10]Углуб.дисп.Пр. 11-23 '!G109+'[10]Уточнение Пр.16-23'!G109</f>
        <v>69</v>
      </c>
      <c r="H109" s="537">
        <v>23</v>
      </c>
      <c r="I109" s="537">
        <v>23</v>
      </c>
      <c r="J109" s="537">
        <v>23</v>
      </c>
      <c r="L109" s="560"/>
    </row>
    <row r="110" spans="1:12" x14ac:dyDescent="0.2">
      <c r="A110" s="835">
        <v>100</v>
      </c>
      <c r="B110" s="559" t="s">
        <v>213</v>
      </c>
      <c r="C110" s="25" t="s">
        <v>214</v>
      </c>
      <c r="D110" s="537">
        <f>'[10]Углуб.дисп.Пр. 11-23 '!D110+'[10]Уточнение Пр.16-23'!D110</f>
        <v>3063</v>
      </c>
      <c r="E110" s="537">
        <v>922</v>
      </c>
      <c r="F110" s="537">
        <v>922</v>
      </c>
      <c r="G110" s="537">
        <f>'[10]Углуб.дисп.Пр. 11-23 '!G110+'[10]Уточнение Пр.16-23'!G110</f>
        <v>276</v>
      </c>
      <c r="H110" s="537">
        <v>92</v>
      </c>
      <c r="I110" s="537">
        <v>92</v>
      </c>
      <c r="J110" s="537">
        <v>92</v>
      </c>
      <c r="L110" s="560"/>
    </row>
    <row r="111" spans="1:12" x14ac:dyDescent="0.2">
      <c r="A111" s="835">
        <v>101</v>
      </c>
      <c r="B111" s="561" t="s">
        <v>215</v>
      </c>
      <c r="C111" s="25" t="s">
        <v>216</v>
      </c>
      <c r="D111" s="537">
        <f>'[10]Углуб.дисп.Пр. 11-23 '!D111+'[10]Уточнение Пр.16-23'!D111</f>
        <v>1846</v>
      </c>
      <c r="E111" s="537">
        <v>1116</v>
      </c>
      <c r="F111" s="537">
        <v>1116</v>
      </c>
      <c r="G111" s="537">
        <f>'[10]Углуб.дисп.Пр. 11-23 '!G111+'[10]Уточнение Пр.16-23'!G111</f>
        <v>336</v>
      </c>
      <c r="H111" s="537">
        <v>112</v>
      </c>
      <c r="I111" s="537">
        <v>112</v>
      </c>
      <c r="J111" s="537">
        <v>112</v>
      </c>
      <c r="L111" s="560"/>
    </row>
    <row r="112" spans="1:12" x14ac:dyDescent="0.2">
      <c r="A112" s="835">
        <v>102</v>
      </c>
      <c r="B112" s="559" t="s">
        <v>217</v>
      </c>
      <c r="C112" s="3" t="s">
        <v>218</v>
      </c>
      <c r="D112" s="537">
        <f>'[10]Углуб.дисп.Пр. 11-23 '!D112+'[10]Уточнение Пр.16-23'!D112</f>
        <v>0</v>
      </c>
      <c r="E112" s="537">
        <v>0</v>
      </c>
      <c r="F112" s="537">
        <v>0</v>
      </c>
      <c r="G112" s="537">
        <f>'[10]Углуб.дисп.Пр. 11-23 '!G112+'[10]Уточнение Пр.16-23'!G112</f>
        <v>0</v>
      </c>
      <c r="H112" s="537">
        <v>0</v>
      </c>
      <c r="I112" s="537">
        <v>0</v>
      </c>
      <c r="J112" s="537">
        <v>0</v>
      </c>
      <c r="L112" s="560"/>
    </row>
    <row r="113" spans="1:12" x14ac:dyDescent="0.2">
      <c r="A113" s="835">
        <v>103</v>
      </c>
      <c r="B113" s="559" t="s">
        <v>219</v>
      </c>
      <c r="C113" s="25" t="s">
        <v>220</v>
      </c>
      <c r="D113" s="537">
        <f>'[10]Углуб.дисп.Пр. 11-23 '!D113+'[10]Уточнение Пр.16-23'!D113</f>
        <v>0</v>
      </c>
      <c r="E113" s="537">
        <v>0</v>
      </c>
      <c r="F113" s="537">
        <v>0</v>
      </c>
      <c r="G113" s="537">
        <f>'[10]Углуб.дисп.Пр. 11-23 '!G113+'[10]Уточнение Пр.16-23'!G113</f>
        <v>0</v>
      </c>
      <c r="H113" s="537">
        <v>0</v>
      </c>
      <c r="I113" s="537">
        <v>0</v>
      </c>
      <c r="J113" s="537">
        <v>0</v>
      </c>
      <c r="L113" s="560"/>
    </row>
    <row r="114" spans="1:12" x14ac:dyDescent="0.2">
      <c r="A114" s="835">
        <v>104</v>
      </c>
      <c r="B114" s="562" t="s">
        <v>221</v>
      </c>
      <c r="C114" s="3" t="s">
        <v>222</v>
      </c>
      <c r="D114" s="537">
        <f>'[10]Углуб.дисп.Пр. 11-23 '!D114+'[10]Уточнение Пр.16-23'!D114</f>
        <v>0</v>
      </c>
      <c r="E114" s="537">
        <v>0</v>
      </c>
      <c r="F114" s="537">
        <v>0</v>
      </c>
      <c r="G114" s="537">
        <f>'[10]Углуб.дисп.Пр. 11-23 '!G114+'[10]Уточнение Пр.16-23'!G114</f>
        <v>0</v>
      </c>
      <c r="H114" s="537">
        <v>0</v>
      </c>
      <c r="I114" s="537">
        <v>0</v>
      </c>
      <c r="J114" s="537">
        <v>0</v>
      </c>
      <c r="L114" s="560"/>
    </row>
    <row r="115" spans="1:12" x14ac:dyDescent="0.2">
      <c r="A115" s="835">
        <v>105</v>
      </c>
      <c r="B115" s="562" t="s">
        <v>223</v>
      </c>
      <c r="C115" s="3" t="s">
        <v>224</v>
      </c>
      <c r="D115" s="537">
        <f>'[10]Углуб.дисп.Пр. 11-23 '!D115+'[10]Уточнение Пр.16-23'!D115</f>
        <v>0</v>
      </c>
      <c r="E115" s="537">
        <v>0</v>
      </c>
      <c r="F115" s="537">
        <v>0</v>
      </c>
      <c r="G115" s="537">
        <f>'[10]Углуб.дисп.Пр. 11-23 '!G115+'[10]Уточнение Пр.16-23'!G115</f>
        <v>0</v>
      </c>
      <c r="H115" s="537">
        <v>0</v>
      </c>
      <c r="I115" s="537">
        <v>0</v>
      </c>
      <c r="J115" s="537">
        <v>0</v>
      </c>
      <c r="L115" s="560"/>
    </row>
    <row r="116" spans="1:12" x14ac:dyDescent="0.2">
      <c r="A116" s="835">
        <v>106</v>
      </c>
      <c r="B116" s="562" t="s">
        <v>225</v>
      </c>
      <c r="C116" s="3" t="s">
        <v>226</v>
      </c>
      <c r="D116" s="537">
        <f>'[10]Углуб.дисп.Пр. 11-23 '!D116+'[10]Уточнение Пр.16-23'!D116</f>
        <v>0</v>
      </c>
      <c r="E116" s="537">
        <v>0</v>
      </c>
      <c r="F116" s="537">
        <v>0</v>
      </c>
      <c r="G116" s="537">
        <f>'[10]Углуб.дисп.Пр. 11-23 '!G116+'[10]Уточнение Пр.16-23'!G116</f>
        <v>0</v>
      </c>
      <c r="H116" s="537">
        <v>0</v>
      </c>
      <c r="I116" s="537">
        <v>0</v>
      </c>
      <c r="J116" s="537">
        <v>0</v>
      </c>
      <c r="L116" s="560"/>
    </row>
    <row r="117" spans="1:12" x14ac:dyDescent="0.2">
      <c r="A117" s="835">
        <v>107</v>
      </c>
      <c r="B117" s="562" t="s">
        <v>227</v>
      </c>
      <c r="C117" s="3" t="s">
        <v>228</v>
      </c>
      <c r="D117" s="537">
        <f>'[10]Углуб.дисп.Пр. 11-23 '!D117+'[10]Уточнение Пр.16-23'!D117</f>
        <v>0</v>
      </c>
      <c r="E117" s="537">
        <v>0</v>
      </c>
      <c r="F117" s="537">
        <v>0</v>
      </c>
      <c r="G117" s="537">
        <f>'[10]Углуб.дисп.Пр. 11-23 '!G117+'[10]Уточнение Пр.16-23'!G117</f>
        <v>0</v>
      </c>
      <c r="H117" s="537">
        <v>0</v>
      </c>
      <c r="I117" s="537">
        <v>0</v>
      </c>
      <c r="J117" s="537">
        <v>0</v>
      </c>
      <c r="L117" s="560"/>
    </row>
    <row r="118" spans="1:12" x14ac:dyDescent="0.2">
      <c r="A118" s="835">
        <v>108</v>
      </c>
      <c r="B118" s="562" t="s">
        <v>229</v>
      </c>
      <c r="C118" s="3" t="s">
        <v>230</v>
      </c>
      <c r="D118" s="537">
        <f>'[10]Углуб.дисп.Пр. 11-23 '!D118+'[10]Уточнение Пр.16-23'!D118</f>
        <v>0</v>
      </c>
      <c r="E118" s="537">
        <v>0</v>
      </c>
      <c r="F118" s="537">
        <v>0</v>
      </c>
      <c r="G118" s="537">
        <f>'[10]Углуб.дисп.Пр. 11-23 '!G118+'[10]Уточнение Пр.16-23'!G118</f>
        <v>0</v>
      </c>
      <c r="H118" s="537">
        <v>0</v>
      </c>
      <c r="I118" s="537">
        <v>0</v>
      </c>
      <c r="J118" s="537">
        <v>0</v>
      </c>
      <c r="L118" s="560"/>
    </row>
    <row r="119" spans="1:12" x14ac:dyDescent="0.2">
      <c r="A119" s="835">
        <v>109</v>
      </c>
      <c r="B119" s="562" t="s">
        <v>231</v>
      </c>
      <c r="C119" s="3" t="s">
        <v>232</v>
      </c>
      <c r="D119" s="537">
        <f>'[10]Углуб.дисп.Пр. 11-23 '!D119+'[10]Уточнение Пр.16-23'!D119</f>
        <v>0</v>
      </c>
      <c r="E119" s="537">
        <v>0</v>
      </c>
      <c r="F119" s="537">
        <v>0</v>
      </c>
      <c r="G119" s="537">
        <f>'[10]Углуб.дисп.Пр. 11-23 '!G119+'[10]Уточнение Пр.16-23'!G119</f>
        <v>0</v>
      </c>
      <c r="H119" s="537">
        <v>0</v>
      </c>
      <c r="I119" s="537">
        <v>0</v>
      </c>
      <c r="J119" s="537">
        <v>0</v>
      </c>
      <c r="L119" s="560"/>
    </row>
    <row r="120" spans="1:12" x14ac:dyDescent="0.2">
      <c r="A120" s="835">
        <v>110</v>
      </c>
      <c r="B120" s="536" t="s">
        <v>233</v>
      </c>
      <c r="C120" s="568" t="s">
        <v>234</v>
      </c>
      <c r="D120" s="537">
        <f>'[10]Углуб.дисп.Пр. 11-23 '!D120+'[10]Уточнение Пр.16-23'!D120</f>
        <v>0</v>
      </c>
      <c r="E120" s="537">
        <v>0</v>
      </c>
      <c r="F120" s="537">
        <v>0</v>
      </c>
      <c r="G120" s="537">
        <f>'[10]Углуб.дисп.Пр. 11-23 '!G120+'[10]Уточнение Пр.16-23'!G120</f>
        <v>0</v>
      </c>
      <c r="H120" s="537">
        <v>0</v>
      </c>
      <c r="I120" s="537">
        <v>0</v>
      </c>
      <c r="J120" s="537">
        <v>0</v>
      </c>
      <c r="L120" s="560"/>
    </row>
    <row r="121" spans="1:12" x14ac:dyDescent="0.2">
      <c r="A121" s="835">
        <v>111</v>
      </c>
      <c r="B121" s="536" t="s">
        <v>235</v>
      </c>
      <c r="C121" s="568" t="s">
        <v>236</v>
      </c>
      <c r="D121" s="537">
        <f>'[10]Углуб.дисп.Пр. 11-23 '!D121+'[10]Уточнение Пр.16-23'!D121</f>
        <v>0</v>
      </c>
      <c r="E121" s="537">
        <v>0</v>
      </c>
      <c r="F121" s="537">
        <v>0</v>
      </c>
      <c r="G121" s="537">
        <f>'[10]Углуб.дисп.Пр. 11-23 '!G121+'[10]Уточнение Пр.16-23'!G121</f>
        <v>0</v>
      </c>
      <c r="H121" s="537">
        <v>0</v>
      </c>
      <c r="I121" s="537">
        <v>0</v>
      </c>
      <c r="J121" s="537">
        <v>0</v>
      </c>
      <c r="L121" s="560"/>
    </row>
    <row r="122" spans="1:12" x14ac:dyDescent="0.2">
      <c r="A122" s="835">
        <v>112</v>
      </c>
      <c r="B122" s="561" t="s">
        <v>237</v>
      </c>
      <c r="C122" s="25" t="s">
        <v>238</v>
      </c>
      <c r="D122" s="537">
        <f>'[10]Углуб.дисп.Пр. 11-23 '!D122+'[10]Уточнение Пр.16-23'!D122</f>
        <v>0</v>
      </c>
      <c r="E122" s="537">
        <v>0</v>
      </c>
      <c r="F122" s="537">
        <v>0</v>
      </c>
      <c r="G122" s="537">
        <f>'[10]Углуб.дисп.Пр. 11-23 '!G122+'[10]Уточнение Пр.16-23'!G122</f>
        <v>0</v>
      </c>
      <c r="H122" s="537">
        <v>0</v>
      </c>
      <c r="I122" s="537">
        <v>0</v>
      </c>
      <c r="J122" s="537">
        <v>0</v>
      </c>
      <c r="L122" s="560"/>
    </row>
    <row r="123" spans="1:12" x14ac:dyDescent="0.2">
      <c r="A123" s="835">
        <v>113</v>
      </c>
      <c r="B123" s="562" t="s">
        <v>239</v>
      </c>
      <c r="C123" s="3" t="s">
        <v>240</v>
      </c>
      <c r="D123" s="537">
        <f>'[10]Углуб.дисп.Пр. 11-23 '!D123+'[10]Уточнение Пр.16-23'!D123</f>
        <v>0</v>
      </c>
      <c r="E123" s="537">
        <v>0</v>
      </c>
      <c r="F123" s="537">
        <v>0</v>
      </c>
      <c r="G123" s="537">
        <f>'[10]Углуб.дисп.Пр. 11-23 '!G123+'[10]Уточнение Пр.16-23'!G123</f>
        <v>0</v>
      </c>
      <c r="H123" s="537">
        <v>0</v>
      </c>
      <c r="I123" s="537">
        <v>0</v>
      </c>
      <c r="J123" s="537">
        <v>0</v>
      </c>
      <c r="L123" s="560"/>
    </row>
    <row r="124" spans="1:12" x14ac:dyDescent="0.2">
      <c r="A124" s="835">
        <v>114</v>
      </c>
      <c r="B124" s="559" t="s">
        <v>241</v>
      </c>
      <c r="C124" s="569" t="s">
        <v>242</v>
      </c>
      <c r="D124" s="537">
        <f>'[10]Углуб.дисп.Пр. 11-23 '!D124+'[10]Уточнение Пр.16-23'!D124</f>
        <v>0</v>
      </c>
      <c r="E124" s="537">
        <v>0</v>
      </c>
      <c r="F124" s="537">
        <v>0</v>
      </c>
      <c r="G124" s="537">
        <f>'[10]Углуб.дисп.Пр. 11-23 '!G124+'[10]Уточнение Пр.16-23'!G124</f>
        <v>0</v>
      </c>
      <c r="H124" s="537">
        <v>0</v>
      </c>
      <c r="I124" s="537">
        <v>0</v>
      </c>
      <c r="J124" s="537">
        <v>0</v>
      </c>
      <c r="L124" s="560"/>
    </row>
    <row r="125" spans="1:12" x14ac:dyDescent="0.2">
      <c r="A125" s="835">
        <v>115</v>
      </c>
      <c r="B125" s="562" t="s">
        <v>243</v>
      </c>
      <c r="C125" s="33" t="s">
        <v>385</v>
      </c>
      <c r="D125" s="537">
        <f>'[10]Углуб.дисп.Пр. 11-23 '!D125+'[10]Уточнение Пр.16-23'!D125</f>
        <v>0</v>
      </c>
      <c r="E125" s="537">
        <v>0</v>
      </c>
      <c r="F125" s="537">
        <v>0</v>
      </c>
      <c r="G125" s="537">
        <f>'[10]Углуб.дисп.Пр. 11-23 '!G125+'[10]Уточнение Пр.16-23'!G125</f>
        <v>0</v>
      </c>
      <c r="H125" s="537">
        <v>0</v>
      </c>
      <c r="I125" s="537">
        <v>0</v>
      </c>
      <c r="J125" s="537">
        <v>0</v>
      </c>
      <c r="L125" s="560"/>
    </row>
    <row r="126" spans="1:12" x14ac:dyDescent="0.2">
      <c r="A126" s="835">
        <v>116</v>
      </c>
      <c r="B126" s="561" t="s">
        <v>244</v>
      </c>
      <c r="C126" s="3" t="s">
        <v>325</v>
      </c>
      <c r="D126" s="537">
        <f>'[10]Углуб.дисп.Пр. 11-23 '!D126+'[10]Уточнение Пр.16-23'!D126</f>
        <v>0</v>
      </c>
      <c r="E126" s="537">
        <v>0</v>
      </c>
      <c r="F126" s="537">
        <v>0</v>
      </c>
      <c r="G126" s="537">
        <f>'[10]Углуб.дисп.Пр. 11-23 '!G126+'[10]Уточнение Пр.16-23'!G126</f>
        <v>0</v>
      </c>
      <c r="H126" s="537">
        <v>0</v>
      </c>
      <c r="I126" s="537">
        <v>0</v>
      </c>
      <c r="J126" s="537">
        <v>0</v>
      </c>
      <c r="L126" s="560"/>
    </row>
    <row r="127" spans="1:12" x14ac:dyDescent="0.2">
      <c r="A127" s="835">
        <v>117</v>
      </c>
      <c r="B127" s="561" t="s">
        <v>246</v>
      </c>
      <c r="C127" s="3" t="s">
        <v>247</v>
      </c>
      <c r="D127" s="537">
        <f>'[10]Углуб.дисп.Пр. 11-23 '!D127+'[10]Уточнение Пр.16-23'!D127</f>
        <v>0</v>
      </c>
      <c r="E127" s="537">
        <v>0</v>
      </c>
      <c r="F127" s="537">
        <v>0</v>
      </c>
      <c r="G127" s="537">
        <f>'[10]Углуб.дисп.Пр. 11-23 '!G127+'[10]Уточнение Пр.16-23'!G127</f>
        <v>0</v>
      </c>
      <c r="H127" s="537">
        <v>0</v>
      </c>
      <c r="I127" s="537">
        <v>0</v>
      </c>
      <c r="J127" s="537">
        <v>0</v>
      </c>
      <c r="L127" s="560"/>
    </row>
    <row r="128" spans="1:12" x14ac:dyDescent="0.2">
      <c r="A128" s="835">
        <v>118</v>
      </c>
      <c r="B128" s="561" t="s">
        <v>248</v>
      </c>
      <c r="C128" s="3" t="s">
        <v>249</v>
      </c>
      <c r="D128" s="537">
        <f>'[10]Углуб.дисп.Пр. 11-23 '!D128+'[10]Уточнение Пр.16-23'!D128</f>
        <v>0</v>
      </c>
      <c r="E128" s="537">
        <v>0</v>
      </c>
      <c r="F128" s="537">
        <v>0</v>
      </c>
      <c r="G128" s="537">
        <f>'[10]Углуб.дисп.Пр. 11-23 '!G128+'[10]Уточнение Пр.16-23'!G128</f>
        <v>0</v>
      </c>
      <c r="H128" s="537">
        <v>0</v>
      </c>
      <c r="I128" s="537">
        <v>0</v>
      </c>
      <c r="J128" s="537">
        <v>0</v>
      </c>
      <c r="L128" s="560"/>
    </row>
    <row r="129" spans="1:12" x14ac:dyDescent="0.2">
      <c r="A129" s="835">
        <v>119</v>
      </c>
      <c r="B129" s="559" t="s">
        <v>250</v>
      </c>
      <c r="C129" s="25" t="s">
        <v>251</v>
      </c>
      <c r="D129" s="537">
        <f>'[10]Углуб.дисп.Пр. 11-23 '!D129+'[10]Уточнение Пр.16-23'!D129</f>
        <v>0</v>
      </c>
      <c r="E129" s="537">
        <v>0</v>
      </c>
      <c r="F129" s="537">
        <v>0</v>
      </c>
      <c r="G129" s="537">
        <f>'[10]Углуб.дисп.Пр. 11-23 '!G129+'[10]Уточнение Пр.16-23'!G129</f>
        <v>0</v>
      </c>
      <c r="H129" s="537">
        <v>0</v>
      </c>
      <c r="I129" s="537">
        <v>0</v>
      </c>
      <c r="J129" s="537">
        <v>0</v>
      </c>
      <c r="L129" s="560"/>
    </row>
    <row r="130" spans="1:12" x14ac:dyDescent="0.2">
      <c r="A130" s="835">
        <v>120</v>
      </c>
      <c r="B130" s="561" t="s">
        <v>252</v>
      </c>
      <c r="C130" s="25" t="s">
        <v>253</v>
      </c>
      <c r="D130" s="537">
        <f>'[10]Углуб.дисп.Пр. 11-23 '!D130+'[10]Уточнение Пр.16-23'!D130</f>
        <v>0</v>
      </c>
      <c r="E130" s="537">
        <v>0</v>
      </c>
      <c r="F130" s="537">
        <v>0</v>
      </c>
      <c r="G130" s="537">
        <f>'[10]Углуб.дисп.Пр. 11-23 '!G130+'[10]Уточнение Пр.16-23'!G130</f>
        <v>0</v>
      </c>
      <c r="H130" s="537">
        <v>0</v>
      </c>
      <c r="I130" s="537">
        <v>0</v>
      </c>
      <c r="J130" s="537">
        <v>0</v>
      </c>
      <c r="L130" s="560"/>
    </row>
    <row r="131" spans="1:12" x14ac:dyDescent="0.2">
      <c r="A131" s="835">
        <v>121</v>
      </c>
      <c r="B131" s="562" t="s">
        <v>254</v>
      </c>
      <c r="C131" s="3" t="s">
        <v>255</v>
      </c>
      <c r="D131" s="537">
        <f>'[10]Углуб.дисп.Пр. 11-23 '!D131+'[10]Уточнение Пр.16-23'!D131</f>
        <v>0</v>
      </c>
      <c r="E131" s="537">
        <v>0</v>
      </c>
      <c r="F131" s="537">
        <v>0</v>
      </c>
      <c r="G131" s="537">
        <f>'[10]Углуб.дисп.Пр. 11-23 '!G131+'[10]Уточнение Пр.16-23'!G131</f>
        <v>0</v>
      </c>
      <c r="H131" s="537">
        <v>0</v>
      </c>
      <c r="I131" s="537">
        <v>0</v>
      </c>
      <c r="J131" s="537">
        <v>0</v>
      </c>
      <c r="L131" s="560"/>
    </row>
    <row r="132" spans="1:12" x14ac:dyDescent="0.2">
      <c r="A132" s="835">
        <v>122</v>
      </c>
      <c r="B132" s="562" t="s">
        <v>256</v>
      </c>
      <c r="C132" s="3" t="s">
        <v>257</v>
      </c>
      <c r="D132" s="537">
        <f>'[10]Углуб.дисп.Пр. 11-23 '!D132+'[10]Уточнение Пр.16-23'!D132</f>
        <v>0</v>
      </c>
      <c r="E132" s="537">
        <v>0</v>
      </c>
      <c r="F132" s="537">
        <v>0</v>
      </c>
      <c r="G132" s="537">
        <f>'[10]Углуб.дисп.Пр. 11-23 '!G132+'[10]Уточнение Пр.16-23'!G132</f>
        <v>0</v>
      </c>
      <c r="H132" s="537">
        <v>0</v>
      </c>
      <c r="I132" s="537">
        <v>0</v>
      </c>
      <c r="J132" s="537">
        <v>0</v>
      </c>
      <c r="L132" s="560"/>
    </row>
    <row r="133" spans="1:12" x14ac:dyDescent="0.2">
      <c r="A133" s="835">
        <v>123</v>
      </c>
      <c r="B133" s="562" t="s">
        <v>258</v>
      </c>
      <c r="C133" s="3" t="s">
        <v>259</v>
      </c>
      <c r="D133" s="537">
        <f>'[10]Углуб.дисп.Пр. 11-23 '!D133+'[10]Уточнение Пр.16-23'!D133</f>
        <v>0</v>
      </c>
      <c r="E133" s="537">
        <v>0</v>
      </c>
      <c r="F133" s="537">
        <v>0</v>
      </c>
      <c r="G133" s="537">
        <f>'[10]Углуб.дисп.Пр. 11-23 '!G133+'[10]Уточнение Пр.16-23'!G133</f>
        <v>0</v>
      </c>
      <c r="H133" s="537">
        <v>0</v>
      </c>
      <c r="I133" s="537">
        <v>0</v>
      </c>
      <c r="J133" s="537">
        <v>0</v>
      </c>
      <c r="L133" s="560"/>
    </row>
    <row r="134" spans="1:12" x14ac:dyDescent="0.2">
      <c r="A134" s="835">
        <v>124</v>
      </c>
      <c r="B134" s="562" t="s">
        <v>260</v>
      </c>
      <c r="C134" s="3" t="s">
        <v>261</v>
      </c>
      <c r="D134" s="537">
        <f>'[10]Углуб.дисп.Пр. 11-23 '!D134+'[10]Уточнение Пр.16-23'!D134</f>
        <v>0</v>
      </c>
      <c r="E134" s="537">
        <v>0</v>
      </c>
      <c r="F134" s="537">
        <v>0</v>
      </c>
      <c r="G134" s="537">
        <f>'[10]Углуб.дисп.Пр. 11-23 '!G134+'[10]Уточнение Пр.16-23'!G134</f>
        <v>0</v>
      </c>
      <c r="H134" s="537">
        <v>0</v>
      </c>
      <c r="I134" s="537">
        <v>0</v>
      </c>
      <c r="J134" s="537">
        <v>0</v>
      </c>
      <c r="L134" s="560"/>
    </row>
    <row r="135" spans="1:12" x14ac:dyDescent="0.2">
      <c r="A135" s="835">
        <v>125</v>
      </c>
      <c r="B135" s="562" t="s">
        <v>262</v>
      </c>
      <c r="C135" s="3" t="s">
        <v>263</v>
      </c>
      <c r="D135" s="537">
        <f>'[10]Углуб.дисп.Пр. 11-23 '!D135+'[10]Уточнение Пр.16-23'!D135</f>
        <v>0</v>
      </c>
      <c r="E135" s="537">
        <v>0</v>
      </c>
      <c r="F135" s="537">
        <v>0</v>
      </c>
      <c r="G135" s="537">
        <f>'[10]Углуб.дисп.Пр. 11-23 '!G135+'[10]Уточнение Пр.16-23'!G135</f>
        <v>0</v>
      </c>
      <c r="H135" s="537">
        <v>0</v>
      </c>
      <c r="I135" s="537">
        <v>0</v>
      </c>
      <c r="J135" s="537">
        <v>0</v>
      </c>
      <c r="L135" s="560"/>
    </row>
    <row r="136" spans="1:12" x14ac:dyDescent="0.2">
      <c r="A136" s="835">
        <v>126</v>
      </c>
      <c r="B136" s="559" t="s">
        <v>264</v>
      </c>
      <c r="C136" s="25" t="s">
        <v>265</v>
      </c>
      <c r="D136" s="537">
        <f>'[10]Углуб.дисп.Пр. 11-23 '!D136+'[10]Уточнение Пр.16-23'!D136</f>
        <v>0</v>
      </c>
      <c r="E136" s="537">
        <v>0</v>
      </c>
      <c r="F136" s="537">
        <v>0</v>
      </c>
      <c r="G136" s="537">
        <f>'[10]Углуб.дисп.Пр. 11-23 '!G136+'[10]Уточнение Пр.16-23'!G136</f>
        <v>0</v>
      </c>
      <c r="H136" s="537">
        <v>0</v>
      </c>
      <c r="I136" s="537">
        <v>0</v>
      </c>
      <c r="J136" s="537">
        <v>0</v>
      </c>
      <c r="L136" s="560"/>
    </row>
    <row r="137" spans="1:12" x14ac:dyDescent="0.2">
      <c r="A137" s="835">
        <v>127</v>
      </c>
      <c r="B137" s="559" t="s">
        <v>266</v>
      </c>
      <c r="C137" s="3" t="s">
        <v>267</v>
      </c>
      <c r="D137" s="537">
        <f>'[10]Углуб.дисп.Пр. 11-23 '!D137+'[10]Уточнение Пр.16-23'!D137</f>
        <v>0</v>
      </c>
      <c r="E137" s="537">
        <v>0</v>
      </c>
      <c r="F137" s="537">
        <v>0</v>
      </c>
      <c r="G137" s="537">
        <f>'[10]Углуб.дисп.Пр. 11-23 '!G137+'[10]Уточнение Пр.16-23'!G137</f>
        <v>0</v>
      </c>
      <c r="H137" s="537">
        <v>0</v>
      </c>
      <c r="I137" s="537">
        <v>0</v>
      </c>
      <c r="J137" s="537">
        <v>0</v>
      </c>
      <c r="L137" s="560"/>
    </row>
    <row r="138" spans="1:12" x14ac:dyDescent="0.2">
      <c r="A138" s="835">
        <v>128</v>
      </c>
      <c r="B138" s="563" t="s">
        <v>268</v>
      </c>
      <c r="C138" s="292" t="s">
        <v>269</v>
      </c>
      <c r="D138" s="537">
        <f>'[10]Углуб.дисп.Пр. 11-23 '!D138+'[10]Уточнение Пр.16-23'!D138</f>
        <v>0</v>
      </c>
      <c r="E138" s="537">
        <v>0</v>
      </c>
      <c r="F138" s="537">
        <v>0</v>
      </c>
      <c r="G138" s="537">
        <f>'[10]Углуб.дисп.Пр. 11-23 '!G138+'[10]Уточнение Пр.16-23'!G138</f>
        <v>0</v>
      </c>
      <c r="H138" s="537">
        <v>0</v>
      </c>
      <c r="I138" s="537">
        <v>0</v>
      </c>
      <c r="J138" s="537">
        <v>0</v>
      </c>
      <c r="L138" s="560"/>
    </row>
    <row r="139" spans="1:12" x14ac:dyDescent="0.2">
      <c r="A139" s="835">
        <v>129</v>
      </c>
      <c r="B139" s="562" t="s">
        <v>270</v>
      </c>
      <c r="C139" s="3" t="s">
        <v>271</v>
      </c>
      <c r="D139" s="537">
        <f>'[10]Углуб.дисп.Пр. 11-23 '!D139+'[10]Уточнение Пр.16-23'!D139</f>
        <v>0</v>
      </c>
      <c r="E139" s="537">
        <v>0</v>
      </c>
      <c r="F139" s="537">
        <v>0</v>
      </c>
      <c r="G139" s="537">
        <f>'[10]Углуб.дисп.Пр. 11-23 '!G139+'[10]Уточнение Пр.16-23'!G139</f>
        <v>0</v>
      </c>
      <c r="H139" s="537">
        <v>0</v>
      </c>
      <c r="I139" s="537">
        <v>0</v>
      </c>
      <c r="J139" s="537">
        <v>0</v>
      </c>
      <c r="L139" s="560"/>
    </row>
    <row r="140" spans="1:12" x14ac:dyDescent="0.2">
      <c r="A140" s="835">
        <v>130</v>
      </c>
      <c r="B140" s="562" t="s">
        <v>272</v>
      </c>
      <c r="C140" s="3" t="s">
        <v>273</v>
      </c>
      <c r="D140" s="537">
        <f>'[10]Углуб.дисп.Пр. 11-23 '!D140+'[10]Уточнение Пр.16-23'!D140</f>
        <v>0</v>
      </c>
      <c r="E140" s="537">
        <v>0</v>
      </c>
      <c r="F140" s="537">
        <v>0</v>
      </c>
      <c r="G140" s="537">
        <f>'[10]Углуб.дисп.Пр. 11-23 '!G140+'[10]Уточнение Пр.16-23'!G140</f>
        <v>0</v>
      </c>
      <c r="H140" s="537">
        <v>0</v>
      </c>
      <c r="I140" s="537">
        <v>0</v>
      </c>
      <c r="J140" s="537">
        <v>0</v>
      </c>
      <c r="L140" s="560"/>
    </row>
    <row r="141" spans="1:12" x14ac:dyDescent="0.2">
      <c r="A141" s="835">
        <v>131</v>
      </c>
      <c r="B141" s="562" t="s">
        <v>274</v>
      </c>
      <c r="C141" s="3" t="s">
        <v>275</v>
      </c>
      <c r="D141" s="537">
        <f>'[10]Углуб.дисп.Пр. 11-23 '!D141+'[10]Уточнение Пр.16-23'!D141</f>
        <v>0</v>
      </c>
      <c r="E141" s="537">
        <v>0</v>
      </c>
      <c r="F141" s="537">
        <v>0</v>
      </c>
      <c r="G141" s="537">
        <f>'[10]Углуб.дисп.Пр. 11-23 '!G141+'[10]Уточнение Пр.16-23'!G141</f>
        <v>0</v>
      </c>
      <c r="H141" s="537">
        <v>0</v>
      </c>
      <c r="I141" s="537">
        <v>0</v>
      </c>
      <c r="J141" s="537">
        <v>0</v>
      </c>
      <c r="L141" s="560"/>
    </row>
    <row r="142" spans="1:12" x14ac:dyDescent="0.2">
      <c r="A142" s="835">
        <v>132</v>
      </c>
      <c r="B142" s="563" t="s">
        <v>276</v>
      </c>
      <c r="C142" s="292" t="s">
        <v>277</v>
      </c>
      <c r="D142" s="537">
        <f>'[10]Углуб.дисп.Пр. 11-23 '!D142+'[10]Уточнение Пр.16-23'!D142</f>
        <v>11210</v>
      </c>
      <c r="E142" s="537">
        <v>3022</v>
      </c>
      <c r="F142" s="537">
        <v>3022</v>
      </c>
      <c r="G142" s="537">
        <f>'[10]Углуб.дисп.Пр. 11-23 '!G142+'[10]Уточнение Пр.16-23'!G142</f>
        <v>906</v>
      </c>
      <c r="H142" s="537">
        <v>302</v>
      </c>
      <c r="I142" s="537">
        <v>302</v>
      </c>
      <c r="J142" s="537">
        <v>302</v>
      </c>
      <c r="L142" s="560"/>
    </row>
    <row r="143" spans="1:12" x14ac:dyDescent="0.2">
      <c r="A143" s="835">
        <v>133</v>
      </c>
      <c r="B143" s="561" t="s">
        <v>278</v>
      </c>
      <c r="C143" s="292" t="s">
        <v>279</v>
      </c>
      <c r="D143" s="537">
        <f>'[10]Углуб.дисп.Пр. 11-23 '!D143+'[10]Уточнение Пр.16-23'!D143</f>
        <v>12461</v>
      </c>
      <c r="E143" s="537">
        <v>4290</v>
      </c>
      <c r="F143" s="537">
        <v>4290</v>
      </c>
      <c r="G143" s="537">
        <f>'[10]Углуб.дисп.Пр. 11-23 '!G143+'[10]Уточнение Пр.16-23'!G143</f>
        <v>1095</v>
      </c>
      <c r="H143" s="537">
        <v>429</v>
      </c>
      <c r="I143" s="537">
        <v>429</v>
      </c>
      <c r="J143" s="537">
        <v>429</v>
      </c>
      <c r="L143" s="560"/>
    </row>
    <row r="144" spans="1:12" x14ac:dyDescent="0.2">
      <c r="A144" s="835">
        <v>134</v>
      </c>
      <c r="B144" s="562" t="s">
        <v>280</v>
      </c>
      <c r="C144" s="3" t="s">
        <v>281</v>
      </c>
      <c r="D144" s="537">
        <f>'[10]Углуб.дисп.Пр. 11-23 '!D144+'[10]Уточнение Пр.16-23'!D144</f>
        <v>0</v>
      </c>
      <c r="E144" s="537">
        <v>0</v>
      </c>
      <c r="F144" s="537">
        <v>0</v>
      </c>
      <c r="G144" s="537">
        <f>'[10]Углуб.дисп.Пр. 11-23 '!G144+'[10]Уточнение Пр.16-23'!G144</f>
        <v>0</v>
      </c>
      <c r="H144" s="537">
        <v>0</v>
      </c>
      <c r="I144" s="537">
        <v>0</v>
      </c>
      <c r="J144" s="537">
        <v>0</v>
      </c>
      <c r="L144" s="560"/>
    </row>
    <row r="145" spans="1:14" x14ac:dyDescent="0.2">
      <c r="A145" s="835">
        <v>135</v>
      </c>
      <c r="B145" s="559" t="s">
        <v>282</v>
      </c>
      <c r="C145" s="25" t="s">
        <v>283</v>
      </c>
      <c r="D145" s="537">
        <f>'[10]Углуб.дисп.Пр. 11-23 '!D145+'[10]Уточнение Пр.16-23'!D145</f>
        <v>0</v>
      </c>
      <c r="E145" s="537">
        <v>0</v>
      </c>
      <c r="F145" s="537">
        <v>0</v>
      </c>
      <c r="G145" s="537">
        <f>'[10]Углуб.дисп.Пр. 11-23 '!G145+'[10]Уточнение Пр.16-23'!G145</f>
        <v>0</v>
      </c>
      <c r="H145" s="537">
        <v>0</v>
      </c>
      <c r="I145" s="537">
        <v>0</v>
      </c>
      <c r="J145" s="537">
        <v>0</v>
      </c>
      <c r="L145" s="560"/>
    </row>
    <row r="146" spans="1:14" x14ac:dyDescent="0.2">
      <c r="A146" s="835">
        <v>136</v>
      </c>
      <c r="B146" s="562" t="s">
        <v>284</v>
      </c>
      <c r="C146" s="3" t="s">
        <v>285</v>
      </c>
      <c r="D146" s="537">
        <f>'[10]Углуб.дисп.Пр. 11-23 '!D146+'[10]Уточнение Пр.16-23'!D146</f>
        <v>0</v>
      </c>
      <c r="E146" s="537">
        <v>0</v>
      </c>
      <c r="F146" s="537">
        <v>0</v>
      </c>
      <c r="G146" s="537">
        <f>'[10]Углуб.дисп.Пр. 11-23 '!G146+'[10]Уточнение Пр.16-23'!G146</f>
        <v>0</v>
      </c>
      <c r="H146" s="537">
        <v>0</v>
      </c>
      <c r="I146" s="537">
        <v>0</v>
      </c>
      <c r="J146" s="537">
        <v>0</v>
      </c>
      <c r="L146" s="560"/>
    </row>
    <row r="147" spans="1:14" x14ac:dyDescent="0.2">
      <c r="A147" s="835">
        <v>137</v>
      </c>
      <c r="B147" s="34" t="s">
        <v>387</v>
      </c>
      <c r="C147" s="35" t="s">
        <v>388</v>
      </c>
      <c r="D147" s="537">
        <f>'[10]Углуб.дисп.Пр. 11-23 '!D147+'[10]Уточнение Пр.16-23'!D147</f>
        <v>0</v>
      </c>
      <c r="E147" s="537">
        <v>0</v>
      </c>
      <c r="F147" s="537">
        <v>0</v>
      </c>
      <c r="G147" s="537">
        <f>'[10]Углуб.дисп.Пр. 11-23 '!G147+'[10]Уточнение Пр.16-23'!G147</f>
        <v>0</v>
      </c>
      <c r="H147" s="537">
        <v>0</v>
      </c>
      <c r="I147" s="537">
        <v>0</v>
      </c>
      <c r="J147" s="537">
        <v>0</v>
      </c>
      <c r="L147" s="560"/>
    </row>
    <row r="148" spans="1:14" x14ac:dyDescent="0.2">
      <c r="A148" s="835">
        <v>138</v>
      </c>
      <c r="B148" s="36" t="s">
        <v>389</v>
      </c>
      <c r="C148" s="37" t="s">
        <v>390</v>
      </c>
      <c r="D148" s="537">
        <f>'[10]Углуб.дисп.Пр. 11-23 '!D148+'[10]Уточнение Пр.16-23'!D148</f>
        <v>0</v>
      </c>
      <c r="E148" s="537">
        <v>0</v>
      </c>
      <c r="F148" s="537">
        <v>0</v>
      </c>
      <c r="G148" s="537">
        <f>'[10]Углуб.дисп.Пр. 11-23 '!G148+'[10]Уточнение Пр.16-23'!G148</f>
        <v>0</v>
      </c>
      <c r="H148" s="537">
        <v>0</v>
      </c>
      <c r="I148" s="537">
        <v>0</v>
      </c>
      <c r="J148" s="537">
        <v>0</v>
      </c>
      <c r="L148" s="560"/>
    </row>
    <row r="149" spans="1:14" x14ac:dyDescent="0.2">
      <c r="A149" s="835">
        <v>139</v>
      </c>
      <c r="B149" s="38" t="s">
        <v>391</v>
      </c>
      <c r="C149" s="39" t="s">
        <v>392</v>
      </c>
      <c r="D149" s="537">
        <f>'[10]Углуб.дисп.Пр. 11-23 '!D149+'[10]Уточнение Пр.16-23'!D149</f>
        <v>0</v>
      </c>
      <c r="E149" s="537">
        <v>0</v>
      </c>
      <c r="F149" s="537">
        <v>0</v>
      </c>
      <c r="G149" s="537">
        <f>'[10]Углуб.дисп.Пр. 11-23 '!G149+'[10]Уточнение Пр.16-23'!G149</f>
        <v>0</v>
      </c>
      <c r="H149" s="537">
        <v>0</v>
      </c>
      <c r="I149" s="537">
        <v>0</v>
      </c>
      <c r="J149" s="537">
        <v>0</v>
      </c>
      <c r="L149" s="560"/>
    </row>
    <row r="150" spans="1:14" x14ac:dyDescent="0.2">
      <c r="A150" s="835">
        <v>140</v>
      </c>
      <c r="B150" s="835" t="s">
        <v>393</v>
      </c>
      <c r="C150" s="43" t="s">
        <v>394</v>
      </c>
      <c r="D150" s="537">
        <f>'[10]Углуб.дисп.Пр. 11-23 '!D150+'[10]Уточнение Пр.16-23'!D150</f>
        <v>0</v>
      </c>
      <c r="E150" s="537">
        <v>0</v>
      </c>
      <c r="F150" s="537">
        <v>0</v>
      </c>
      <c r="G150" s="537">
        <f>'[10]Углуб.дисп.Пр. 11-23 '!G150+'[10]Уточнение Пр.16-23'!G150</f>
        <v>0</v>
      </c>
      <c r="H150" s="537">
        <v>0</v>
      </c>
      <c r="I150" s="537">
        <v>0</v>
      </c>
      <c r="J150" s="537">
        <v>0</v>
      </c>
      <c r="L150" s="560"/>
    </row>
    <row r="151" spans="1:14" ht="12" customHeight="1" x14ac:dyDescent="0.2"/>
    <row r="153" spans="1:14" ht="48.75" customHeight="1" x14ac:dyDescent="0.2">
      <c r="A153" s="1172" t="s">
        <v>384</v>
      </c>
      <c r="B153" s="1172"/>
      <c r="C153" s="1172"/>
      <c r="D153" s="1172"/>
      <c r="E153" s="1172"/>
      <c r="F153" s="1172"/>
      <c r="G153" s="1172"/>
      <c r="H153" s="1172"/>
      <c r="I153" s="1172"/>
      <c r="J153" s="1172"/>
      <c r="K153" s="570"/>
      <c r="L153" s="570"/>
      <c r="M153" s="570"/>
      <c r="N153" s="570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0"/>
  <sheetViews>
    <sheetView zoomScaleNormal="100" zoomScaleSheetLayoutView="90" workbookViewId="0">
      <selection activeCell="J18" sqref="J18"/>
    </sheetView>
  </sheetViews>
  <sheetFormatPr defaultRowHeight="12.75" x14ac:dyDescent="0.2"/>
  <cols>
    <col min="1" max="1" width="5.28515625" style="739" customWidth="1"/>
    <col min="2" max="2" width="10.42578125" style="740" customWidth="1"/>
    <col min="3" max="3" width="37.28515625" style="741" customWidth="1"/>
    <col min="4" max="4" width="10" style="741" customWidth="1"/>
    <col min="5" max="5" width="18.28515625" style="741" customWidth="1"/>
    <col min="6" max="6" width="13.85546875" style="741" customWidth="1"/>
    <col min="7" max="7" width="9.140625" style="741" customWidth="1"/>
    <col min="8" max="8" width="17.140625" style="741" customWidth="1"/>
    <col min="9" max="9" width="12.42578125" style="741" customWidth="1"/>
    <col min="10" max="10" width="9.5703125" style="741" customWidth="1"/>
    <col min="11" max="11" width="16.85546875" style="741" customWidth="1"/>
    <col min="12" max="12" width="13" style="741" customWidth="1"/>
    <col min="13" max="16384" width="9.140625" style="741"/>
  </cols>
  <sheetData>
    <row r="1" spans="1:13" ht="18.75" x14ac:dyDescent="0.3">
      <c r="C1" s="1195" t="s">
        <v>291</v>
      </c>
      <c r="D1" s="1195"/>
      <c r="E1" s="1195"/>
      <c r="F1" s="1195"/>
      <c r="G1" s="1195"/>
      <c r="H1" s="1195"/>
      <c r="I1" s="1195"/>
      <c r="J1" s="1195"/>
      <c r="K1" s="1195"/>
      <c r="L1" s="1195"/>
    </row>
    <row r="3" spans="1:13" x14ac:dyDescent="0.2">
      <c r="A3" s="1192" t="s">
        <v>0</v>
      </c>
      <c r="B3" s="1192" t="s">
        <v>1</v>
      </c>
      <c r="C3" s="1192" t="s">
        <v>292</v>
      </c>
      <c r="D3" s="1192" t="s">
        <v>337</v>
      </c>
      <c r="E3" s="1192" t="s">
        <v>293</v>
      </c>
      <c r="F3" s="1192"/>
      <c r="G3" s="1196" t="s">
        <v>294</v>
      </c>
      <c r="H3" s="1197"/>
      <c r="I3" s="1197"/>
      <c r="J3" s="1197"/>
      <c r="K3" s="1197"/>
      <c r="L3" s="1198"/>
    </row>
    <row r="4" spans="1:13" ht="12.75" customHeight="1" x14ac:dyDescent="0.2">
      <c r="A4" s="1192"/>
      <c r="B4" s="1192"/>
      <c r="C4" s="1192"/>
      <c r="D4" s="1192"/>
      <c r="E4" s="1192"/>
      <c r="F4" s="1192"/>
      <c r="G4" s="1199" t="s">
        <v>295</v>
      </c>
      <c r="H4" s="1200"/>
      <c r="I4" s="1201"/>
      <c r="J4" s="1199" t="s">
        <v>296</v>
      </c>
      <c r="K4" s="1200"/>
      <c r="L4" s="1201"/>
    </row>
    <row r="5" spans="1:13" ht="12.75" customHeight="1" x14ac:dyDescent="0.2">
      <c r="A5" s="1192"/>
      <c r="B5" s="1192"/>
      <c r="C5" s="1192"/>
      <c r="D5" s="1192"/>
      <c r="E5" s="1192" t="s">
        <v>335</v>
      </c>
      <c r="F5" s="1192" t="s">
        <v>336</v>
      </c>
      <c r="G5" s="1193" t="s">
        <v>338</v>
      </c>
      <c r="H5" s="1192" t="s">
        <v>335</v>
      </c>
      <c r="I5" s="1192" t="s">
        <v>336</v>
      </c>
      <c r="J5" s="1193" t="s">
        <v>338</v>
      </c>
      <c r="K5" s="1192" t="s">
        <v>335</v>
      </c>
      <c r="L5" s="1192" t="s">
        <v>336</v>
      </c>
    </row>
    <row r="6" spans="1:13" ht="39.75" customHeight="1" x14ac:dyDescent="0.2">
      <c r="A6" s="1192"/>
      <c r="B6" s="1192"/>
      <c r="C6" s="1192"/>
      <c r="D6" s="1192"/>
      <c r="E6" s="1192"/>
      <c r="F6" s="1192"/>
      <c r="G6" s="1194"/>
      <c r="H6" s="1192"/>
      <c r="I6" s="1192"/>
      <c r="J6" s="1194"/>
      <c r="K6" s="1192"/>
      <c r="L6" s="1192"/>
    </row>
    <row r="7" spans="1:13" s="745" customFormat="1" ht="11.25" x14ac:dyDescent="0.2">
      <c r="A7" s="742">
        <v>1</v>
      </c>
      <c r="B7" s="743">
        <v>2</v>
      </c>
      <c r="C7" s="744">
        <v>3</v>
      </c>
      <c r="D7" s="742">
        <v>4</v>
      </c>
      <c r="E7" s="742">
        <v>5</v>
      </c>
      <c r="F7" s="742">
        <v>6</v>
      </c>
      <c r="G7" s="742">
        <v>7</v>
      </c>
      <c r="H7" s="742">
        <v>8</v>
      </c>
      <c r="I7" s="742">
        <v>9</v>
      </c>
      <c r="J7" s="742">
        <v>10</v>
      </c>
      <c r="K7" s="742">
        <v>11</v>
      </c>
      <c r="L7" s="742">
        <v>12</v>
      </c>
    </row>
    <row r="8" spans="1:13" s="745" customFormat="1" ht="19.5" customHeight="1" x14ac:dyDescent="0.2">
      <c r="A8" s="1191" t="s">
        <v>308</v>
      </c>
      <c r="B8" s="1191"/>
      <c r="C8" s="1191"/>
      <c r="D8" s="746">
        <f>E8+F8</f>
        <v>234970</v>
      </c>
      <c r="E8" s="746">
        <f>SUM(E9:E28)</f>
        <v>187978</v>
      </c>
      <c r="F8" s="746">
        <f>SUM(F9:F28)</f>
        <v>46992</v>
      </c>
      <c r="G8" s="746">
        <f>H8+I8</f>
        <v>181343</v>
      </c>
      <c r="H8" s="746">
        <f>SUM(H9:H28)</f>
        <v>145075</v>
      </c>
      <c r="I8" s="746">
        <f>SUM(I9:I28)</f>
        <v>36268</v>
      </c>
      <c r="J8" s="746">
        <f>K8+L8</f>
        <v>53627</v>
      </c>
      <c r="K8" s="746">
        <f t="shared" ref="K8:L8" si="0">SUM(K9:K28)</f>
        <v>42903</v>
      </c>
      <c r="L8" s="746">
        <f t="shared" si="0"/>
        <v>10724</v>
      </c>
    </row>
    <row r="9" spans="1:13" x14ac:dyDescent="0.2">
      <c r="A9" s="747">
        <v>1</v>
      </c>
      <c r="B9" s="748" t="s">
        <v>50</v>
      </c>
      <c r="C9" s="749" t="s">
        <v>51</v>
      </c>
      <c r="D9" s="738">
        <f>E9+F9</f>
        <v>14260</v>
      </c>
      <c r="E9" s="738">
        <f>H9+K9</f>
        <v>11408</v>
      </c>
      <c r="F9" s="738">
        <f>I9+L9</f>
        <v>2852</v>
      </c>
      <c r="G9" s="738">
        <f>H9+I9</f>
        <v>10694</v>
      </c>
      <c r="H9" s="738">
        <v>8555</v>
      </c>
      <c r="I9" s="738">
        <v>2139</v>
      </c>
      <c r="J9" s="738">
        <f>K9+L9</f>
        <v>3566</v>
      </c>
      <c r="K9" s="738">
        <v>2853</v>
      </c>
      <c r="L9" s="738">
        <v>713</v>
      </c>
      <c r="M9" s="750"/>
    </row>
    <row r="10" spans="1:13" x14ac:dyDescent="0.2">
      <c r="A10" s="747">
        <v>2</v>
      </c>
      <c r="B10" s="748" t="s">
        <v>20</v>
      </c>
      <c r="C10" s="749" t="s">
        <v>21</v>
      </c>
      <c r="D10" s="738">
        <f t="shared" ref="D10:D27" si="1">E10+F10</f>
        <v>9291</v>
      </c>
      <c r="E10" s="738">
        <f t="shared" ref="E10:F27" si="2">H10+K10</f>
        <v>7433</v>
      </c>
      <c r="F10" s="738">
        <f t="shared" si="2"/>
        <v>1858</v>
      </c>
      <c r="G10" s="738">
        <f t="shared" ref="G10:G28" si="3">H10+I10</f>
        <v>7255</v>
      </c>
      <c r="H10" s="738">
        <v>5804</v>
      </c>
      <c r="I10" s="738">
        <v>1451</v>
      </c>
      <c r="J10" s="738">
        <f t="shared" ref="J10:J28" si="4">K10+L10</f>
        <v>2036</v>
      </c>
      <c r="K10" s="738">
        <v>1629</v>
      </c>
      <c r="L10" s="738">
        <v>407</v>
      </c>
      <c r="M10" s="750"/>
    </row>
    <row r="11" spans="1:13" x14ac:dyDescent="0.2">
      <c r="A11" s="747">
        <v>3</v>
      </c>
      <c r="B11" s="748" t="s">
        <v>77</v>
      </c>
      <c r="C11" s="749" t="s">
        <v>78</v>
      </c>
      <c r="D11" s="738">
        <f t="shared" si="1"/>
        <v>8004</v>
      </c>
      <c r="E11" s="738">
        <f t="shared" si="2"/>
        <v>6403</v>
      </c>
      <c r="F11" s="738">
        <f t="shared" si="2"/>
        <v>1601</v>
      </c>
      <c r="G11" s="738">
        <f t="shared" si="3"/>
        <v>6264</v>
      </c>
      <c r="H11" s="738">
        <v>5011</v>
      </c>
      <c r="I11" s="738">
        <v>1253</v>
      </c>
      <c r="J11" s="738">
        <f t="shared" si="4"/>
        <v>1740</v>
      </c>
      <c r="K11" s="738">
        <v>1392</v>
      </c>
      <c r="L11" s="738">
        <v>348</v>
      </c>
      <c r="M11" s="750"/>
    </row>
    <row r="12" spans="1:13" x14ac:dyDescent="0.2">
      <c r="A12" s="747">
        <v>4</v>
      </c>
      <c r="B12" s="748" t="s">
        <v>207</v>
      </c>
      <c r="C12" s="749" t="s">
        <v>208</v>
      </c>
      <c r="D12" s="738">
        <f t="shared" si="1"/>
        <v>6291</v>
      </c>
      <c r="E12" s="738">
        <f t="shared" si="2"/>
        <v>5033</v>
      </c>
      <c r="F12" s="738">
        <f t="shared" si="2"/>
        <v>1258</v>
      </c>
      <c r="G12" s="738">
        <f t="shared" si="3"/>
        <v>4779</v>
      </c>
      <c r="H12" s="738">
        <v>3823</v>
      </c>
      <c r="I12" s="738">
        <v>956</v>
      </c>
      <c r="J12" s="738">
        <f t="shared" si="4"/>
        <v>1512</v>
      </c>
      <c r="K12" s="738">
        <v>1210</v>
      </c>
      <c r="L12" s="738">
        <v>302</v>
      </c>
      <c r="M12" s="750"/>
    </row>
    <row r="13" spans="1:13" x14ac:dyDescent="0.2">
      <c r="A13" s="747">
        <v>5</v>
      </c>
      <c r="B13" s="748" t="s">
        <v>26</v>
      </c>
      <c r="C13" s="749" t="s">
        <v>27</v>
      </c>
      <c r="D13" s="738">
        <f t="shared" si="1"/>
        <v>16096</v>
      </c>
      <c r="E13" s="738">
        <f t="shared" si="2"/>
        <v>12876</v>
      </c>
      <c r="F13" s="738">
        <f t="shared" si="2"/>
        <v>3220</v>
      </c>
      <c r="G13" s="738">
        <f t="shared" si="3"/>
        <v>12378</v>
      </c>
      <c r="H13" s="738">
        <v>9902</v>
      </c>
      <c r="I13" s="738">
        <v>2476</v>
      </c>
      <c r="J13" s="738">
        <f t="shared" si="4"/>
        <v>3718</v>
      </c>
      <c r="K13" s="738">
        <v>2974</v>
      </c>
      <c r="L13" s="738">
        <v>744</v>
      </c>
      <c r="M13" s="750"/>
    </row>
    <row r="14" spans="1:13" x14ac:dyDescent="0.2">
      <c r="A14" s="747">
        <v>6</v>
      </c>
      <c r="B14" s="748" t="s">
        <v>58</v>
      </c>
      <c r="C14" s="749" t="s">
        <v>59</v>
      </c>
      <c r="D14" s="738">
        <f t="shared" si="1"/>
        <v>9166</v>
      </c>
      <c r="E14" s="738">
        <f t="shared" si="2"/>
        <v>7332</v>
      </c>
      <c r="F14" s="738">
        <f t="shared" si="2"/>
        <v>1834</v>
      </c>
      <c r="G14" s="738">
        <f t="shared" si="3"/>
        <v>6773</v>
      </c>
      <c r="H14" s="738">
        <v>5418</v>
      </c>
      <c r="I14" s="738">
        <v>1355</v>
      </c>
      <c r="J14" s="738">
        <f t="shared" si="4"/>
        <v>2393</v>
      </c>
      <c r="K14" s="738">
        <v>1914</v>
      </c>
      <c r="L14" s="738">
        <v>479</v>
      </c>
      <c r="M14" s="750"/>
    </row>
    <row r="15" spans="1:13" x14ac:dyDescent="0.2">
      <c r="A15" s="747">
        <v>7</v>
      </c>
      <c r="B15" s="748" t="s">
        <v>66</v>
      </c>
      <c r="C15" s="749" t="s">
        <v>298</v>
      </c>
      <c r="D15" s="738">
        <f t="shared" si="1"/>
        <v>20642</v>
      </c>
      <c r="E15" s="738">
        <f t="shared" si="2"/>
        <v>16599</v>
      </c>
      <c r="F15" s="738">
        <f t="shared" si="2"/>
        <v>4043</v>
      </c>
      <c r="G15" s="738">
        <f t="shared" si="3"/>
        <v>20642</v>
      </c>
      <c r="H15" s="738">
        <f>16174+425</f>
        <v>16599</v>
      </c>
      <c r="I15" s="738">
        <v>4043</v>
      </c>
      <c r="J15" s="738">
        <f t="shared" si="4"/>
        <v>0</v>
      </c>
      <c r="K15" s="738">
        <v>0</v>
      </c>
      <c r="L15" s="738">
        <v>0</v>
      </c>
      <c r="M15" s="750"/>
    </row>
    <row r="16" spans="1:13" x14ac:dyDescent="0.2">
      <c r="A16" s="747">
        <v>8</v>
      </c>
      <c r="B16" s="748" t="s">
        <v>99</v>
      </c>
      <c r="C16" s="749" t="s">
        <v>100</v>
      </c>
      <c r="D16" s="738">
        <f>E16+F16</f>
        <v>21978</v>
      </c>
      <c r="E16" s="738">
        <f t="shared" si="2"/>
        <v>17583</v>
      </c>
      <c r="F16" s="738">
        <f t="shared" si="2"/>
        <v>4395</v>
      </c>
      <c r="G16" s="738">
        <f t="shared" si="3"/>
        <v>19412</v>
      </c>
      <c r="H16" s="738">
        <v>15530</v>
      </c>
      <c r="I16" s="738">
        <v>3882</v>
      </c>
      <c r="J16" s="738">
        <f t="shared" si="4"/>
        <v>2566</v>
      </c>
      <c r="K16" s="738">
        <v>2053</v>
      </c>
      <c r="L16" s="738">
        <v>513</v>
      </c>
      <c r="M16" s="750"/>
    </row>
    <row r="17" spans="1:13" x14ac:dyDescent="0.2">
      <c r="A17" s="747">
        <v>9</v>
      </c>
      <c r="B17" s="748" t="s">
        <v>272</v>
      </c>
      <c r="C17" s="749" t="s">
        <v>273</v>
      </c>
      <c r="D17" s="738">
        <f t="shared" si="1"/>
        <v>12487</v>
      </c>
      <c r="E17" s="738">
        <f t="shared" si="2"/>
        <v>10148</v>
      </c>
      <c r="F17" s="738">
        <f t="shared" si="2"/>
        <v>2339</v>
      </c>
      <c r="G17" s="738">
        <f t="shared" si="3"/>
        <v>11103</v>
      </c>
      <c r="H17" s="738">
        <f>8249+792</f>
        <v>9041</v>
      </c>
      <c r="I17" s="738">
        <v>2062</v>
      </c>
      <c r="J17" s="738">
        <f t="shared" si="4"/>
        <v>1384</v>
      </c>
      <c r="K17" s="738">
        <v>1107</v>
      </c>
      <c r="L17" s="738">
        <v>277</v>
      </c>
      <c r="M17" s="750"/>
    </row>
    <row r="18" spans="1:13" x14ac:dyDescent="0.2">
      <c r="A18" s="747">
        <v>10</v>
      </c>
      <c r="B18" s="748" t="s">
        <v>70</v>
      </c>
      <c r="C18" s="749" t="s">
        <v>71</v>
      </c>
      <c r="D18" s="738">
        <f t="shared" si="1"/>
        <v>6057</v>
      </c>
      <c r="E18" s="738">
        <f t="shared" si="2"/>
        <v>4846</v>
      </c>
      <c r="F18" s="738">
        <f t="shared" si="2"/>
        <v>1211</v>
      </c>
      <c r="G18" s="738">
        <f t="shared" si="3"/>
        <v>0</v>
      </c>
      <c r="H18" s="738">
        <v>0</v>
      </c>
      <c r="I18" s="738">
        <v>0</v>
      </c>
      <c r="J18" s="738">
        <f t="shared" si="4"/>
        <v>6057</v>
      </c>
      <c r="K18" s="738">
        <v>4846</v>
      </c>
      <c r="L18" s="738">
        <v>1211</v>
      </c>
      <c r="M18" s="750"/>
    </row>
    <row r="19" spans="1:13" x14ac:dyDescent="0.2">
      <c r="A19" s="747">
        <v>11</v>
      </c>
      <c r="B19" s="748" t="s">
        <v>28</v>
      </c>
      <c r="C19" s="749" t="s">
        <v>29</v>
      </c>
      <c r="D19" s="738">
        <f t="shared" si="1"/>
        <v>7958</v>
      </c>
      <c r="E19" s="738">
        <f t="shared" si="2"/>
        <v>6318</v>
      </c>
      <c r="F19" s="738">
        <f t="shared" si="2"/>
        <v>1640</v>
      </c>
      <c r="G19" s="738">
        <f t="shared" si="3"/>
        <v>6187</v>
      </c>
      <c r="H19" s="738">
        <f>5144-243</f>
        <v>4901</v>
      </c>
      <c r="I19" s="738">
        <v>1286</v>
      </c>
      <c r="J19" s="738">
        <f t="shared" si="4"/>
        <v>1771</v>
      </c>
      <c r="K19" s="738">
        <v>1417</v>
      </c>
      <c r="L19" s="738">
        <v>354</v>
      </c>
      <c r="M19" s="750"/>
    </row>
    <row r="20" spans="1:13" x14ac:dyDescent="0.2">
      <c r="A20" s="747">
        <v>12</v>
      </c>
      <c r="B20" s="748" t="s">
        <v>83</v>
      </c>
      <c r="C20" s="749" t="s">
        <v>84</v>
      </c>
      <c r="D20" s="738">
        <f t="shared" si="1"/>
        <v>4400</v>
      </c>
      <c r="E20" s="738">
        <f t="shared" si="2"/>
        <v>3435</v>
      </c>
      <c r="F20" s="738">
        <f t="shared" si="2"/>
        <v>965</v>
      </c>
      <c r="G20" s="738">
        <f t="shared" si="3"/>
        <v>3295</v>
      </c>
      <c r="H20" s="738">
        <f>2976-425</f>
        <v>2551</v>
      </c>
      <c r="I20" s="738">
        <v>744</v>
      </c>
      <c r="J20" s="738">
        <f t="shared" si="4"/>
        <v>1105</v>
      </c>
      <c r="K20" s="738">
        <v>884</v>
      </c>
      <c r="L20" s="738">
        <v>221</v>
      </c>
      <c r="M20" s="750"/>
    </row>
    <row r="21" spans="1:13" x14ac:dyDescent="0.2">
      <c r="A21" s="747">
        <v>13</v>
      </c>
      <c r="B21" s="748" t="s">
        <v>79</v>
      </c>
      <c r="C21" s="749" t="s">
        <v>80</v>
      </c>
      <c r="D21" s="738">
        <f t="shared" si="1"/>
        <v>13814</v>
      </c>
      <c r="E21" s="738">
        <f t="shared" si="2"/>
        <v>11052</v>
      </c>
      <c r="F21" s="738">
        <f t="shared" si="2"/>
        <v>2762</v>
      </c>
      <c r="G21" s="738">
        <f t="shared" si="3"/>
        <v>10912</v>
      </c>
      <c r="H21" s="738">
        <v>8730</v>
      </c>
      <c r="I21" s="738">
        <v>2182</v>
      </c>
      <c r="J21" s="738">
        <f t="shared" si="4"/>
        <v>2902</v>
      </c>
      <c r="K21" s="738">
        <v>2322</v>
      </c>
      <c r="L21" s="738">
        <v>580</v>
      </c>
      <c r="M21" s="750"/>
    </row>
    <row r="22" spans="1:13" x14ac:dyDescent="0.2">
      <c r="A22" s="747">
        <v>14</v>
      </c>
      <c r="B22" s="748" t="s">
        <v>117</v>
      </c>
      <c r="C22" s="749" t="s">
        <v>118</v>
      </c>
      <c r="D22" s="738">
        <f t="shared" si="1"/>
        <v>3067</v>
      </c>
      <c r="E22" s="738">
        <f t="shared" si="2"/>
        <v>2454</v>
      </c>
      <c r="F22" s="738">
        <f t="shared" si="2"/>
        <v>613</v>
      </c>
      <c r="G22" s="738">
        <f t="shared" si="3"/>
        <v>0</v>
      </c>
      <c r="H22" s="738">
        <v>0</v>
      </c>
      <c r="I22" s="738">
        <v>0</v>
      </c>
      <c r="J22" s="738">
        <f t="shared" si="4"/>
        <v>3067</v>
      </c>
      <c r="K22" s="738">
        <v>2454</v>
      </c>
      <c r="L22" s="738">
        <v>613</v>
      </c>
      <c r="M22" s="750"/>
    </row>
    <row r="23" spans="1:13" x14ac:dyDescent="0.2">
      <c r="A23" s="747">
        <v>15</v>
      </c>
      <c r="B23" s="748" t="s">
        <v>133</v>
      </c>
      <c r="C23" s="749" t="s">
        <v>299</v>
      </c>
      <c r="D23" s="738">
        <f t="shared" si="1"/>
        <v>9433</v>
      </c>
      <c r="E23" s="738">
        <f>H23+K23</f>
        <v>7546</v>
      </c>
      <c r="F23" s="738">
        <f t="shared" si="2"/>
        <v>1887</v>
      </c>
      <c r="G23" s="738">
        <f t="shared" si="3"/>
        <v>0</v>
      </c>
      <c r="H23" s="738">
        <v>0</v>
      </c>
      <c r="I23" s="738">
        <v>0</v>
      </c>
      <c r="J23" s="738">
        <f t="shared" si="4"/>
        <v>9433</v>
      </c>
      <c r="K23" s="738">
        <v>7546</v>
      </c>
      <c r="L23" s="738">
        <v>1887</v>
      </c>
      <c r="M23" s="750"/>
    </row>
    <row r="24" spans="1:13" x14ac:dyDescent="0.2">
      <c r="A24" s="747">
        <v>16</v>
      </c>
      <c r="B24" s="748" t="s">
        <v>143</v>
      </c>
      <c r="C24" s="749" t="s">
        <v>144</v>
      </c>
      <c r="D24" s="738">
        <f t="shared" si="1"/>
        <v>10363</v>
      </c>
      <c r="E24" s="738">
        <f t="shared" si="2"/>
        <v>8290</v>
      </c>
      <c r="F24" s="738">
        <f t="shared" si="2"/>
        <v>2073</v>
      </c>
      <c r="G24" s="738">
        <f t="shared" si="3"/>
        <v>10363</v>
      </c>
      <c r="H24" s="738">
        <v>8290</v>
      </c>
      <c r="I24" s="738">
        <v>2073</v>
      </c>
      <c r="J24" s="738">
        <f t="shared" si="4"/>
        <v>0</v>
      </c>
      <c r="K24" s="738">
        <v>0</v>
      </c>
      <c r="L24" s="738">
        <v>0</v>
      </c>
      <c r="M24" s="750"/>
    </row>
    <row r="25" spans="1:13" x14ac:dyDescent="0.2">
      <c r="A25" s="747">
        <v>17</v>
      </c>
      <c r="B25" s="748" t="s">
        <v>161</v>
      </c>
      <c r="C25" s="749" t="s">
        <v>300</v>
      </c>
      <c r="D25" s="738">
        <f t="shared" si="1"/>
        <v>8702</v>
      </c>
      <c r="E25" s="738">
        <f t="shared" si="2"/>
        <v>6852</v>
      </c>
      <c r="F25" s="738">
        <f t="shared" si="2"/>
        <v>1850</v>
      </c>
      <c r="G25" s="738">
        <f t="shared" si="3"/>
        <v>6597</v>
      </c>
      <c r="H25" s="738">
        <f>5717-549</f>
        <v>5168</v>
      </c>
      <c r="I25" s="738">
        <v>1429</v>
      </c>
      <c r="J25" s="738">
        <f t="shared" si="4"/>
        <v>2105</v>
      </c>
      <c r="K25" s="738">
        <v>1684</v>
      </c>
      <c r="L25" s="738">
        <v>421</v>
      </c>
      <c r="M25" s="750"/>
    </row>
    <row r="26" spans="1:13" x14ac:dyDescent="0.2">
      <c r="A26" s="747">
        <v>18</v>
      </c>
      <c r="B26" s="748" t="s">
        <v>165</v>
      </c>
      <c r="C26" s="749" t="s">
        <v>166</v>
      </c>
      <c r="D26" s="738">
        <f t="shared" si="1"/>
        <v>9072</v>
      </c>
      <c r="E26" s="738">
        <f t="shared" si="2"/>
        <v>7258</v>
      </c>
      <c r="F26" s="738">
        <f t="shared" si="2"/>
        <v>1814</v>
      </c>
      <c r="G26" s="738">
        <f t="shared" si="3"/>
        <v>6907</v>
      </c>
      <c r="H26" s="738">
        <f>5526</f>
        <v>5526</v>
      </c>
      <c r="I26" s="738">
        <v>1381</v>
      </c>
      <c r="J26" s="738">
        <f t="shared" si="4"/>
        <v>2165</v>
      </c>
      <c r="K26" s="738">
        <v>1732</v>
      </c>
      <c r="L26" s="738">
        <v>433</v>
      </c>
      <c r="M26" s="750"/>
    </row>
    <row r="27" spans="1:13" x14ac:dyDescent="0.2">
      <c r="A27" s="747">
        <v>19</v>
      </c>
      <c r="B27" s="748" t="s">
        <v>171</v>
      </c>
      <c r="C27" s="749" t="s">
        <v>172</v>
      </c>
      <c r="D27" s="738">
        <f t="shared" si="1"/>
        <v>6107</v>
      </c>
      <c r="E27" s="738">
        <f t="shared" si="2"/>
        <v>4886</v>
      </c>
      <c r="F27" s="738">
        <f t="shared" si="2"/>
        <v>1221</v>
      </c>
      <c r="G27" s="738">
        <f t="shared" si="3"/>
        <v>0</v>
      </c>
      <c r="H27" s="738">
        <v>0</v>
      </c>
      <c r="I27" s="738">
        <v>0</v>
      </c>
      <c r="J27" s="738">
        <f t="shared" si="4"/>
        <v>6107</v>
      </c>
      <c r="K27" s="738">
        <v>4886</v>
      </c>
      <c r="L27" s="738">
        <v>1221</v>
      </c>
      <c r="M27" s="750"/>
    </row>
    <row r="28" spans="1:13" x14ac:dyDescent="0.2">
      <c r="A28" s="747">
        <v>20</v>
      </c>
      <c r="B28" s="748" t="s">
        <v>173</v>
      </c>
      <c r="C28" s="749" t="s">
        <v>301</v>
      </c>
      <c r="D28" s="738">
        <f>E28+F28</f>
        <v>37782</v>
      </c>
      <c r="E28" s="738">
        <f>H28+K28</f>
        <v>30226</v>
      </c>
      <c r="F28" s="738">
        <f>I28+L28</f>
        <v>7556</v>
      </c>
      <c r="G28" s="738">
        <f t="shared" si="3"/>
        <v>37782</v>
      </c>
      <c r="H28" s="738">
        <v>30226</v>
      </c>
      <c r="I28" s="738">
        <v>7556</v>
      </c>
      <c r="J28" s="738">
        <f t="shared" si="4"/>
        <v>0</v>
      </c>
      <c r="K28" s="738">
        <v>0</v>
      </c>
      <c r="L28" s="738">
        <v>0</v>
      </c>
      <c r="M28" s="750"/>
    </row>
    <row r="30" spans="1:13" x14ac:dyDescent="0.2">
      <c r="D30" s="750"/>
      <c r="E30" s="750"/>
      <c r="F30" s="750"/>
      <c r="G30" s="750"/>
      <c r="H30" s="750"/>
      <c r="I30" s="750"/>
      <c r="J30" s="750"/>
      <c r="K30" s="750"/>
      <c r="L30" s="750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8"/>
  <sheetViews>
    <sheetView workbookViewId="0">
      <selection activeCell="D25" sqref="D25"/>
    </sheetView>
  </sheetViews>
  <sheetFormatPr defaultRowHeight="12.75" x14ac:dyDescent="0.2"/>
  <cols>
    <col min="1" max="1" width="6.5703125" style="4" customWidth="1"/>
    <col min="2" max="2" width="11.85546875" style="4" customWidth="1"/>
    <col min="3" max="3" width="42.85546875" style="4" customWidth="1"/>
    <col min="4" max="4" width="40.7109375" style="4" customWidth="1"/>
    <col min="5" max="6" width="9.140625" style="4" customWidth="1"/>
    <col min="7" max="16384" width="9.140625" style="4"/>
  </cols>
  <sheetData>
    <row r="1" spans="1:6" ht="42.75" customHeight="1" x14ac:dyDescent="0.2">
      <c r="A1" s="1205" t="s">
        <v>334</v>
      </c>
      <c r="B1" s="1205"/>
      <c r="C1" s="1205"/>
      <c r="D1" s="1205"/>
    </row>
    <row r="2" spans="1:6" x14ac:dyDescent="0.2">
      <c r="A2" s="5"/>
      <c r="B2" s="5"/>
      <c r="C2" s="6"/>
      <c r="D2" s="6"/>
    </row>
    <row r="3" spans="1:6" ht="12.75" customHeight="1" x14ac:dyDescent="0.25">
      <c r="A3" s="7"/>
      <c r="B3" s="7"/>
      <c r="C3" s="8"/>
      <c r="D3" s="9" t="s">
        <v>326</v>
      </c>
    </row>
    <row r="4" spans="1:6" s="10" customFormat="1" ht="38.25" customHeight="1" x14ac:dyDescent="0.2">
      <c r="A4" s="1206" t="s">
        <v>0</v>
      </c>
      <c r="B4" s="1175" t="s">
        <v>1</v>
      </c>
      <c r="C4" s="1206" t="s">
        <v>2</v>
      </c>
      <c r="D4" s="551" t="s">
        <v>327</v>
      </c>
      <c r="F4" s="11"/>
    </row>
    <row r="5" spans="1:6" s="10" customFormat="1" ht="20.25" customHeight="1" x14ac:dyDescent="0.2">
      <c r="A5" s="1207"/>
      <c r="B5" s="1176"/>
      <c r="C5" s="1207"/>
      <c r="D5" s="12" t="s">
        <v>328</v>
      </c>
    </row>
    <row r="6" spans="1:6" s="10" customFormat="1" ht="12" customHeight="1" x14ac:dyDescent="0.2">
      <c r="A6" s="1207"/>
      <c r="B6" s="1176"/>
      <c r="C6" s="1207"/>
      <c r="D6" s="1206" t="s">
        <v>329</v>
      </c>
    </row>
    <row r="7" spans="1:6" s="10" customFormat="1" ht="35.25" customHeight="1" x14ac:dyDescent="0.2">
      <c r="A7" s="1208"/>
      <c r="B7" s="1209"/>
      <c r="C7" s="1208"/>
      <c r="D7" s="1208"/>
    </row>
    <row r="8" spans="1:6" s="16" customFormat="1" ht="11.25" x14ac:dyDescent="0.2">
      <c r="A8" s="13">
        <v>1</v>
      </c>
      <c r="B8" s="14">
        <v>2</v>
      </c>
      <c r="C8" s="571">
        <v>3</v>
      </c>
      <c r="D8" s="15">
        <v>4</v>
      </c>
    </row>
    <row r="9" spans="1:6" s="16" customFormat="1" ht="15" customHeight="1" x14ac:dyDescent="0.2">
      <c r="A9" s="1202" t="s">
        <v>308</v>
      </c>
      <c r="B9" s="1203"/>
      <c r="C9" s="1204"/>
      <c r="D9" s="24">
        <f>SUM(D10:D16)</f>
        <v>211651</v>
      </c>
      <c r="E9" s="17"/>
      <c r="F9" s="17"/>
    </row>
    <row r="10" spans="1:6" s="20" customFormat="1" ht="15" x14ac:dyDescent="0.2">
      <c r="A10" s="18">
        <v>1</v>
      </c>
      <c r="B10" s="18" t="s">
        <v>50</v>
      </c>
      <c r="C10" s="572" t="s">
        <v>51</v>
      </c>
      <c r="D10" s="19">
        <v>15142</v>
      </c>
      <c r="E10" s="17"/>
    </row>
    <row r="11" spans="1:6" s="20" customFormat="1" ht="15" x14ac:dyDescent="0.2">
      <c r="A11" s="18">
        <v>2</v>
      </c>
      <c r="B11" s="573" t="s">
        <v>66</v>
      </c>
      <c r="C11" s="574" t="s">
        <v>67</v>
      </c>
      <c r="D11" s="19">
        <v>22597</v>
      </c>
      <c r="E11" s="17"/>
    </row>
    <row r="12" spans="1:6" s="20" customFormat="1" ht="15" x14ac:dyDescent="0.2">
      <c r="A12" s="18">
        <v>3</v>
      </c>
      <c r="B12" s="21" t="s">
        <v>68</v>
      </c>
      <c r="C12" s="572" t="s">
        <v>69</v>
      </c>
      <c r="D12" s="19">
        <v>25138</v>
      </c>
      <c r="E12" s="17"/>
    </row>
    <row r="13" spans="1:6" s="20" customFormat="1" ht="15" x14ac:dyDescent="0.2">
      <c r="A13" s="18">
        <v>4</v>
      </c>
      <c r="B13" s="18" t="s">
        <v>99</v>
      </c>
      <c r="C13" s="575" t="s">
        <v>330</v>
      </c>
      <c r="D13" s="19">
        <v>21443</v>
      </c>
      <c r="E13" s="17"/>
    </row>
    <row r="14" spans="1:6" s="20" customFormat="1" ht="15" x14ac:dyDescent="0.2">
      <c r="A14" s="18">
        <v>5</v>
      </c>
      <c r="B14" s="18" t="s">
        <v>260</v>
      </c>
      <c r="C14" s="572" t="s">
        <v>331</v>
      </c>
      <c r="D14" s="19">
        <v>49902</v>
      </c>
      <c r="E14" s="17"/>
    </row>
    <row r="15" spans="1:6" ht="15" x14ac:dyDescent="0.2">
      <c r="A15" s="18">
        <v>6</v>
      </c>
      <c r="B15" s="18" t="s">
        <v>16</v>
      </c>
      <c r="C15" s="572" t="s">
        <v>17</v>
      </c>
      <c r="D15" s="19">
        <v>2099</v>
      </c>
      <c r="E15" s="17"/>
    </row>
    <row r="16" spans="1:6" ht="15" x14ac:dyDescent="0.2">
      <c r="A16" s="18">
        <v>7</v>
      </c>
      <c r="B16" s="18" t="s">
        <v>169</v>
      </c>
      <c r="C16" s="22" t="s">
        <v>170</v>
      </c>
      <c r="D16" s="19">
        <v>75330</v>
      </c>
      <c r="E16" s="17"/>
    </row>
    <row r="18" spans="2:2" ht="15" x14ac:dyDescent="0.2">
      <c r="B18" s="2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98"/>
  <sheetViews>
    <sheetView topLeftCell="B2" workbookViewId="0">
      <selection activeCell="B3" sqref="B3"/>
    </sheetView>
  </sheetViews>
  <sheetFormatPr defaultRowHeight="18.75" x14ac:dyDescent="0.3"/>
  <cols>
    <col min="1" max="1" width="4.85546875" style="67" customWidth="1"/>
    <col min="2" max="2" width="10.7109375" style="67" customWidth="1"/>
    <col min="3" max="3" width="35.42578125" style="67" customWidth="1"/>
    <col min="4" max="4" width="13.42578125" style="67" customWidth="1"/>
    <col min="5" max="5" width="14.85546875" style="67" customWidth="1"/>
    <col min="6" max="6" width="13.42578125" style="67" customWidth="1"/>
    <col min="7" max="16384" width="9.140625" style="67"/>
  </cols>
  <sheetData>
    <row r="1" spans="1:6" ht="11.25" customHeight="1" x14ac:dyDescent="0.3"/>
    <row r="2" spans="1:6" ht="31.5" customHeight="1" x14ac:dyDescent="0.3">
      <c r="A2" s="1212" t="s">
        <v>447</v>
      </c>
      <c r="B2" s="1212"/>
      <c r="C2" s="1212"/>
      <c r="D2" s="1212"/>
      <c r="E2" s="1212"/>
      <c r="F2" s="1212"/>
    </row>
    <row r="3" spans="1:6" ht="13.5" customHeight="1" x14ac:dyDescent="0.3">
      <c r="A3" s="68"/>
      <c r="B3" s="68"/>
      <c r="C3" s="68"/>
      <c r="D3" s="68"/>
      <c r="E3" s="68"/>
      <c r="F3" s="68"/>
    </row>
    <row r="4" spans="1:6" ht="33.75" customHeight="1" x14ac:dyDescent="0.3">
      <c r="A4" s="1210" t="s">
        <v>0</v>
      </c>
      <c r="B4" s="1210" t="s">
        <v>302</v>
      </c>
      <c r="C4" s="1213" t="s">
        <v>448</v>
      </c>
      <c r="D4" s="1210" t="s">
        <v>449</v>
      </c>
      <c r="E4" s="1210" t="s">
        <v>450</v>
      </c>
      <c r="F4" s="1210"/>
    </row>
    <row r="5" spans="1:6" ht="33.75" x14ac:dyDescent="0.3">
      <c r="A5" s="1210"/>
      <c r="B5" s="1210"/>
      <c r="C5" s="1213"/>
      <c r="D5" s="1210"/>
      <c r="E5" s="69" t="s">
        <v>451</v>
      </c>
      <c r="F5" s="69" t="s">
        <v>452</v>
      </c>
    </row>
    <row r="6" spans="1:6" ht="15" customHeight="1" x14ac:dyDescent="0.3">
      <c r="A6" s="70">
        <v>1</v>
      </c>
      <c r="B6" s="70">
        <v>2</v>
      </c>
      <c r="C6" s="70">
        <v>3</v>
      </c>
      <c r="D6" s="71">
        <v>4</v>
      </c>
      <c r="E6" s="71">
        <v>5</v>
      </c>
      <c r="F6" s="71">
        <v>6</v>
      </c>
    </row>
    <row r="7" spans="1:6" x14ac:dyDescent="0.3">
      <c r="A7" s="69">
        <v>1</v>
      </c>
      <c r="B7" s="72" t="s">
        <v>46</v>
      </c>
      <c r="C7" s="73" t="s">
        <v>47</v>
      </c>
      <c r="D7" s="74">
        <v>22021</v>
      </c>
      <c r="E7" s="74">
        <v>0</v>
      </c>
      <c r="F7" s="74">
        <v>0</v>
      </c>
    </row>
    <row r="8" spans="1:6" x14ac:dyDescent="0.3">
      <c r="A8" s="69">
        <v>2</v>
      </c>
      <c r="B8" s="72" t="s">
        <v>115</v>
      </c>
      <c r="C8" s="73" t="s">
        <v>116</v>
      </c>
      <c r="D8" s="74">
        <v>19433</v>
      </c>
      <c r="E8" s="74">
        <v>0</v>
      </c>
      <c r="F8" s="74">
        <v>0</v>
      </c>
    </row>
    <row r="9" spans="1:6" x14ac:dyDescent="0.3">
      <c r="A9" s="69">
        <v>3</v>
      </c>
      <c r="B9" s="72" t="s">
        <v>187</v>
      </c>
      <c r="C9" s="73" t="s">
        <v>188</v>
      </c>
      <c r="D9" s="74">
        <v>9056</v>
      </c>
      <c r="E9" s="74">
        <v>0</v>
      </c>
      <c r="F9" s="74">
        <v>0</v>
      </c>
    </row>
    <row r="10" spans="1:6" x14ac:dyDescent="0.3">
      <c r="A10" s="69">
        <v>4</v>
      </c>
      <c r="B10" s="72" t="s">
        <v>16</v>
      </c>
      <c r="C10" s="73" t="s">
        <v>17</v>
      </c>
      <c r="D10" s="74">
        <v>9817</v>
      </c>
      <c r="E10" s="74">
        <v>0</v>
      </c>
      <c r="F10" s="74">
        <v>0</v>
      </c>
    </row>
    <row r="11" spans="1:6" x14ac:dyDescent="0.3">
      <c r="A11" s="69">
        <v>5</v>
      </c>
      <c r="B11" s="72" t="s">
        <v>93</v>
      </c>
      <c r="C11" s="73" t="s">
        <v>94</v>
      </c>
      <c r="D11" s="74">
        <v>16401</v>
      </c>
      <c r="E11" s="74">
        <v>0</v>
      </c>
      <c r="F11" s="74">
        <v>0</v>
      </c>
    </row>
    <row r="12" spans="1:6" x14ac:dyDescent="0.3">
      <c r="A12" s="69">
        <v>6</v>
      </c>
      <c r="B12" s="72" t="s">
        <v>48</v>
      </c>
      <c r="C12" s="73" t="s">
        <v>49</v>
      </c>
      <c r="D12" s="74">
        <v>28702</v>
      </c>
      <c r="E12" s="74">
        <v>0</v>
      </c>
      <c r="F12" s="74">
        <v>0</v>
      </c>
    </row>
    <row r="13" spans="1:6" x14ac:dyDescent="0.3">
      <c r="A13" s="69">
        <v>7</v>
      </c>
      <c r="B13" s="72" t="s">
        <v>101</v>
      </c>
      <c r="C13" s="73" t="s">
        <v>102</v>
      </c>
      <c r="D13" s="74">
        <v>13685</v>
      </c>
      <c r="E13" s="74">
        <v>0</v>
      </c>
      <c r="F13" s="74">
        <v>0</v>
      </c>
    </row>
    <row r="14" spans="1:6" x14ac:dyDescent="0.3">
      <c r="A14" s="69">
        <v>8</v>
      </c>
      <c r="B14" s="72" t="s">
        <v>18</v>
      </c>
      <c r="C14" s="73" t="s">
        <v>19</v>
      </c>
      <c r="D14" s="74">
        <v>9889</v>
      </c>
      <c r="E14" s="74">
        <v>0</v>
      </c>
      <c r="F14" s="74">
        <v>0</v>
      </c>
    </row>
    <row r="15" spans="1:6" x14ac:dyDescent="0.3">
      <c r="A15" s="69">
        <v>9</v>
      </c>
      <c r="B15" s="72" t="s">
        <v>103</v>
      </c>
      <c r="C15" s="73" t="s">
        <v>104</v>
      </c>
      <c r="D15" s="74">
        <v>46033</v>
      </c>
      <c r="E15" s="74">
        <v>0</v>
      </c>
      <c r="F15" s="74">
        <v>0</v>
      </c>
    </row>
    <row r="16" spans="1:6" x14ac:dyDescent="0.3">
      <c r="A16" s="69">
        <v>10</v>
      </c>
      <c r="B16" s="72" t="s">
        <v>189</v>
      </c>
      <c r="C16" s="73" t="s">
        <v>190</v>
      </c>
      <c r="D16" s="74">
        <v>9259</v>
      </c>
      <c r="E16" s="74">
        <v>0</v>
      </c>
      <c r="F16" s="74">
        <v>0</v>
      </c>
    </row>
    <row r="17" spans="1:6" x14ac:dyDescent="0.3">
      <c r="A17" s="69">
        <v>11</v>
      </c>
      <c r="B17" s="72" t="s">
        <v>50</v>
      </c>
      <c r="C17" s="73" t="s">
        <v>51</v>
      </c>
      <c r="D17" s="74">
        <v>50744</v>
      </c>
      <c r="E17" s="74">
        <v>0</v>
      </c>
      <c r="F17" s="74">
        <v>0</v>
      </c>
    </row>
    <row r="18" spans="1:6" x14ac:dyDescent="0.3">
      <c r="A18" s="69">
        <v>12</v>
      </c>
      <c r="B18" s="72" t="s">
        <v>105</v>
      </c>
      <c r="C18" s="73" t="s">
        <v>106</v>
      </c>
      <c r="D18" s="74">
        <v>10231</v>
      </c>
      <c r="E18" s="74">
        <v>0</v>
      </c>
      <c r="F18" s="74">
        <v>0</v>
      </c>
    </row>
    <row r="19" spans="1:6" x14ac:dyDescent="0.3">
      <c r="A19" s="69">
        <v>13</v>
      </c>
      <c r="B19" s="72" t="s">
        <v>20</v>
      </c>
      <c r="C19" s="73" t="s">
        <v>21</v>
      </c>
      <c r="D19" s="74">
        <v>30285</v>
      </c>
      <c r="E19" s="74">
        <v>0</v>
      </c>
      <c r="F19" s="74">
        <v>0</v>
      </c>
    </row>
    <row r="20" spans="1:6" x14ac:dyDescent="0.3">
      <c r="A20" s="69">
        <v>14</v>
      </c>
      <c r="B20" s="72" t="s">
        <v>215</v>
      </c>
      <c r="C20" s="73" t="s">
        <v>216</v>
      </c>
      <c r="D20" s="74">
        <v>11229</v>
      </c>
      <c r="E20" s="74">
        <v>0</v>
      </c>
      <c r="F20" s="74">
        <v>0</v>
      </c>
    </row>
    <row r="21" spans="1:6" x14ac:dyDescent="0.3">
      <c r="A21" s="69">
        <v>15</v>
      </c>
      <c r="B21" s="72" t="s">
        <v>191</v>
      </c>
      <c r="C21" s="73" t="s">
        <v>192</v>
      </c>
      <c r="D21" s="74">
        <v>25517</v>
      </c>
      <c r="E21" s="74">
        <v>0</v>
      </c>
      <c r="F21" s="74">
        <v>0</v>
      </c>
    </row>
    <row r="22" spans="1:6" x14ac:dyDescent="0.3">
      <c r="A22" s="69">
        <v>16</v>
      </c>
      <c r="B22" s="72" t="s">
        <v>195</v>
      </c>
      <c r="C22" s="73" t="s">
        <v>196</v>
      </c>
      <c r="D22" s="74">
        <v>13516</v>
      </c>
      <c r="E22" s="74">
        <v>0</v>
      </c>
      <c r="F22" s="74">
        <v>0</v>
      </c>
    </row>
    <row r="23" spans="1:6" x14ac:dyDescent="0.3">
      <c r="A23" s="69">
        <v>17</v>
      </c>
      <c r="B23" s="72" t="s">
        <v>22</v>
      </c>
      <c r="C23" s="73" t="s">
        <v>23</v>
      </c>
      <c r="D23" s="74">
        <v>10755</v>
      </c>
      <c r="E23" s="74">
        <v>0</v>
      </c>
      <c r="F23" s="74">
        <v>0</v>
      </c>
    </row>
    <row r="24" spans="1:6" x14ac:dyDescent="0.3">
      <c r="A24" s="69">
        <v>18</v>
      </c>
      <c r="B24" s="72" t="s">
        <v>52</v>
      </c>
      <c r="C24" s="73" t="s">
        <v>53</v>
      </c>
      <c r="D24" s="74">
        <v>9130</v>
      </c>
      <c r="E24" s="74">
        <v>0</v>
      </c>
      <c r="F24" s="74">
        <v>0</v>
      </c>
    </row>
    <row r="25" spans="1:6" x14ac:dyDescent="0.3">
      <c r="A25" s="69">
        <v>19</v>
      </c>
      <c r="B25" s="72" t="s">
        <v>85</v>
      </c>
      <c r="C25" s="73" t="s">
        <v>86</v>
      </c>
      <c r="D25" s="74">
        <v>16577</v>
      </c>
      <c r="E25" s="74">
        <v>0</v>
      </c>
      <c r="F25" s="74">
        <v>0</v>
      </c>
    </row>
    <row r="26" spans="1:6" x14ac:dyDescent="0.3">
      <c r="A26" s="69">
        <v>20</v>
      </c>
      <c r="B26" s="72" t="s">
        <v>109</v>
      </c>
      <c r="C26" s="73" t="s">
        <v>110</v>
      </c>
      <c r="D26" s="74">
        <v>19284</v>
      </c>
      <c r="E26" s="74">
        <v>0</v>
      </c>
      <c r="F26" s="74">
        <v>0</v>
      </c>
    </row>
    <row r="27" spans="1:6" x14ac:dyDescent="0.3">
      <c r="A27" s="69">
        <v>21</v>
      </c>
      <c r="B27" s="72" t="s">
        <v>207</v>
      </c>
      <c r="C27" s="73" t="s">
        <v>208</v>
      </c>
      <c r="D27" s="74">
        <v>14922</v>
      </c>
      <c r="E27" s="74">
        <v>0</v>
      </c>
      <c r="F27" s="74">
        <v>0</v>
      </c>
    </row>
    <row r="28" spans="1:6" x14ac:dyDescent="0.3">
      <c r="A28" s="69">
        <v>22</v>
      </c>
      <c r="B28" s="72" t="s">
        <v>28</v>
      </c>
      <c r="C28" s="73" t="s">
        <v>29</v>
      </c>
      <c r="D28" s="74">
        <v>30202</v>
      </c>
      <c r="E28" s="74">
        <v>0</v>
      </c>
      <c r="F28" s="74">
        <v>0</v>
      </c>
    </row>
    <row r="29" spans="1:6" x14ac:dyDescent="0.3">
      <c r="A29" s="69">
        <v>23</v>
      </c>
      <c r="B29" s="72" t="s">
        <v>111</v>
      </c>
      <c r="C29" s="73" t="s">
        <v>112</v>
      </c>
      <c r="D29" s="74">
        <v>6493</v>
      </c>
      <c r="E29" s="74">
        <v>0</v>
      </c>
      <c r="F29" s="74">
        <v>0</v>
      </c>
    </row>
    <row r="30" spans="1:6" x14ac:dyDescent="0.3">
      <c r="A30" s="69">
        <v>24</v>
      </c>
      <c r="B30" s="72" t="s">
        <v>81</v>
      </c>
      <c r="C30" s="73" t="s">
        <v>82</v>
      </c>
      <c r="D30" s="74">
        <v>12744</v>
      </c>
      <c r="E30" s="74">
        <v>0</v>
      </c>
      <c r="F30" s="74">
        <v>0</v>
      </c>
    </row>
    <row r="31" spans="1:6" x14ac:dyDescent="0.3">
      <c r="A31" s="69">
        <v>25</v>
      </c>
      <c r="B31" s="72" t="s">
        <v>54</v>
      </c>
      <c r="C31" s="73" t="s">
        <v>55</v>
      </c>
      <c r="D31" s="74">
        <v>7058</v>
      </c>
      <c r="E31" s="74">
        <v>0</v>
      </c>
      <c r="F31" s="74">
        <v>0</v>
      </c>
    </row>
    <row r="32" spans="1:6" x14ac:dyDescent="0.3">
      <c r="A32" s="69">
        <v>26</v>
      </c>
      <c r="B32" s="72" t="s">
        <v>197</v>
      </c>
      <c r="C32" s="73" t="s">
        <v>198</v>
      </c>
      <c r="D32" s="74">
        <v>30215</v>
      </c>
      <c r="E32" s="74">
        <v>0</v>
      </c>
      <c r="F32" s="74">
        <v>0</v>
      </c>
    </row>
    <row r="33" spans="1:6" x14ac:dyDescent="0.3">
      <c r="A33" s="69">
        <v>27</v>
      </c>
      <c r="B33" s="72" t="s">
        <v>107</v>
      </c>
      <c r="C33" s="73" t="s">
        <v>108</v>
      </c>
      <c r="D33" s="74">
        <v>16004</v>
      </c>
      <c r="E33" s="74">
        <v>0</v>
      </c>
      <c r="F33" s="74">
        <v>0</v>
      </c>
    </row>
    <row r="34" spans="1:6" x14ac:dyDescent="0.3">
      <c r="A34" s="69">
        <v>28</v>
      </c>
      <c r="B34" s="72" t="s">
        <v>83</v>
      </c>
      <c r="C34" s="73" t="s">
        <v>84</v>
      </c>
      <c r="D34" s="74">
        <v>43462</v>
      </c>
      <c r="E34" s="74">
        <v>0</v>
      </c>
      <c r="F34" s="74">
        <v>0</v>
      </c>
    </row>
    <row r="35" spans="1:6" x14ac:dyDescent="0.3">
      <c r="A35" s="69">
        <v>29</v>
      </c>
      <c r="B35" s="72" t="s">
        <v>30</v>
      </c>
      <c r="C35" s="73" t="s">
        <v>31</v>
      </c>
      <c r="D35" s="74">
        <v>12541</v>
      </c>
      <c r="E35" s="74">
        <v>0</v>
      </c>
      <c r="F35" s="74">
        <v>0</v>
      </c>
    </row>
    <row r="36" spans="1:6" x14ac:dyDescent="0.3">
      <c r="A36" s="69">
        <v>30</v>
      </c>
      <c r="B36" s="72" t="s">
        <v>32</v>
      </c>
      <c r="C36" s="73" t="s">
        <v>33</v>
      </c>
      <c r="D36" s="74">
        <v>10889</v>
      </c>
      <c r="E36" s="74">
        <v>0</v>
      </c>
      <c r="F36" s="74">
        <v>0</v>
      </c>
    </row>
    <row r="37" spans="1:6" x14ac:dyDescent="0.3">
      <c r="A37" s="69">
        <v>31</v>
      </c>
      <c r="B37" s="72" t="s">
        <v>199</v>
      </c>
      <c r="C37" s="73" t="s">
        <v>200</v>
      </c>
      <c r="D37" s="74">
        <v>24301</v>
      </c>
      <c r="E37" s="74">
        <v>0</v>
      </c>
      <c r="F37" s="74">
        <v>0</v>
      </c>
    </row>
    <row r="38" spans="1:6" x14ac:dyDescent="0.3">
      <c r="A38" s="69">
        <v>32</v>
      </c>
      <c r="B38" s="72" t="s">
        <v>201</v>
      </c>
      <c r="C38" s="73" t="s">
        <v>202</v>
      </c>
      <c r="D38" s="74">
        <v>8440</v>
      </c>
      <c r="E38" s="74">
        <v>0</v>
      </c>
      <c r="F38" s="74">
        <v>0</v>
      </c>
    </row>
    <row r="39" spans="1:6" x14ac:dyDescent="0.3">
      <c r="A39" s="69">
        <v>33</v>
      </c>
      <c r="B39" s="72" t="s">
        <v>34</v>
      </c>
      <c r="C39" s="73" t="s">
        <v>35</v>
      </c>
      <c r="D39" s="74">
        <v>14008</v>
      </c>
      <c r="E39" s="74">
        <v>0</v>
      </c>
      <c r="F39" s="74">
        <v>0</v>
      </c>
    </row>
    <row r="40" spans="1:6" x14ac:dyDescent="0.3">
      <c r="A40" s="69">
        <v>34</v>
      </c>
      <c r="B40" s="72" t="s">
        <v>89</v>
      </c>
      <c r="C40" s="73" t="s">
        <v>90</v>
      </c>
      <c r="D40" s="74">
        <v>15061</v>
      </c>
      <c r="E40" s="74">
        <v>0</v>
      </c>
      <c r="F40" s="74">
        <v>0</v>
      </c>
    </row>
    <row r="41" spans="1:6" x14ac:dyDescent="0.3">
      <c r="A41" s="69">
        <v>35</v>
      </c>
      <c r="B41" s="72" t="s">
        <v>203</v>
      </c>
      <c r="C41" s="73" t="s">
        <v>204</v>
      </c>
      <c r="D41" s="74">
        <v>12970</v>
      </c>
      <c r="E41" s="74">
        <v>0</v>
      </c>
      <c r="F41" s="74">
        <v>0</v>
      </c>
    </row>
    <row r="42" spans="1:6" x14ac:dyDescent="0.3">
      <c r="A42" s="69">
        <v>36</v>
      </c>
      <c r="B42" s="72" t="s">
        <v>77</v>
      </c>
      <c r="C42" s="73" t="s">
        <v>78</v>
      </c>
      <c r="D42" s="74">
        <v>40796</v>
      </c>
      <c r="E42" s="74">
        <v>0</v>
      </c>
      <c r="F42" s="74">
        <v>0</v>
      </c>
    </row>
    <row r="43" spans="1:6" x14ac:dyDescent="0.3">
      <c r="A43" s="69">
        <v>37</v>
      </c>
      <c r="B43" s="72" t="s">
        <v>87</v>
      </c>
      <c r="C43" s="73" t="s">
        <v>88</v>
      </c>
      <c r="D43" s="74">
        <v>43455</v>
      </c>
      <c r="E43" s="74">
        <v>0</v>
      </c>
      <c r="F43" s="74">
        <v>0</v>
      </c>
    </row>
    <row r="44" spans="1:6" x14ac:dyDescent="0.3">
      <c r="A44" s="69">
        <v>38</v>
      </c>
      <c r="B44" s="72" t="s">
        <v>193</v>
      </c>
      <c r="C44" s="73" t="s">
        <v>194</v>
      </c>
      <c r="D44" s="74">
        <v>10955</v>
      </c>
      <c r="E44" s="74">
        <v>0</v>
      </c>
      <c r="F44" s="74">
        <v>0</v>
      </c>
    </row>
    <row r="45" spans="1:6" x14ac:dyDescent="0.3">
      <c r="A45" s="69">
        <v>39</v>
      </c>
      <c r="B45" s="72" t="s">
        <v>36</v>
      </c>
      <c r="C45" s="73" t="s">
        <v>37</v>
      </c>
      <c r="D45" s="74">
        <v>11397</v>
      </c>
      <c r="E45" s="74">
        <v>0</v>
      </c>
      <c r="F45" s="74">
        <v>0</v>
      </c>
    </row>
    <row r="46" spans="1:6" x14ac:dyDescent="0.3">
      <c r="A46" s="69">
        <v>40</v>
      </c>
      <c r="B46" s="72" t="s">
        <v>113</v>
      </c>
      <c r="C46" s="73" t="s">
        <v>114</v>
      </c>
      <c r="D46" s="74">
        <v>12933</v>
      </c>
      <c r="E46" s="74">
        <v>0</v>
      </c>
      <c r="F46" s="74">
        <v>0</v>
      </c>
    </row>
    <row r="47" spans="1:6" x14ac:dyDescent="0.3">
      <c r="A47" s="69">
        <v>41</v>
      </c>
      <c r="B47" s="72" t="s">
        <v>209</v>
      </c>
      <c r="C47" s="73" t="s">
        <v>210</v>
      </c>
      <c r="D47" s="74">
        <v>9705</v>
      </c>
      <c r="E47" s="74">
        <v>0</v>
      </c>
      <c r="F47" s="74">
        <v>0</v>
      </c>
    </row>
    <row r="48" spans="1:6" x14ac:dyDescent="0.3">
      <c r="A48" s="69">
        <v>42</v>
      </c>
      <c r="B48" s="72" t="s">
        <v>205</v>
      </c>
      <c r="C48" s="73" t="s">
        <v>206</v>
      </c>
      <c r="D48" s="74">
        <v>12677</v>
      </c>
      <c r="E48" s="74">
        <v>0</v>
      </c>
      <c r="F48" s="74">
        <v>0</v>
      </c>
    </row>
    <row r="49" spans="1:6" x14ac:dyDescent="0.3">
      <c r="A49" s="69">
        <v>43</v>
      </c>
      <c r="B49" s="72" t="s">
        <v>91</v>
      </c>
      <c r="C49" s="73" t="s">
        <v>92</v>
      </c>
      <c r="D49" s="74">
        <v>9282</v>
      </c>
      <c r="E49" s="74">
        <v>0</v>
      </c>
      <c r="F49" s="74">
        <v>0</v>
      </c>
    </row>
    <row r="50" spans="1:6" x14ac:dyDescent="0.3">
      <c r="A50" s="69">
        <v>44</v>
      </c>
      <c r="B50" s="72" t="s">
        <v>24</v>
      </c>
      <c r="C50" s="73" t="s">
        <v>25</v>
      </c>
      <c r="D50" s="74">
        <v>11710</v>
      </c>
      <c r="E50" s="74">
        <v>0</v>
      </c>
      <c r="F50" s="74">
        <v>0</v>
      </c>
    </row>
    <row r="51" spans="1:6" x14ac:dyDescent="0.3">
      <c r="A51" s="69">
        <v>45</v>
      </c>
      <c r="B51" s="72" t="s">
        <v>117</v>
      </c>
      <c r="C51" s="73" t="s">
        <v>118</v>
      </c>
      <c r="D51" s="74">
        <v>67898</v>
      </c>
      <c r="E51" s="74">
        <v>0</v>
      </c>
      <c r="F51" s="74">
        <v>0</v>
      </c>
    </row>
    <row r="52" spans="1:6" x14ac:dyDescent="0.3">
      <c r="A52" s="69">
        <v>46</v>
      </c>
      <c r="B52" s="72" t="s">
        <v>56</v>
      </c>
      <c r="C52" s="73" t="s">
        <v>57</v>
      </c>
      <c r="D52" s="74">
        <v>36614</v>
      </c>
      <c r="E52" s="74">
        <v>0</v>
      </c>
      <c r="F52" s="74">
        <v>0</v>
      </c>
    </row>
    <row r="53" spans="1:6" x14ac:dyDescent="0.3">
      <c r="A53" s="69">
        <v>47</v>
      </c>
      <c r="B53" s="72" t="s">
        <v>95</v>
      </c>
      <c r="C53" s="73" t="s">
        <v>96</v>
      </c>
      <c r="D53" s="74">
        <v>7502</v>
      </c>
      <c r="E53" s="74">
        <v>0</v>
      </c>
      <c r="F53" s="74">
        <v>0</v>
      </c>
    </row>
    <row r="54" spans="1:6" x14ac:dyDescent="0.3">
      <c r="A54" s="69">
        <v>48</v>
      </c>
      <c r="B54" s="72" t="s">
        <v>44</v>
      </c>
      <c r="C54" s="73" t="s">
        <v>45</v>
      </c>
      <c r="D54" s="74">
        <v>14835</v>
      </c>
      <c r="E54" s="74">
        <v>0</v>
      </c>
      <c r="F54" s="74">
        <v>0</v>
      </c>
    </row>
    <row r="55" spans="1:6" x14ac:dyDescent="0.3">
      <c r="A55" s="69">
        <v>49</v>
      </c>
      <c r="B55" s="72" t="s">
        <v>211</v>
      </c>
      <c r="C55" s="73" t="s">
        <v>212</v>
      </c>
      <c r="D55" s="74">
        <v>14143</v>
      </c>
      <c r="E55" s="74">
        <v>0</v>
      </c>
      <c r="F55" s="74">
        <v>0</v>
      </c>
    </row>
    <row r="56" spans="1:6" x14ac:dyDescent="0.3">
      <c r="A56" s="69">
        <v>50</v>
      </c>
      <c r="B56" s="72" t="s">
        <v>213</v>
      </c>
      <c r="C56" s="73" t="s">
        <v>214</v>
      </c>
      <c r="D56" s="74">
        <v>24715</v>
      </c>
      <c r="E56" s="74">
        <v>0</v>
      </c>
      <c r="F56" s="74">
        <v>0</v>
      </c>
    </row>
    <row r="57" spans="1:6" x14ac:dyDescent="0.3">
      <c r="A57" s="69">
        <v>51</v>
      </c>
      <c r="B57" s="72" t="s">
        <v>119</v>
      </c>
      <c r="C57" s="73" t="s">
        <v>120</v>
      </c>
      <c r="D57" s="74">
        <v>10674</v>
      </c>
      <c r="E57" s="74">
        <v>0</v>
      </c>
      <c r="F57" s="74">
        <v>0</v>
      </c>
    </row>
    <row r="58" spans="1:6" x14ac:dyDescent="0.3">
      <c r="A58" s="69">
        <v>52</v>
      </c>
      <c r="B58" s="72" t="s">
        <v>38</v>
      </c>
      <c r="C58" s="73" t="s">
        <v>39</v>
      </c>
      <c r="D58" s="74">
        <v>22443</v>
      </c>
      <c r="E58" s="74">
        <v>0</v>
      </c>
      <c r="F58" s="74">
        <v>0</v>
      </c>
    </row>
    <row r="59" spans="1:6" x14ac:dyDescent="0.3">
      <c r="A59" s="69">
        <v>53</v>
      </c>
      <c r="B59" s="72" t="s">
        <v>60</v>
      </c>
      <c r="C59" s="73" t="s">
        <v>61</v>
      </c>
      <c r="D59" s="74">
        <v>7147</v>
      </c>
      <c r="E59" s="74">
        <v>0</v>
      </c>
      <c r="F59" s="74">
        <v>0</v>
      </c>
    </row>
    <row r="60" spans="1:6" x14ac:dyDescent="0.3">
      <c r="A60" s="69">
        <v>54</v>
      </c>
      <c r="B60" s="72" t="s">
        <v>26</v>
      </c>
      <c r="C60" s="73" t="s">
        <v>27</v>
      </c>
      <c r="D60" s="74">
        <v>83398</v>
      </c>
      <c r="E60" s="74">
        <v>0</v>
      </c>
      <c r="F60" s="74">
        <v>0</v>
      </c>
    </row>
    <row r="61" spans="1:6" x14ac:dyDescent="0.3">
      <c r="A61" s="69">
        <v>55</v>
      </c>
      <c r="B61" s="72" t="s">
        <v>99</v>
      </c>
      <c r="C61" s="73" t="s">
        <v>100</v>
      </c>
      <c r="D61" s="74">
        <v>54101</v>
      </c>
      <c r="E61" s="74">
        <v>0</v>
      </c>
      <c r="F61" s="74">
        <v>0</v>
      </c>
    </row>
    <row r="62" spans="1:6" x14ac:dyDescent="0.3">
      <c r="A62" s="69">
        <v>56</v>
      </c>
      <c r="B62" s="72" t="s">
        <v>58</v>
      </c>
      <c r="C62" s="73" t="s">
        <v>59</v>
      </c>
      <c r="D62" s="74">
        <v>31433</v>
      </c>
      <c r="E62" s="74">
        <v>0</v>
      </c>
      <c r="F62" s="74">
        <v>0</v>
      </c>
    </row>
    <row r="63" spans="1:6" x14ac:dyDescent="0.3">
      <c r="A63" s="69">
        <v>57</v>
      </c>
      <c r="B63" s="72" t="s">
        <v>97</v>
      </c>
      <c r="C63" s="73" t="s">
        <v>453</v>
      </c>
      <c r="D63" s="74">
        <v>3370</v>
      </c>
      <c r="E63" s="74">
        <v>0</v>
      </c>
      <c r="F63" s="74">
        <v>0</v>
      </c>
    </row>
    <row r="64" spans="1:6" x14ac:dyDescent="0.3">
      <c r="A64" s="69">
        <v>58</v>
      </c>
      <c r="B64" s="72" t="s">
        <v>79</v>
      </c>
      <c r="C64" s="73" t="s">
        <v>80</v>
      </c>
      <c r="D64" s="74">
        <v>66447</v>
      </c>
      <c r="E64" s="74">
        <v>0</v>
      </c>
      <c r="F64" s="74">
        <v>0</v>
      </c>
    </row>
    <row r="65" spans="1:6" x14ac:dyDescent="0.3">
      <c r="A65" s="69">
        <v>59</v>
      </c>
      <c r="B65" s="72" t="s">
        <v>68</v>
      </c>
      <c r="C65" s="73" t="s">
        <v>454</v>
      </c>
      <c r="D65" s="74">
        <v>31219</v>
      </c>
      <c r="E65" s="74">
        <v>218</v>
      </c>
      <c r="F65" s="74">
        <v>0</v>
      </c>
    </row>
    <row r="66" spans="1:6" x14ac:dyDescent="0.3">
      <c r="A66" s="69">
        <v>60</v>
      </c>
      <c r="B66" s="72" t="s">
        <v>66</v>
      </c>
      <c r="C66" s="73" t="s">
        <v>67</v>
      </c>
      <c r="D66" s="74">
        <v>86775</v>
      </c>
      <c r="E66" s="74">
        <v>21338</v>
      </c>
      <c r="F66" s="74">
        <v>0</v>
      </c>
    </row>
    <row r="67" spans="1:6" x14ac:dyDescent="0.3">
      <c r="A67" s="69">
        <v>61</v>
      </c>
      <c r="B67" s="72" t="s">
        <v>70</v>
      </c>
      <c r="C67" s="73" t="s">
        <v>71</v>
      </c>
      <c r="D67" s="74">
        <v>28031</v>
      </c>
      <c r="E67" s="74">
        <v>14380</v>
      </c>
      <c r="F67" s="74">
        <v>0</v>
      </c>
    </row>
    <row r="68" spans="1:6" x14ac:dyDescent="0.3">
      <c r="A68" s="69">
        <v>62</v>
      </c>
      <c r="B68" s="72" t="s">
        <v>72</v>
      </c>
      <c r="C68" s="73" t="s">
        <v>73</v>
      </c>
      <c r="D68" s="74">
        <v>11000</v>
      </c>
      <c r="E68" s="74">
        <v>0</v>
      </c>
      <c r="F68" s="74">
        <v>0</v>
      </c>
    </row>
    <row r="69" spans="1:6" x14ac:dyDescent="0.3">
      <c r="A69" s="69">
        <v>63</v>
      </c>
      <c r="B69" s="72" t="s">
        <v>75</v>
      </c>
      <c r="C69" s="73" t="s">
        <v>455</v>
      </c>
      <c r="D69" s="74">
        <v>3441</v>
      </c>
      <c r="E69" s="74">
        <v>0</v>
      </c>
      <c r="F69" s="74">
        <v>0</v>
      </c>
    </row>
    <row r="70" spans="1:6" x14ac:dyDescent="0.3">
      <c r="A70" s="69">
        <v>64</v>
      </c>
      <c r="B70" s="72" t="s">
        <v>141</v>
      </c>
      <c r="C70" s="73" t="s">
        <v>456</v>
      </c>
      <c r="D70" s="74">
        <v>27110</v>
      </c>
      <c r="E70" s="74">
        <v>0</v>
      </c>
      <c r="F70" s="74">
        <v>0</v>
      </c>
    </row>
    <row r="71" spans="1:6" x14ac:dyDescent="0.3">
      <c r="A71" s="69">
        <v>65</v>
      </c>
      <c r="B71" s="72" t="s">
        <v>143</v>
      </c>
      <c r="C71" s="73" t="s">
        <v>144</v>
      </c>
      <c r="D71" s="74">
        <v>17023</v>
      </c>
      <c r="E71" s="74">
        <v>0</v>
      </c>
      <c r="F71" s="74">
        <v>0</v>
      </c>
    </row>
    <row r="72" spans="1:6" x14ac:dyDescent="0.3">
      <c r="A72" s="69">
        <v>66</v>
      </c>
      <c r="B72" s="72" t="s">
        <v>161</v>
      </c>
      <c r="C72" s="73" t="s">
        <v>162</v>
      </c>
      <c r="D72" s="74">
        <v>40458</v>
      </c>
      <c r="E72" s="74">
        <v>9113</v>
      </c>
      <c r="F72" s="74">
        <v>0</v>
      </c>
    </row>
    <row r="73" spans="1:6" x14ac:dyDescent="0.3">
      <c r="A73" s="69">
        <v>67</v>
      </c>
      <c r="B73" s="72" t="s">
        <v>145</v>
      </c>
      <c r="C73" s="73" t="s">
        <v>457</v>
      </c>
      <c r="D73" s="74">
        <v>37640</v>
      </c>
      <c r="E73" s="74">
        <v>0</v>
      </c>
      <c r="F73" s="74">
        <v>0</v>
      </c>
    </row>
    <row r="74" spans="1:6" x14ac:dyDescent="0.3">
      <c r="A74" s="69">
        <v>68</v>
      </c>
      <c r="B74" s="72" t="s">
        <v>167</v>
      </c>
      <c r="C74" s="73" t="s">
        <v>168</v>
      </c>
      <c r="D74" s="74">
        <v>10410</v>
      </c>
      <c r="E74" s="74">
        <v>0</v>
      </c>
      <c r="F74" s="74">
        <v>0</v>
      </c>
    </row>
    <row r="75" spans="1:6" x14ac:dyDescent="0.3">
      <c r="A75" s="69">
        <v>69</v>
      </c>
      <c r="B75" s="72" t="s">
        <v>165</v>
      </c>
      <c r="C75" s="73" t="s">
        <v>166</v>
      </c>
      <c r="D75" s="74">
        <v>71548</v>
      </c>
      <c r="E75" s="74">
        <v>26217</v>
      </c>
      <c r="F75" s="74">
        <v>15451</v>
      </c>
    </row>
    <row r="76" spans="1:6" x14ac:dyDescent="0.3">
      <c r="A76" s="69">
        <v>70</v>
      </c>
      <c r="B76" s="72" t="s">
        <v>169</v>
      </c>
      <c r="C76" s="73" t="s">
        <v>170</v>
      </c>
      <c r="D76" s="74">
        <v>47484</v>
      </c>
      <c r="E76" s="74">
        <v>0</v>
      </c>
      <c r="F76" s="74">
        <v>0</v>
      </c>
    </row>
    <row r="77" spans="1:6" x14ac:dyDescent="0.3">
      <c r="A77" s="69">
        <v>71</v>
      </c>
      <c r="B77" s="72" t="s">
        <v>173</v>
      </c>
      <c r="C77" s="73" t="s">
        <v>301</v>
      </c>
      <c r="D77" s="74">
        <v>39227</v>
      </c>
      <c r="E77" s="74">
        <v>0</v>
      </c>
      <c r="F77" s="74">
        <v>0</v>
      </c>
    </row>
    <row r="78" spans="1:6" x14ac:dyDescent="0.3">
      <c r="A78" s="69">
        <v>72</v>
      </c>
      <c r="B78" s="72" t="s">
        <v>163</v>
      </c>
      <c r="C78" s="73" t="s">
        <v>458</v>
      </c>
      <c r="D78" s="74">
        <v>72072</v>
      </c>
      <c r="E78" s="74">
        <v>20018</v>
      </c>
      <c r="F78" s="74">
        <v>0</v>
      </c>
    </row>
    <row r="79" spans="1:6" x14ac:dyDescent="0.3">
      <c r="A79" s="69">
        <v>73</v>
      </c>
      <c r="B79" s="72" t="s">
        <v>171</v>
      </c>
      <c r="C79" s="73" t="s">
        <v>172</v>
      </c>
      <c r="D79" s="74">
        <v>28322</v>
      </c>
      <c r="E79" s="74">
        <v>0</v>
      </c>
      <c r="F79" s="74">
        <v>0</v>
      </c>
    </row>
    <row r="80" spans="1:6" x14ac:dyDescent="0.3">
      <c r="A80" s="69">
        <v>74</v>
      </c>
      <c r="B80" s="72" t="s">
        <v>127</v>
      </c>
      <c r="C80" s="73" t="s">
        <v>128</v>
      </c>
      <c r="D80" s="74">
        <v>9455</v>
      </c>
      <c r="E80" s="74">
        <v>0</v>
      </c>
      <c r="F80" s="74">
        <v>0</v>
      </c>
    </row>
    <row r="81" spans="1:12" x14ac:dyDescent="0.3">
      <c r="A81" s="69">
        <v>75</v>
      </c>
      <c r="B81" s="72" t="s">
        <v>129</v>
      </c>
      <c r="C81" s="73" t="s">
        <v>459</v>
      </c>
      <c r="D81" s="74">
        <v>7747</v>
      </c>
      <c r="E81" s="74">
        <v>0</v>
      </c>
      <c r="F81" s="74">
        <v>0</v>
      </c>
    </row>
    <row r="82" spans="1:12" x14ac:dyDescent="0.3">
      <c r="A82" s="69">
        <v>76</v>
      </c>
      <c r="B82" s="72" t="s">
        <v>131</v>
      </c>
      <c r="C82" s="73" t="s">
        <v>460</v>
      </c>
      <c r="D82" s="74">
        <v>26783</v>
      </c>
      <c r="E82" s="74">
        <v>13883</v>
      </c>
      <c r="F82" s="74">
        <v>0</v>
      </c>
    </row>
    <row r="83" spans="1:12" x14ac:dyDescent="0.3">
      <c r="A83" s="69">
        <v>77</v>
      </c>
      <c r="B83" s="72" t="s">
        <v>133</v>
      </c>
      <c r="C83" s="73" t="s">
        <v>299</v>
      </c>
      <c r="D83" s="74">
        <v>32693</v>
      </c>
      <c r="E83" s="74">
        <v>18898</v>
      </c>
      <c r="F83" s="74">
        <v>0</v>
      </c>
    </row>
    <row r="84" spans="1:12" x14ac:dyDescent="0.3">
      <c r="A84" s="69">
        <v>78</v>
      </c>
      <c r="B84" s="72" t="s">
        <v>135</v>
      </c>
      <c r="C84" s="73" t="s">
        <v>461</v>
      </c>
      <c r="D84" s="74">
        <v>7229</v>
      </c>
      <c r="E84" s="74">
        <v>0</v>
      </c>
      <c r="F84" s="74">
        <v>0</v>
      </c>
    </row>
    <row r="85" spans="1:12" ht="22.5" x14ac:dyDescent="0.3">
      <c r="A85" s="69">
        <v>79</v>
      </c>
      <c r="B85" s="72" t="s">
        <v>139</v>
      </c>
      <c r="C85" s="73" t="s">
        <v>462</v>
      </c>
      <c r="D85" s="74">
        <v>9725</v>
      </c>
      <c r="E85" s="74">
        <v>0</v>
      </c>
      <c r="F85" s="74">
        <v>0</v>
      </c>
    </row>
    <row r="86" spans="1:12" ht="22.5" x14ac:dyDescent="0.3">
      <c r="A86" s="69">
        <v>80</v>
      </c>
      <c r="B86" s="72" t="s">
        <v>149</v>
      </c>
      <c r="C86" s="73" t="s">
        <v>463</v>
      </c>
      <c r="D86" s="74">
        <v>23051</v>
      </c>
      <c r="E86" s="74">
        <v>0</v>
      </c>
      <c r="F86" s="74">
        <v>0</v>
      </c>
    </row>
    <row r="87" spans="1:12" x14ac:dyDescent="0.3">
      <c r="A87" s="69">
        <v>81</v>
      </c>
      <c r="B87" s="72" t="s">
        <v>183</v>
      </c>
      <c r="C87" s="73" t="s">
        <v>464</v>
      </c>
      <c r="D87" s="74">
        <v>2787</v>
      </c>
      <c r="E87" s="74">
        <v>0</v>
      </c>
      <c r="F87" s="74">
        <v>0</v>
      </c>
    </row>
    <row r="88" spans="1:12" x14ac:dyDescent="0.3">
      <c r="A88" s="69">
        <v>82</v>
      </c>
      <c r="B88" s="72" t="s">
        <v>185</v>
      </c>
      <c r="C88" s="73" t="s">
        <v>465</v>
      </c>
      <c r="D88" s="74">
        <v>7628</v>
      </c>
      <c r="E88" s="74">
        <v>0</v>
      </c>
      <c r="F88" s="74">
        <v>0</v>
      </c>
    </row>
    <row r="89" spans="1:12" x14ac:dyDescent="0.3">
      <c r="A89" s="1210">
        <v>83</v>
      </c>
      <c r="B89" s="1211" t="s">
        <v>178</v>
      </c>
      <c r="C89" s="73" t="s">
        <v>466</v>
      </c>
      <c r="D89" s="74">
        <v>15883</v>
      </c>
      <c r="E89" s="74">
        <v>0</v>
      </c>
      <c r="F89" s="74">
        <v>12411</v>
      </c>
    </row>
    <row r="90" spans="1:12" ht="22.5" x14ac:dyDescent="0.3">
      <c r="A90" s="1210"/>
      <c r="B90" s="1211"/>
      <c r="C90" s="73" t="s">
        <v>467</v>
      </c>
      <c r="D90" s="74">
        <v>3472</v>
      </c>
      <c r="E90" s="74">
        <v>0</v>
      </c>
      <c r="F90" s="74">
        <v>0</v>
      </c>
    </row>
    <row r="91" spans="1:12" ht="33.75" x14ac:dyDescent="0.3">
      <c r="A91" s="1210"/>
      <c r="B91" s="1211"/>
      <c r="C91" s="73" t="s">
        <v>509</v>
      </c>
      <c r="D91" s="74">
        <v>12411</v>
      </c>
      <c r="E91" s="74">
        <v>0</v>
      </c>
      <c r="F91" s="74">
        <v>12411</v>
      </c>
    </row>
    <row r="92" spans="1:12" x14ac:dyDescent="0.3">
      <c r="A92" s="69">
        <v>84</v>
      </c>
      <c r="B92" s="72" t="s">
        <v>264</v>
      </c>
      <c r="C92" s="73" t="s">
        <v>265</v>
      </c>
      <c r="D92" s="74">
        <v>30209</v>
      </c>
      <c r="E92" s="74">
        <v>23013</v>
      </c>
      <c r="F92" s="74">
        <v>0</v>
      </c>
    </row>
    <row r="93" spans="1:12" x14ac:dyDescent="0.3">
      <c r="A93" s="69">
        <v>85</v>
      </c>
      <c r="B93" s="72" t="s">
        <v>278</v>
      </c>
      <c r="C93" s="73" t="s">
        <v>279</v>
      </c>
      <c r="D93" s="74">
        <v>76129</v>
      </c>
      <c r="E93" s="74">
        <v>25500</v>
      </c>
      <c r="F93" s="74">
        <v>0</v>
      </c>
      <c r="J93" s="407"/>
      <c r="K93" s="407"/>
      <c r="L93" s="407"/>
    </row>
    <row r="94" spans="1:12" x14ac:dyDescent="0.3">
      <c r="A94" s="69">
        <v>86</v>
      </c>
      <c r="B94" s="72" t="s">
        <v>276</v>
      </c>
      <c r="C94" s="73" t="s">
        <v>277</v>
      </c>
      <c r="D94" s="74">
        <v>51248</v>
      </c>
      <c r="E94" s="74">
        <v>0</v>
      </c>
      <c r="F94" s="74">
        <v>0</v>
      </c>
    </row>
    <row r="95" spans="1:12" x14ac:dyDescent="0.3">
      <c r="A95" s="69">
        <v>87</v>
      </c>
      <c r="B95" s="72" t="s">
        <v>280</v>
      </c>
      <c r="C95" s="73" t="s">
        <v>468</v>
      </c>
      <c r="D95" s="74">
        <v>4000</v>
      </c>
      <c r="E95" s="74">
        <v>0</v>
      </c>
      <c r="F95" s="74">
        <v>0</v>
      </c>
    </row>
    <row r="96" spans="1:12" x14ac:dyDescent="0.3">
      <c r="A96" s="69">
        <v>88</v>
      </c>
      <c r="B96" s="72" t="s">
        <v>262</v>
      </c>
      <c r="C96" s="73" t="s">
        <v>263</v>
      </c>
      <c r="D96" s="74">
        <v>700</v>
      </c>
      <c r="E96" s="74">
        <v>0</v>
      </c>
      <c r="F96" s="74">
        <v>0</v>
      </c>
    </row>
    <row r="97" spans="1:6" x14ac:dyDescent="0.3">
      <c r="A97" s="69"/>
      <c r="B97" s="69"/>
      <c r="C97" s="73" t="s">
        <v>14</v>
      </c>
      <c r="D97" s="74">
        <v>9204</v>
      </c>
      <c r="E97" s="74">
        <v>0</v>
      </c>
      <c r="F97" s="74">
        <v>0</v>
      </c>
    </row>
    <row r="98" spans="1:6" x14ac:dyDescent="0.3">
      <c r="A98" s="69"/>
      <c r="B98" s="69"/>
      <c r="C98" s="438" t="s">
        <v>469</v>
      </c>
      <c r="D98" s="439">
        <f>SUM(D7:D97)-D89</f>
        <v>2114735</v>
      </c>
      <c r="E98" s="439">
        <f>SUM(E7:E97)-E89</f>
        <v>172578</v>
      </c>
      <c r="F98" s="439">
        <f>SUM(F7:F97)-F89</f>
        <v>27862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124"/>
  <sheetViews>
    <sheetView zoomScale="95" zoomScaleNormal="95" workbookViewId="0">
      <pane xSplit="3" ySplit="8" topLeftCell="D80" activePane="bottomRight" state="frozen"/>
      <selection pane="topRight" activeCell="D1" sqref="D1"/>
      <selection pane="bottomLeft" activeCell="A9" sqref="A9"/>
      <selection pane="bottomRight" activeCell="C84" sqref="C84"/>
    </sheetView>
  </sheetViews>
  <sheetFormatPr defaultRowHeight="15" x14ac:dyDescent="0.25"/>
  <cols>
    <col min="1" max="1" width="6" style="892" customWidth="1"/>
    <col min="2" max="2" width="8" style="892" customWidth="1"/>
    <col min="3" max="3" width="26.28515625" style="892" customWidth="1"/>
    <col min="4" max="6" width="9.140625" style="892"/>
    <col min="7" max="8" width="10.42578125" style="892" customWidth="1"/>
    <col min="9" max="9" width="9.140625" style="892"/>
    <col min="10" max="10" width="10" style="892" customWidth="1"/>
    <col min="11" max="11" width="10.7109375" style="892" customWidth="1"/>
    <col min="12" max="16384" width="9.140625" style="892"/>
  </cols>
  <sheetData>
    <row r="1" spans="1:12" x14ac:dyDescent="0.25">
      <c r="A1" s="891"/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</row>
    <row r="2" spans="1:12" ht="15.75" x14ac:dyDescent="0.25">
      <c r="A2" s="893" t="s">
        <v>470</v>
      </c>
      <c r="B2" s="891"/>
      <c r="C2" s="891"/>
      <c r="D2" s="891"/>
      <c r="E2" s="891"/>
      <c r="F2" s="891"/>
      <c r="G2" s="891"/>
      <c r="H2" s="891"/>
      <c r="I2" s="891"/>
      <c r="J2" s="891"/>
      <c r="K2" s="891"/>
      <c r="L2" s="891"/>
    </row>
    <row r="3" spans="1:12" x14ac:dyDescent="0.25">
      <c r="A3" s="891"/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</row>
    <row r="4" spans="1:12" ht="15" customHeight="1" x14ac:dyDescent="0.25">
      <c r="A4" s="1220" t="s">
        <v>0</v>
      </c>
      <c r="B4" s="1220" t="s">
        <v>302</v>
      </c>
      <c r="C4" s="1220" t="s">
        <v>471</v>
      </c>
      <c r="D4" s="1220" t="s">
        <v>472</v>
      </c>
      <c r="E4" s="1214" t="s">
        <v>293</v>
      </c>
      <c r="F4" s="1215"/>
      <c r="G4" s="1215"/>
      <c r="H4" s="1215"/>
      <c r="I4" s="1215"/>
      <c r="J4" s="1215"/>
      <c r="K4" s="1215"/>
      <c r="L4" s="1216"/>
    </row>
    <row r="5" spans="1:12" ht="63.75" customHeight="1" x14ac:dyDescent="0.25">
      <c r="A5" s="1220"/>
      <c r="B5" s="1220"/>
      <c r="C5" s="1220"/>
      <c r="D5" s="1220"/>
      <c r="E5" s="1218" t="s">
        <v>473</v>
      </c>
      <c r="F5" s="1218" t="s">
        <v>474</v>
      </c>
      <c r="G5" s="1218" t="s">
        <v>475</v>
      </c>
      <c r="H5" s="1218" t="s">
        <v>476</v>
      </c>
      <c r="I5" s="1214" t="s">
        <v>477</v>
      </c>
      <c r="J5" s="1215"/>
      <c r="K5" s="1215"/>
      <c r="L5" s="1216"/>
    </row>
    <row r="6" spans="1:12" x14ac:dyDescent="0.25">
      <c r="A6" s="1220"/>
      <c r="B6" s="1220"/>
      <c r="C6" s="1220"/>
      <c r="D6" s="1220"/>
      <c r="E6" s="1218"/>
      <c r="F6" s="1218"/>
      <c r="G6" s="1218"/>
      <c r="H6" s="1218"/>
      <c r="I6" s="1218" t="s">
        <v>6</v>
      </c>
      <c r="J6" s="1214" t="s">
        <v>293</v>
      </c>
      <c r="K6" s="1215"/>
      <c r="L6" s="1216"/>
    </row>
    <row r="7" spans="1:12" ht="29.25" customHeight="1" x14ac:dyDescent="0.25">
      <c r="A7" s="1220"/>
      <c r="B7" s="1220"/>
      <c r="C7" s="1220"/>
      <c r="D7" s="1220"/>
      <c r="E7" s="1218"/>
      <c r="F7" s="1218"/>
      <c r="G7" s="1218"/>
      <c r="H7" s="1218"/>
      <c r="I7" s="1218"/>
      <c r="J7" s="1218" t="s">
        <v>478</v>
      </c>
      <c r="K7" s="1214" t="s">
        <v>346</v>
      </c>
      <c r="L7" s="1216"/>
    </row>
    <row r="8" spans="1:12" ht="47.25" customHeight="1" x14ac:dyDescent="0.25">
      <c r="A8" s="1220"/>
      <c r="B8" s="1220"/>
      <c r="C8" s="1220"/>
      <c r="D8" s="1220"/>
      <c r="E8" s="1218"/>
      <c r="F8" s="1218"/>
      <c r="G8" s="1218"/>
      <c r="H8" s="1218"/>
      <c r="I8" s="1218"/>
      <c r="J8" s="1218"/>
      <c r="K8" s="894" t="s">
        <v>297</v>
      </c>
      <c r="L8" s="894" t="s">
        <v>808</v>
      </c>
    </row>
    <row r="9" spans="1:12" x14ac:dyDescent="0.25">
      <c r="A9" s="895">
        <v>1</v>
      </c>
      <c r="B9" s="895">
        <v>2</v>
      </c>
      <c r="C9" s="895">
        <v>3</v>
      </c>
      <c r="D9" s="895">
        <v>4</v>
      </c>
      <c r="E9" s="896">
        <v>5</v>
      </c>
      <c r="F9" s="895">
        <v>6</v>
      </c>
      <c r="G9" s="895">
        <v>7</v>
      </c>
      <c r="H9" s="895">
        <v>8</v>
      </c>
      <c r="I9" s="895">
        <v>9</v>
      </c>
      <c r="J9" s="896">
        <v>10</v>
      </c>
      <c r="K9" s="895">
        <v>11</v>
      </c>
      <c r="L9" s="895">
        <v>12</v>
      </c>
    </row>
    <row r="10" spans="1:12" x14ac:dyDescent="0.25">
      <c r="A10" s="897">
        <v>1</v>
      </c>
      <c r="B10" s="897">
        <v>25004</v>
      </c>
      <c r="C10" s="898" t="s">
        <v>17</v>
      </c>
      <c r="D10" s="899">
        <f>E10+F10+G10+H10+I10</f>
        <v>31774</v>
      </c>
      <c r="E10" s="899">
        <v>0</v>
      </c>
      <c r="F10" s="899">
        <v>0</v>
      </c>
      <c r="G10" s="899">
        <v>0</v>
      </c>
      <c r="H10" s="899">
        <v>0</v>
      </c>
      <c r="I10" s="899">
        <v>31774</v>
      </c>
      <c r="J10" s="899">
        <v>8205</v>
      </c>
      <c r="K10" s="899">
        <v>23569</v>
      </c>
      <c r="L10" s="899">
        <v>12</v>
      </c>
    </row>
    <row r="11" spans="1:12" x14ac:dyDescent="0.25">
      <c r="A11" s="897">
        <v>2</v>
      </c>
      <c r="B11" s="897">
        <v>22103</v>
      </c>
      <c r="C11" s="898" t="s">
        <v>19</v>
      </c>
      <c r="D11" s="899">
        <f t="shared" ref="D11:D74" si="0">E11+F11+G11+H11+I11</f>
        <v>32004</v>
      </c>
      <c r="E11" s="899">
        <v>0</v>
      </c>
      <c r="F11" s="899">
        <v>0</v>
      </c>
      <c r="G11" s="899">
        <v>0</v>
      </c>
      <c r="H11" s="899">
        <v>0</v>
      </c>
      <c r="I11" s="899">
        <v>32004</v>
      </c>
      <c r="J11" s="899">
        <v>9269</v>
      </c>
      <c r="K11" s="899">
        <v>22735</v>
      </c>
      <c r="L11" s="899">
        <v>121</v>
      </c>
    </row>
    <row r="12" spans="1:12" x14ac:dyDescent="0.25">
      <c r="A12" s="897">
        <v>3</v>
      </c>
      <c r="B12" s="897">
        <v>25001</v>
      </c>
      <c r="C12" s="898" t="s">
        <v>21</v>
      </c>
      <c r="D12" s="899">
        <f t="shared" si="0"/>
        <v>101819</v>
      </c>
      <c r="E12" s="899">
        <v>0</v>
      </c>
      <c r="F12" s="899">
        <v>3749</v>
      </c>
      <c r="G12" s="899">
        <v>0</v>
      </c>
      <c r="H12" s="899">
        <v>0</v>
      </c>
      <c r="I12" s="899">
        <v>98070</v>
      </c>
      <c r="J12" s="899">
        <v>34847</v>
      </c>
      <c r="K12" s="899">
        <v>63223</v>
      </c>
      <c r="L12" s="899">
        <v>2</v>
      </c>
    </row>
    <row r="13" spans="1:12" ht="27" customHeight="1" x14ac:dyDescent="0.25">
      <c r="A13" s="897">
        <v>4</v>
      </c>
      <c r="B13" s="897">
        <v>21668</v>
      </c>
      <c r="C13" s="898" t="s">
        <v>479</v>
      </c>
      <c r="D13" s="899">
        <f t="shared" si="0"/>
        <v>0</v>
      </c>
      <c r="E13" s="899">
        <v>0</v>
      </c>
      <c r="F13" s="899">
        <v>0</v>
      </c>
      <c r="G13" s="899">
        <v>0</v>
      </c>
      <c r="H13" s="899">
        <v>0</v>
      </c>
      <c r="I13" s="899">
        <v>0</v>
      </c>
      <c r="J13" s="899">
        <v>0</v>
      </c>
      <c r="K13" s="899">
        <v>0</v>
      </c>
      <c r="L13" s="899">
        <v>0</v>
      </c>
    </row>
    <row r="14" spans="1:12" x14ac:dyDescent="0.25">
      <c r="A14" s="897">
        <v>5</v>
      </c>
      <c r="B14" s="897">
        <v>25005</v>
      </c>
      <c r="C14" s="898" t="s">
        <v>23</v>
      </c>
      <c r="D14" s="899">
        <f t="shared" si="0"/>
        <v>34766</v>
      </c>
      <c r="E14" s="899">
        <v>0</v>
      </c>
      <c r="F14" s="899">
        <v>0</v>
      </c>
      <c r="G14" s="899">
        <v>0</v>
      </c>
      <c r="H14" s="899">
        <v>0</v>
      </c>
      <c r="I14" s="899">
        <v>34766</v>
      </c>
      <c r="J14" s="899">
        <v>8884</v>
      </c>
      <c r="K14" s="899">
        <v>25882</v>
      </c>
      <c r="L14" s="899">
        <v>0</v>
      </c>
    </row>
    <row r="15" spans="1:12" ht="25.5" customHeight="1" x14ac:dyDescent="0.25">
      <c r="A15" s="897">
        <v>6</v>
      </c>
      <c r="B15" s="897">
        <v>22102</v>
      </c>
      <c r="C15" s="898" t="s">
        <v>25</v>
      </c>
      <c r="D15" s="899">
        <f t="shared" si="0"/>
        <v>37842</v>
      </c>
      <c r="E15" s="899">
        <v>0</v>
      </c>
      <c r="F15" s="899">
        <v>0</v>
      </c>
      <c r="G15" s="899">
        <v>0</v>
      </c>
      <c r="H15" s="899">
        <v>0</v>
      </c>
      <c r="I15" s="899">
        <v>37842</v>
      </c>
      <c r="J15" s="899">
        <v>9883</v>
      </c>
      <c r="K15" s="899">
        <v>27959</v>
      </c>
      <c r="L15" s="899">
        <v>16</v>
      </c>
    </row>
    <row r="16" spans="1:12" x14ac:dyDescent="0.25">
      <c r="A16" s="897">
        <v>7</v>
      </c>
      <c r="B16" s="897">
        <v>21201</v>
      </c>
      <c r="C16" s="898" t="s">
        <v>27</v>
      </c>
      <c r="D16" s="899">
        <f t="shared" si="0"/>
        <v>274866</v>
      </c>
      <c r="E16" s="899">
        <v>0</v>
      </c>
      <c r="F16" s="899">
        <v>6396</v>
      </c>
      <c r="G16" s="899">
        <v>0</v>
      </c>
      <c r="H16" s="899">
        <v>0</v>
      </c>
      <c r="I16" s="899">
        <v>268470</v>
      </c>
      <c r="J16" s="899">
        <v>70608</v>
      </c>
      <c r="K16" s="899">
        <v>197862</v>
      </c>
      <c r="L16" s="899">
        <v>2775</v>
      </c>
    </row>
    <row r="17" spans="1:12" x14ac:dyDescent="0.25">
      <c r="A17" s="897">
        <v>8</v>
      </c>
      <c r="B17" s="897">
        <v>27001</v>
      </c>
      <c r="C17" s="898" t="s">
        <v>29</v>
      </c>
      <c r="D17" s="899">
        <f t="shared" si="0"/>
        <v>97690</v>
      </c>
      <c r="E17" s="899">
        <v>0</v>
      </c>
      <c r="F17" s="899">
        <v>0</v>
      </c>
      <c r="G17" s="899">
        <v>0</v>
      </c>
      <c r="H17" s="899">
        <v>0</v>
      </c>
      <c r="I17" s="899">
        <v>97690</v>
      </c>
      <c r="J17" s="899">
        <v>32676</v>
      </c>
      <c r="K17" s="899">
        <v>65014</v>
      </c>
      <c r="L17" s="899">
        <v>673</v>
      </c>
    </row>
    <row r="18" spans="1:12" x14ac:dyDescent="0.25">
      <c r="A18" s="897">
        <v>9</v>
      </c>
      <c r="B18" s="897">
        <v>21206</v>
      </c>
      <c r="C18" s="898" t="s">
        <v>31</v>
      </c>
      <c r="D18" s="899">
        <f t="shared" si="0"/>
        <v>40544</v>
      </c>
      <c r="E18" s="899">
        <v>0</v>
      </c>
      <c r="F18" s="899">
        <v>0</v>
      </c>
      <c r="G18" s="899">
        <v>0</v>
      </c>
      <c r="H18" s="899">
        <v>0</v>
      </c>
      <c r="I18" s="899">
        <v>40544</v>
      </c>
      <c r="J18" s="899">
        <v>11013</v>
      </c>
      <c r="K18" s="899">
        <v>29531</v>
      </c>
      <c r="L18" s="899">
        <v>124</v>
      </c>
    </row>
    <row r="19" spans="1:12" x14ac:dyDescent="0.25">
      <c r="A19" s="897">
        <v>10</v>
      </c>
      <c r="B19" s="897">
        <v>25003</v>
      </c>
      <c r="C19" s="898" t="s">
        <v>33</v>
      </c>
      <c r="D19" s="899">
        <f t="shared" si="0"/>
        <v>35290</v>
      </c>
      <c r="E19" s="899">
        <v>0</v>
      </c>
      <c r="F19" s="899">
        <v>0</v>
      </c>
      <c r="G19" s="899">
        <v>0</v>
      </c>
      <c r="H19" s="899">
        <v>0</v>
      </c>
      <c r="I19" s="899">
        <v>35290</v>
      </c>
      <c r="J19" s="899">
        <v>9621</v>
      </c>
      <c r="K19" s="899">
        <v>25669</v>
      </c>
      <c r="L19" s="899">
        <v>84</v>
      </c>
    </row>
    <row r="20" spans="1:12" x14ac:dyDescent="0.25">
      <c r="A20" s="897">
        <v>11</v>
      </c>
      <c r="B20" s="897">
        <v>21205</v>
      </c>
      <c r="C20" s="898" t="s">
        <v>35</v>
      </c>
      <c r="D20" s="899">
        <f t="shared" si="0"/>
        <v>45243</v>
      </c>
      <c r="E20" s="899">
        <v>0</v>
      </c>
      <c r="F20" s="899">
        <v>0</v>
      </c>
      <c r="G20" s="899">
        <v>0</v>
      </c>
      <c r="H20" s="899">
        <v>0</v>
      </c>
      <c r="I20" s="899">
        <v>45243</v>
      </c>
      <c r="J20" s="899">
        <v>12249</v>
      </c>
      <c r="K20" s="899">
        <v>32994</v>
      </c>
      <c r="L20" s="899">
        <v>62</v>
      </c>
    </row>
    <row r="21" spans="1:12" x14ac:dyDescent="0.25">
      <c r="A21" s="897">
        <v>12</v>
      </c>
      <c r="B21" s="897">
        <v>25002</v>
      </c>
      <c r="C21" s="898" t="s">
        <v>37</v>
      </c>
      <c r="D21" s="899">
        <f t="shared" si="0"/>
        <v>36971</v>
      </c>
      <c r="E21" s="899">
        <v>0</v>
      </c>
      <c r="F21" s="899">
        <v>0</v>
      </c>
      <c r="G21" s="899">
        <v>0</v>
      </c>
      <c r="H21" s="899">
        <v>0</v>
      </c>
      <c r="I21" s="899">
        <v>36971</v>
      </c>
      <c r="J21" s="899">
        <v>8576</v>
      </c>
      <c r="K21" s="899">
        <v>28395</v>
      </c>
      <c r="L21" s="899">
        <v>2</v>
      </c>
    </row>
    <row r="22" spans="1:12" x14ac:dyDescent="0.25">
      <c r="A22" s="897">
        <v>13</v>
      </c>
      <c r="B22" s="897">
        <v>22104</v>
      </c>
      <c r="C22" s="898" t="s">
        <v>39</v>
      </c>
      <c r="D22" s="899">
        <f t="shared" si="0"/>
        <v>72553</v>
      </c>
      <c r="E22" s="899">
        <v>0</v>
      </c>
      <c r="F22" s="899">
        <v>0</v>
      </c>
      <c r="G22" s="899">
        <v>0</v>
      </c>
      <c r="H22" s="899">
        <v>0</v>
      </c>
      <c r="I22" s="899">
        <v>72553</v>
      </c>
      <c r="J22" s="899">
        <v>26158</v>
      </c>
      <c r="K22" s="899">
        <v>46395</v>
      </c>
      <c r="L22" s="899">
        <v>486</v>
      </c>
    </row>
    <row r="23" spans="1:12" x14ac:dyDescent="0.25">
      <c r="A23" s="897">
        <v>14</v>
      </c>
      <c r="B23" s="897">
        <v>21501</v>
      </c>
      <c r="C23" s="898" t="s">
        <v>45</v>
      </c>
      <c r="D23" s="899">
        <f t="shared" si="0"/>
        <v>47999</v>
      </c>
      <c r="E23" s="899">
        <v>0</v>
      </c>
      <c r="F23" s="899">
        <v>0</v>
      </c>
      <c r="G23" s="899">
        <v>0</v>
      </c>
      <c r="H23" s="899">
        <v>0</v>
      </c>
      <c r="I23" s="899">
        <v>47999</v>
      </c>
      <c r="J23" s="899">
        <v>10911</v>
      </c>
      <c r="K23" s="899">
        <v>37088</v>
      </c>
      <c r="L23" s="899">
        <v>2</v>
      </c>
    </row>
    <row r="24" spans="1:12" x14ac:dyDescent="0.25">
      <c r="A24" s="897">
        <v>15</v>
      </c>
      <c r="B24" s="897">
        <v>24001</v>
      </c>
      <c r="C24" s="898" t="s">
        <v>47</v>
      </c>
      <c r="D24" s="899">
        <f t="shared" si="0"/>
        <v>71295</v>
      </c>
      <c r="E24" s="899">
        <v>0</v>
      </c>
      <c r="F24" s="899">
        <v>0</v>
      </c>
      <c r="G24" s="899">
        <v>0</v>
      </c>
      <c r="H24" s="899">
        <v>0</v>
      </c>
      <c r="I24" s="899">
        <v>71295</v>
      </c>
      <c r="J24" s="899">
        <v>10039</v>
      </c>
      <c r="K24" s="899">
        <v>61256</v>
      </c>
      <c r="L24" s="899">
        <v>2</v>
      </c>
    </row>
    <row r="25" spans="1:12" x14ac:dyDescent="0.25">
      <c r="A25" s="897">
        <v>16</v>
      </c>
      <c r="B25" s="897">
        <v>22001</v>
      </c>
      <c r="C25" s="898" t="s">
        <v>49</v>
      </c>
      <c r="D25" s="899">
        <f t="shared" si="0"/>
        <v>92878</v>
      </c>
      <c r="E25" s="899">
        <v>0</v>
      </c>
      <c r="F25" s="899">
        <v>0</v>
      </c>
      <c r="G25" s="899">
        <v>0</v>
      </c>
      <c r="H25" s="899">
        <v>0</v>
      </c>
      <c r="I25" s="899">
        <v>92878</v>
      </c>
      <c r="J25" s="899">
        <v>29498</v>
      </c>
      <c r="K25" s="899">
        <v>63380</v>
      </c>
      <c r="L25" s="899">
        <v>0</v>
      </c>
    </row>
    <row r="26" spans="1:12" x14ac:dyDescent="0.25">
      <c r="A26" s="897">
        <v>17</v>
      </c>
      <c r="B26" s="897">
        <v>24005</v>
      </c>
      <c r="C26" s="898" t="s">
        <v>51</v>
      </c>
      <c r="D26" s="899">
        <f t="shared" si="0"/>
        <v>174663</v>
      </c>
      <c r="E26" s="899">
        <v>0</v>
      </c>
      <c r="F26" s="899">
        <v>5175</v>
      </c>
      <c r="G26" s="899">
        <v>0</v>
      </c>
      <c r="H26" s="899">
        <v>0</v>
      </c>
      <c r="I26" s="899">
        <v>169488</v>
      </c>
      <c r="J26" s="899">
        <v>51140</v>
      </c>
      <c r="K26" s="899">
        <v>118348</v>
      </c>
      <c r="L26" s="899">
        <v>705</v>
      </c>
    </row>
    <row r="27" spans="1:12" x14ac:dyDescent="0.25">
      <c r="A27" s="897">
        <v>18</v>
      </c>
      <c r="B27" s="897">
        <v>24002</v>
      </c>
      <c r="C27" s="898" t="s">
        <v>53</v>
      </c>
      <c r="D27" s="899">
        <f t="shared" si="0"/>
        <v>29624</v>
      </c>
      <c r="E27" s="899">
        <v>0</v>
      </c>
      <c r="F27" s="899">
        <v>0</v>
      </c>
      <c r="G27" s="899">
        <v>0</v>
      </c>
      <c r="H27" s="899">
        <v>0</v>
      </c>
      <c r="I27" s="899">
        <v>29624</v>
      </c>
      <c r="J27" s="899">
        <v>11727</v>
      </c>
      <c r="K27" s="899">
        <v>17897</v>
      </c>
      <c r="L27" s="899">
        <v>98</v>
      </c>
    </row>
    <row r="28" spans="1:12" x14ac:dyDescent="0.25">
      <c r="A28" s="897">
        <v>19</v>
      </c>
      <c r="B28" s="897">
        <v>22012</v>
      </c>
      <c r="C28" s="898" t="s">
        <v>55</v>
      </c>
      <c r="D28" s="899">
        <f t="shared" si="0"/>
        <v>22831</v>
      </c>
      <c r="E28" s="899">
        <v>0</v>
      </c>
      <c r="F28" s="899">
        <v>0</v>
      </c>
      <c r="G28" s="899">
        <v>0</v>
      </c>
      <c r="H28" s="899">
        <v>0</v>
      </c>
      <c r="I28" s="899">
        <v>22831</v>
      </c>
      <c r="J28" s="899">
        <v>5022</v>
      </c>
      <c r="K28" s="899">
        <v>17809</v>
      </c>
      <c r="L28" s="899">
        <v>50</v>
      </c>
    </row>
    <row r="29" spans="1:12" x14ac:dyDescent="0.25">
      <c r="A29" s="897">
        <v>20</v>
      </c>
      <c r="B29" s="897">
        <v>21901</v>
      </c>
      <c r="C29" s="898" t="s">
        <v>57</v>
      </c>
      <c r="D29" s="899">
        <f t="shared" si="0"/>
        <v>118269</v>
      </c>
      <c r="E29" s="899">
        <v>0</v>
      </c>
      <c r="F29" s="899">
        <v>0</v>
      </c>
      <c r="G29" s="899">
        <v>0</v>
      </c>
      <c r="H29" s="899">
        <v>0</v>
      </c>
      <c r="I29" s="899">
        <v>118269</v>
      </c>
      <c r="J29" s="899">
        <v>49512</v>
      </c>
      <c r="K29" s="899">
        <v>68757</v>
      </c>
      <c r="L29" s="899">
        <v>128</v>
      </c>
    </row>
    <row r="30" spans="1:12" x14ac:dyDescent="0.25">
      <c r="A30" s="897">
        <v>21</v>
      </c>
      <c r="B30" s="897">
        <v>21502</v>
      </c>
      <c r="C30" s="898" t="s">
        <v>59</v>
      </c>
      <c r="D30" s="899">
        <f t="shared" si="0"/>
        <v>104617</v>
      </c>
      <c r="E30" s="899">
        <v>0</v>
      </c>
      <c r="F30" s="899">
        <v>3499</v>
      </c>
      <c r="G30" s="899">
        <v>0</v>
      </c>
      <c r="H30" s="899">
        <v>0</v>
      </c>
      <c r="I30" s="899">
        <v>101118</v>
      </c>
      <c r="J30" s="899">
        <v>32973</v>
      </c>
      <c r="K30" s="899">
        <v>68145</v>
      </c>
      <c r="L30" s="899">
        <v>176</v>
      </c>
    </row>
    <row r="31" spans="1:12" ht="24" x14ac:dyDescent="0.25">
      <c r="A31" s="897">
        <v>22</v>
      </c>
      <c r="B31" s="897">
        <v>24006</v>
      </c>
      <c r="C31" s="898" t="s">
        <v>480</v>
      </c>
      <c r="D31" s="899">
        <f t="shared" si="0"/>
        <v>23662</v>
      </c>
      <c r="E31" s="899">
        <v>0</v>
      </c>
      <c r="F31" s="899">
        <v>0</v>
      </c>
      <c r="G31" s="899">
        <v>0</v>
      </c>
      <c r="H31" s="899">
        <v>0</v>
      </c>
      <c r="I31" s="899">
        <v>23662</v>
      </c>
      <c r="J31" s="899">
        <v>8082</v>
      </c>
      <c r="K31" s="899">
        <v>15580</v>
      </c>
      <c r="L31" s="899">
        <v>740</v>
      </c>
    </row>
    <row r="32" spans="1:12" x14ac:dyDescent="0.25">
      <c r="A32" s="897">
        <v>23</v>
      </c>
      <c r="B32" s="897">
        <v>21601</v>
      </c>
      <c r="C32" s="898" t="s">
        <v>481</v>
      </c>
      <c r="D32" s="899">
        <f t="shared" si="0"/>
        <v>286547</v>
      </c>
      <c r="E32" s="899">
        <v>0</v>
      </c>
      <c r="F32" s="899">
        <v>11479</v>
      </c>
      <c r="G32" s="899">
        <v>0</v>
      </c>
      <c r="H32" s="899">
        <v>4206</v>
      </c>
      <c r="I32" s="899">
        <v>270862</v>
      </c>
      <c r="J32" s="899">
        <v>66558</v>
      </c>
      <c r="K32" s="899">
        <v>204304</v>
      </c>
      <c r="L32" s="899">
        <v>1026</v>
      </c>
    </row>
    <row r="33" spans="1:12" x14ac:dyDescent="0.25">
      <c r="A33" s="897">
        <v>24</v>
      </c>
      <c r="B33" s="897">
        <v>21602</v>
      </c>
      <c r="C33" s="898" t="s">
        <v>482</v>
      </c>
      <c r="D33" s="899">
        <f t="shared" si="0"/>
        <v>78340</v>
      </c>
      <c r="E33" s="899">
        <v>0</v>
      </c>
      <c r="F33" s="899">
        <v>0</v>
      </c>
      <c r="G33" s="899">
        <v>0</v>
      </c>
      <c r="H33" s="899">
        <v>0</v>
      </c>
      <c r="I33" s="899">
        <v>78340</v>
      </c>
      <c r="J33" s="899">
        <v>19039</v>
      </c>
      <c r="K33" s="899">
        <v>59301</v>
      </c>
      <c r="L33" s="899">
        <v>549</v>
      </c>
    </row>
    <row r="34" spans="1:12" x14ac:dyDescent="0.25">
      <c r="A34" s="897">
        <v>25</v>
      </c>
      <c r="B34" s="897">
        <v>21616</v>
      </c>
      <c r="C34" s="898" t="s">
        <v>483</v>
      </c>
      <c r="D34" s="899">
        <f t="shared" si="0"/>
        <v>74735</v>
      </c>
      <c r="E34" s="899">
        <v>0</v>
      </c>
      <c r="F34" s="899">
        <v>0</v>
      </c>
      <c r="G34" s="899">
        <v>0</v>
      </c>
      <c r="H34" s="899">
        <v>3262</v>
      </c>
      <c r="I34" s="899">
        <v>71473</v>
      </c>
      <c r="J34" s="899">
        <v>8675</v>
      </c>
      <c r="K34" s="899">
        <v>62798</v>
      </c>
      <c r="L34" s="899">
        <v>285</v>
      </c>
    </row>
    <row r="35" spans="1:12" x14ac:dyDescent="0.25">
      <c r="A35" s="897">
        <v>26</v>
      </c>
      <c r="B35" s="897">
        <v>21636</v>
      </c>
      <c r="C35" s="898" t="s">
        <v>73</v>
      </c>
      <c r="D35" s="899">
        <f t="shared" si="0"/>
        <v>65442</v>
      </c>
      <c r="E35" s="899">
        <v>0</v>
      </c>
      <c r="F35" s="899">
        <v>0</v>
      </c>
      <c r="G35" s="899">
        <v>65442</v>
      </c>
      <c r="H35" s="899">
        <v>0</v>
      </c>
      <c r="I35" s="899">
        <v>0</v>
      </c>
      <c r="J35" s="899">
        <v>0</v>
      </c>
      <c r="K35" s="899">
        <v>0</v>
      </c>
      <c r="L35" s="899">
        <v>0</v>
      </c>
    </row>
    <row r="36" spans="1:12" ht="24" x14ac:dyDescent="0.25">
      <c r="A36" s="897">
        <v>27</v>
      </c>
      <c r="B36" s="897">
        <v>21604</v>
      </c>
      <c r="C36" s="898" t="s">
        <v>484</v>
      </c>
      <c r="D36" s="899">
        <f t="shared" si="0"/>
        <v>12215</v>
      </c>
      <c r="E36" s="899">
        <v>0</v>
      </c>
      <c r="F36" s="899">
        <v>0</v>
      </c>
      <c r="G36" s="899">
        <v>0</v>
      </c>
      <c r="H36" s="899">
        <v>0</v>
      </c>
      <c r="I36" s="899">
        <v>12215</v>
      </c>
      <c r="J36" s="899">
        <v>4800</v>
      </c>
      <c r="K36" s="899">
        <v>7415</v>
      </c>
      <c r="L36" s="899">
        <v>140</v>
      </c>
    </row>
    <row r="37" spans="1:12" x14ac:dyDescent="0.25">
      <c r="A37" s="897">
        <v>28</v>
      </c>
      <c r="B37" s="897">
        <v>21111</v>
      </c>
      <c r="C37" s="898" t="s">
        <v>78</v>
      </c>
      <c r="D37" s="899">
        <f t="shared" si="0"/>
        <v>142849</v>
      </c>
      <c r="E37" s="899">
        <v>0</v>
      </c>
      <c r="F37" s="899">
        <v>5521</v>
      </c>
      <c r="G37" s="899">
        <v>0</v>
      </c>
      <c r="H37" s="899">
        <v>0</v>
      </c>
      <c r="I37" s="899">
        <v>137328</v>
      </c>
      <c r="J37" s="899">
        <v>41427</v>
      </c>
      <c r="K37" s="899">
        <v>95901</v>
      </c>
      <c r="L37" s="899">
        <v>194</v>
      </c>
    </row>
    <row r="38" spans="1:12" x14ac:dyDescent="0.25">
      <c r="A38" s="897">
        <v>29</v>
      </c>
      <c r="B38" s="897">
        <v>21424</v>
      </c>
      <c r="C38" s="898" t="s">
        <v>80</v>
      </c>
      <c r="D38" s="899">
        <f t="shared" si="0"/>
        <v>209940</v>
      </c>
      <c r="E38" s="899">
        <v>0</v>
      </c>
      <c r="F38" s="899">
        <v>3353</v>
      </c>
      <c r="G38" s="899">
        <v>0</v>
      </c>
      <c r="H38" s="899">
        <v>0</v>
      </c>
      <c r="I38" s="899">
        <v>206587</v>
      </c>
      <c r="J38" s="899">
        <v>72680</v>
      </c>
      <c r="K38" s="899">
        <v>133907</v>
      </c>
      <c r="L38" s="899">
        <v>123</v>
      </c>
    </row>
    <row r="39" spans="1:12" x14ac:dyDescent="0.25">
      <c r="A39" s="897">
        <v>30</v>
      </c>
      <c r="B39" s="897">
        <v>21105</v>
      </c>
      <c r="C39" s="898" t="s">
        <v>82</v>
      </c>
      <c r="D39" s="899">
        <f t="shared" si="0"/>
        <v>41252</v>
      </c>
      <c r="E39" s="899">
        <v>0</v>
      </c>
      <c r="F39" s="899">
        <v>0</v>
      </c>
      <c r="G39" s="899">
        <v>0</v>
      </c>
      <c r="H39" s="899">
        <v>0</v>
      </c>
      <c r="I39" s="899">
        <v>41252</v>
      </c>
      <c r="J39" s="899">
        <v>10869</v>
      </c>
      <c r="K39" s="899">
        <v>30383</v>
      </c>
      <c r="L39" s="899">
        <v>372</v>
      </c>
    </row>
    <row r="40" spans="1:12" x14ac:dyDescent="0.25">
      <c r="A40" s="897">
        <v>31</v>
      </c>
      <c r="B40" s="897">
        <v>29001</v>
      </c>
      <c r="C40" s="898" t="s">
        <v>84</v>
      </c>
      <c r="D40" s="899">
        <f t="shared" si="0"/>
        <v>139657</v>
      </c>
      <c r="E40" s="899">
        <v>0</v>
      </c>
      <c r="F40" s="899">
        <v>0</v>
      </c>
      <c r="G40" s="899">
        <v>0</v>
      </c>
      <c r="H40" s="899">
        <v>0</v>
      </c>
      <c r="I40" s="899">
        <v>139657</v>
      </c>
      <c r="J40" s="899">
        <v>44870</v>
      </c>
      <c r="K40" s="899">
        <v>94787</v>
      </c>
      <c r="L40" s="899">
        <v>712</v>
      </c>
    </row>
    <row r="41" spans="1:12" x14ac:dyDescent="0.25">
      <c r="A41" s="897">
        <v>32</v>
      </c>
      <c r="B41" s="897">
        <v>21605</v>
      </c>
      <c r="C41" s="898" t="s">
        <v>86</v>
      </c>
      <c r="D41" s="899">
        <f t="shared" si="0"/>
        <v>53687</v>
      </c>
      <c r="E41" s="899">
        <v>0</v>
      </c>
      <c r="F41" s="899">
        <v>0</v>
      </c>
      <c r="G41" s="899">
        <v>0</v>
      </c>
      <c r="H41" s="899">
        <v>0</v>
      </c>
      <c r="I41" s="899">
        <v>53687</v>
      </c>
      <c r="J41" s="899">
        <v>18513</v>
      </c>
      <c r="K41" s="899">
        <v>35174</v>
      </c>
      <c r="L41" s="899">
        <v>73</v>
      </c>
    </row>
    <row r="42" spans="1:12" x14ac:dyDescent="0.25">
      <c r="A42" s="897">
        <v>33</v>
      </c>
      <c r="B42" s="897">
        <v>21104</v>
      </c>
      <c r="C42" s="898" t="s">
        <v>88</v>
      </c>
      <c r="D42" s="899">
        <f t="shared" si="0"/>
        <v>139780</v>
      </c>
      <c r="E42" s="899">
        <v>0</v>
      </c>
      <c r="F42" s="899">
        <v>0</v>
      </c>
      <c r="G42" s="899">
        <v>0</v>
      </c>
      <c r="H42" s="899">
        <v>0</v>
      </c>
      <c r="I42" s="899">
        <v>139780</v>
      </c>
      <c r="J42" s="899">
        <v>34050</v>
      </c>
      <c r="K42" s="899">
        <v>105730</v>
      </c>
      <c r="L42" s="899">
        <v>107</v>
      </c>
    </row>
    <row r="43" spans="1:12" x14ac:dyDescent="0.25">
      <c r="A43" s="897">
        <v>34</v>
      </c>
      <c r="B43" s="897">
        <v>21102</v>
      </c>
      <c r="C43" s="898" t="s">
        <v>90</v>
      </c>
      <c r="D43" s="899">
        <f t="shared" si="0"/>
        <v>48747</v>
      </c>
      <c r="E43" s="899">
        <v>0</v>
      </c>
      <c r="F43" s="899">
        <v>0</v>
      </c>
      <c r="G43" s="899">
        <v>0</v>
      </c>
      <c r="H43" s="899">
        <v>0</v>
      </c>
      <c r="I43" s="899">
        <v>48747</v>
      </c>
      <c r="J43" s="899">
        <v>14620</v>
      </c>
      <c r="K43" s="899">
        <v>34127</v>
      </c>
      <c r="L43" s="899">
        <v>0</v>
      </c>
    </row>
    <row r="44" spans="1:12" x14ac:dyDescent="0.25">
      <c r="A44" s="897">
        <v>35</v>
      </c>
      <c r="B44" s="897">
        <v>21606</v>
      </c>
      <c r="C44" s="898" t="s">
        <v>92</v>
      </c>
      <c r="D44" s="899">
        <f t="shared" si="0"/>
        <v>29989</v>
      </c>
      <c r="E44" s="899">
        <v>0</v>
      </c>
      <c r="F44" s="899">
        <v>0</v>
      </c>
      <c r="G44" s="899">
        <v>0</v>
      </c>
      <c r="H44" s="899">
        <v>0</v>
      </c>
      <c r="I44" s="899">
        <v>29989</v>
      </c>
      <c r="J44" s="899">
        <v>10399</v>
      </c>
      <c r="K44" s="899">
        <v>19590</v>
      </c>
      <c r="L44" s="899">
        <v>7</v>
      </c>
    </row>
    <row r="45" spans="1:12" x14ac:dyDescent="0.25">
      <c r="A45" s="897">
        <v>36</v>
      </c>
      <c r="B45" s="897">
        <v>21607</v>
      </c>
      <c r="C45" s="898" t="s">
        <v>94</v>
      </c>
      <c r="D45" s="899">
        <f t="shared" si="0"/>
        <v>52917</v>
      </c>
      <c r="E45" s="899">
        <v>0</v>
      </c>
      <c r="F45" s="899">
        <v>0</v>
      </c>
      <c r="G45" s="899">
        <v>0</v>
      </c>
      <c r="H45" s="899">
        <v>0</v>
      </c>
      <c r="I45" s="899">
        <v>52917</v>
      </c>
      <c r="J45" s="899">
        <v>16330</v>
      </c>
      <c r="K45" s="899">
        <v>36587</v>
      </c>
      <c r="L45" s="899">
        <v>32</v>
      </c>
    </row>
    <row r="46" spans="1:12" x14ac:dyDescent="0.25">
      <c r="A46" s="897">
        <v>37</v>
      </c>
      <c r="B46" s="897">
        <v>21405</v>
      </c>
      <c r="C46" s="898" t="s">
        <v>96</v>
      </c>
      <c r="D46" s="899">
        <f t="shared" si="0"/>
        <v>24234</v>
      </c>
      <c r="E46" s="899">
        <v>0</v>
      </c>
      <c r="F46" s="899">
        <v>0</v>
      </c>
      <c r="G46" s="899">
        <v>0</v>
      </c>
      <c r="H46" s="899">
        <v>0</v>
      </c>
      <c r="I46" s="899">
        <v>24234</v>
      </c>
      <c r="J46" s="899">
        <v>7648</v>
      </c>
      <c r="K46" s="899">
        <v>16586</v>
      </c>
      <c r="L46" s="899">
        <v>14</v>
      </c>
    </row>
    <row r="47" spans="1:12" x14ac:dyDescent="0.25">
      <c r="A47" s="897">
        <v>38</v>
      </c>
      <c r="B47" s="897">
        <v>21401</v>
      </c>
      <c r="C47" s="898" t="s">
        <v>485</v>
      </c>
      <c r="D47" s="899">
        <f t="shared" si="0"/>
        <v>20454</v>
      </c>
      <c r="E47" s="899">
        <v>0</v>
      </c>
      <c r="F47" s="899">
        <v>0</v>
      </c>
      <c r="G47" s="899">
        <v>0</v>
      </c>
      <c r="H47" s="899">
        <v>0</v>
      </c>
      <c r="I47" s="899">
        <v>20454</v>
      </c>
      <c r="J47" s="899">
        <v>2764</v>
      </c>
      <c r="K47" s="899">
        <v>17690</v>
      </c>
      <c r="L47" s="899">
        <v>0</v>
      </c>
    </row>
    <row r="48" spans="1:12" x14ac:dyDescent="0.25">
      <c r="A48" s="897">
        <v>39</v>
      </c>
      <c r="B48" s="897">
        <v>21303</v>
      </c>
      <c r="C48" s="898" t="s">
        <v>100</v>
      </c>
      <c r="D48" s="899">
        <f t="shared" si="0"/>
        <v>186339</v>
      </c>
      <c r="E48" s="899">
        <v>0</v>
      </c>
      <c r="F48" s="899">
        <v>6505</v>
      </c>
      <c r="G48" s="899">
        <v>0</v>
      </c>
      <c r="H48" s="899">
        <v>0</v>
      </c>
      <c r="I48" s="899">
        <v>179834</v>
      </c>
      <c r="J48" s="899">
        <v>56770</v>
      </c>
      <c r="K48" s="899">
        <v>123064</v>
      </c>
      <c r="L48" s="899">
        <v>1070</v>
      </c>
    </row>
    <row r="49" spans="1:12" x14ac:dyDescent="0.25">
      <c r="A49" s="897">
        <v>40</v>
      </c>
      <c r="B49" s="897">
        <v>28004</v>
      </c>
      <c r="C49" s="898" t="s">
        <v>102</v>
      </c>
      <c r="D49" s="899">
        <f t="shared" si="0"/>
        <v>44251</v>
      </c>
      <c r="E49" s="899">
        <v>0</v>
      </c>
      <c r="F49" s="899">
        <v>0</v>
      </c>
      <c r="G49" s="899">
        <v>0</v>
      </c>
      <c r="H49" s="899">
        <v>0</v>
      </c>
      <c r="I49" s="899">
        <v>44251</v>
      </c>
      <c r="J49" s="899">
        <v>10397</v>
      </c>
      <c r="K49" s="899">
        <v>33854</v>
      </c>
      <c r="L49" s="899">
        <v>2</v>
      </c>
    </row>
    <row r="50" spans="1:12" x14ac:dyDescent="0.25">
      <c r="A50" s="897">
        <v>41</v>
      </c>
      <c r="B50" s="897">
        <v>23002</v>
      </c>
      <c r="C50" s="898" t="s">
        <v>104</v>
      </c>
      <c r="D50" s="899">
        <f t="shared" si="0"/>
        <v>151381</v>
      </c>
      <c r="E50" s="899">
        <v>0</v>
      </c>
      <c r="F50" s="899">
        <v>2540</v>
      </c>
      <c r="G50" s="899">
        <v>0</v>
      </c>
      <c r="H50" s="899">
        <v>0</v>
      </c>
      <c r="I50" s="899">
        <v>148841</v>
      </c>
      <c r="J50" s="899">
        <v>33899</v>
      </c>
      <c r="K50" s="899">
        <v>114942</v>
      </c>
      <c r="L50" s="899">
        <v>1324</v>
      </c>
    </row>
    <row r="51" spans="1:12" x14ac:dyDescent="0.25">
      <c r="A51" s="897">
        <v>42</v>
      </c>
      <c r="B51" s="897">
        <v>23005</v>
      </c>
      <c r="C51" s="898" t="s">
        <v>106</v>
      </c>
      <c r="D51" s="899">
        <f t="shared" si="0"/>
        <v>33091</v>
      </c>
      <c r="E51" s="899">
        <v>0</v>
      </c>
      <c r="F51" s="899">
        <v>0</v>
      </c>
      <c r="G51" s="899">
        <v>0</v>
      </c>
      <c r="H51" s="899">
        <v>0</v>
      </c>
      <c r="I51" s="899">
        <v>33091</v>
      </c>
      <c r="J51" s="899">
        <v>8707</v>
      </c>
      <c r="K51" s="899">
        <v>24384</v>
      </c>
      <c r="L51" s="899">
        <v>7</v>
      </c>
    </row>
    <row r="52" spans="1:12" x14ac:dyDescent="0.25">
      <c r="A52" s="897">
        <v>43</v>
      </c>
      <c r="B52" s="897">
        <v>28002</v>
      </c>
      <c r="C52" s="898" t="s">
        <v>108</v>
      </c>
      <c r="D52" s="899">
        <f t="shared" si="0"/>
        <v>51746</v>
      </c>
      <c r="E52" s="899">
        <v>0</v>
      </c>
      <c r="F52" s="899">
        <v>0</v>
      </c>
      <c r="G52" s="899">
        <v>0</v>
      </c>
      <c r="H52" s="899">
        <v>0</v>
      </c>
      <c r="I52" s="899">
        <v>51746</v>
      </c>
      <c r="J52" s="899">
        <v>13378</v>
      </c>
      <c r="K52" s="899">
        <v>38368</v>
      </c>
      <c r="L52" s="899">
        <v>27</v>
      </c>
    </row>
    <row r="53" spans="1:12" x14ac:dyDescent="0.25">
      <c r="A53" s="897">
        <v>44</v>
      </c>
      <c r="B53" s="897">
        <v>21002</v>
      </c>
      <c r="C53" s="898" t="s">
        <v>110</v>
      </c>
      <c r="D53" s="899">
        <f t="shared" si="0"/>
        <v>62442</v>
      </c>
      <c r="E53" s="899">
        <v>0</v>
      </c>
      <c r="F53" s="899">
        <v>0</v>
      </c>
      <c r="G53" s="899">
        <v>0</v>
      </c>
      <c r="H53" s="899">
        <v>0</v>
      </c>
      <c r="I53" s="899">
        <v>62442</v>
      </c>
      <c r="J53" s="899">
        <v>16341</v>
      </c>
      <c r="K53" s="899">
        <v>46101</v>
      </c>
      <c r="L53" s="899">
        <v>25</v>
      </c>
    </row>
    <row r="54" spans="1:12" x14ac:dyDescent="0.25">
      <c r="A54" s="897">
        <v>45</v>
      </c>
      <c r="B54" s="897">
        <v>23006</v>
      </c>
      <c r="C54" s="898" t="s">
        <v>112</v>
      </c>
      <c r="D54" s="899">
        <f t="shared" si="0"/>
        <v>20985</v>
      </c>
      <c r="E54" s="899">
        <v>0</v>
      </c>
      <c r="F54" s="899">
        <v>0</v>
      </c>
      <c r="G54" s="899">
        <v>0</v>
      </c>
      <c r="H54" s="899">
        <v>0</v>
      </c>
      <c r="I54" s="899">
        <v>20985</v>
      </c>
      <c r="J54" s="899">
        <v>7053</v>
      </c>
      <c r="K54" s="899">
        <v>13932</v>
      </c>
      <c r="L54" s="899">
        <v>5</v>
      </c>
    </row>
    <row r="55" spans="1:12" x14ac:dyDescent="0.25">
      <c r="A55" s="897">
        <v>46</v>
      </c>
      <c r="B55" s="897">
        <v>21001</v>
      </c>
      <c r="C55" s="898" t="s">
        <v>114</v>
      </c>
      <c r="D55" s="899">
        <f t="shared" si="0"/>
        <v>41692</v>
      </c>
      <c r="E55" s="899">
        <v>0</v>
      </c>
      <c r="F55" s="899">
        <v>0</v>
      </c>
      <c r="G55" s="899">
        <v>0</v>
      </c>
      <c r="H55" s="899">
        <v>0</v>
      </c>
      <c r="I55" s="899">
        <v>41692</v>
      </c>
      <c r="J55" s="899">
        <v>12739</v>
      </c>
      <c r="K55" s="899">
        <v>28953</v>
      </c>
      <c r="L55" s="899">
        <v>7</v>
      </c>
    </row>
    <row r="56" spans="1:12" x14ac:dyDescent="0.25">
      <c r="A56" s="897">
        <v>47</v>
      </c>
      <c r="B56" s="897">
        <v>21003</v>
      </c>
      <c r="C56" s="898" t="s">
        <v>116</v>
      </c>
      <c r="D56" s="899">
        <f t="shared" si="0"/>
        <v>63434</v>
      </c>
      <c r="E56" s="899">
        <v>0</v>
      </c>
      <c r="F56" s="899">
        <v>0</v>
      </c>
      <c r="G56" s="899">
        <v>0</v>
      </c>
      <c r="H56" s="899">
        <v>0</v>
      </c>
      <c r="I56" s="899">
        <v>63434</v>
      </c>
      <c r="J56" s="899">
        <v>19287</v>
      </c>
      <c r="K56" s="899">
        <v>44147</v>
      </c>
      <c r="L56" s="899">
        <v>52</v>
      </c>
    </row>
    <row r="57" spans="1:12" x14ac:dyDescent="0.25">
      <c r="A57" s="897">
        <v>48</v>
      </c>
      <c r="B57" s="897">
        <v>21701</v>
      </c>
      <c r="C57" s="898" t="s">
        <v>118</v>
      </c>
      <c r="D57" s="899">
        <f t="shared" si="0"/>
        <v>219602</v>
      </c>
      <c r="E57" s="899">
        <v>0</v>
      </c>
      <c r="F57" s="899">
        <v>0</v>
      </c>
      <c r="G57" s="899">
        <v>0</v>
      </c>
      <c r="H57" s="899">
        <v>0</v>
      </c>
      <c r="I57" s="899">
        <v>219602</v>
      </c>
      <c r="J57" s="899">
        <v>50494</v>
      </c>
      <c r="K57" s="899">
        <v>169108</v>
      </c>
      <c r="L57" s="899">
        <v>1157</v>
      </c>
    </row>
    <row r="58" spans="1:12" x14ac:dyDescent="0.25">
      <c r="A58" s="897">
        <v>49</v>
      </c>
      <c r="B58" s="897">
        <v>21706</v>
      </c>
      <c r="C58" s="898" t="s">
        <v>120</v>
      </c>
      <c r="D58" s="899">
        <f t="shared" si="0"/>
        <v>34377</v>
      </c>
      <c r="E58" s="899">
        <v>0</v>
      </c>
      <c r="F58" s="899">
        <v>0</v>
      </c>
      <c r="G58" s="899">
        <v>0</v>
      </c>
      <c r="H58" s="899">
        <v>0</v>
      </c>
      <c r="I58" s="899">
        <v>34377</v>
      </c>
      <c r="J58" s="899">
        <v>8989</v>
      </c>
      <c r="K58" s="899">
        <v>25388</v>
      </c>
      <c r="L58" s="899">
        <v>2</v>
      </c>
    </row>
    <row r="59" spans="1:12" x14ac:dyDescent="0.25">
      <c r="A59" s="897">
        <v>50</v>
      </c>
      <c r="B59" s="897">
        <v>21749</v>
      </c>
      <c r="C59" s="898" t="s">
        <v>486</v>
      </c>
      <c r="D59" s="899">
        <f t="shared" si="0"/>
        <v>50</v>
      </c>
      <c r="E59" s="899">
        <v>0</v>
      </c>
      <c r="F59" s="899">
        <v>0</v>
      </c>
      <c r="G59" s="899">
        <v>50</v>
      </c>
      <c r="H59" s="899">
        <v>0</v>
      </c>
      <c r="I59" s="899">
        <v>0</v>
      </c>
      <c r="J59" s="899">
        <v>0</v>
      </c>
      <c r="K59" s="899">
        <v>0</v>
      </c>
      <c r="L59" s="899">
        <v>0</v>
      </c>
    </row>
    <row r="60" spans="1:12" x14ac:dyDescent="0.25">
      <c r="A60" s="897">
        <v>51</v>
      </c>
      <c r="B60" s="897">
        <v>21110</v>
      </c>
      <c r="C60" s="898" t="s">
        <v>487</v>
      </c>
      <c r="D60" s="899">
        <f t="shared" si="0"/>
        <v>61003</v>
      </c>
      <c r="E60" s="899">
        <v>0</v>
      </c>
      <c r="F60" s="899">
        <v>0</v>
      </c>
      <c r="G60" s="899">
        <v>0</v>
      </c>
      <c r="H60" s="899">
        <v>0</v>
      </c>
      <c r="I60" s="899">
        <v>61003</v>
      </c>
      <c r="J60" s="899">
        <v>11995</v>
      </c>
      <c r="K60" s="899">
        <v>49008</v>
      </c>
      <c r="L60" s="899">
        <v>246</v>
      </c>
    </row>
    <row r="61" spans="1:12" x14ac:dyDescent="0.25">
      <c r="A61" s="897">
        <v>52</v>
      </c>
      <c r="B61" s="897">
        <v>21100</v>
      </c>
      <c r="C61" s="898" t="s">
        <v>488</v>
      </c>
      <c r="D61" s="899">
        <f t="shared" si="0"/>
        <v>48287</v>
      </c>
      <c r="E61" s="899">
        <v>0</v>
      </c>
      <c r="F61" s="899">
        <v>0</v>
      </c>
      <c r="G61" s="899">
        <v>0</v>
      </c>
      <c r="H61" s="899">
        <v>0</v>
      </c>
      <c r="I61" s="899">
        <v>48287</v>
      </c>
      <c r="J61" s="899">
        <v>10937</v>
      </c>
      <c r="K61" s="899">
        <v>37350</v>
      </c>
      <c r="L61" s="899">
        <v>14</v>
      </c>
    </row>
    <row r="62" spans="1:12" x14ac:dyDescent="0.25">
      <c r="A62" s="897">
        <v>53</v>
      </c>
      <c r="B62" s="897">
        <v>27000</v>
      </c>
      <c r="C62" s="898" t="s">
        <v>489</v>
      </c>
      <c r="D62" s="899">
        <f t="shared" si="0"/>
        <v>72507</v>
      </c>
      <c r="E62" s="899">
        <v>0</v>
      </c>
      <c r="F62" s="899">
        <v>0</v>
      </c>
      <c r="G62" s="899">
        <v>0</v>
      </c>
      <c r="H62" s="899">
        <v>3637</v>
      </c>
      <c r="I62" s="899">
        <v>68870</v>
      </c>
      <c r="J62" s="899">
        <v>17719</v>
      </c>
      <c r="K62" s="899">
        <v>51151</v>
      </c>
      <c r="L62" s="899">
        <v>468</v>
      </c>
    </row>
    <row r="63" spans="1:12" x14ac:dyDescent="0.25">
      <c r="A63" s="897">
        <v>54</v>
      </c>
      <c r="B63" s="897">
        <v>21120</v>
      </c>
      <c r="C63" s="898" t="s">
        <v>490</v>
      </c>
      <c r="D63" s="899">
        <f t="shared" si="0"/>
        <v>91630</v>
      </c>
      <c r="E63" s="899">
        <v>0</v>
      </c>
      <c r="F63" s="899">
        <v>0</v>
      </c>
      <c r="G63" s="899">
        <v>0</v>
      </c>
      <c r="H63" s="899">
        <v>4474</v>
      </c>
      <c r="I63" s="899">
        <v>87156</v>
      </c>
      <c r="J63" s="899">
        <v>19023</v>
      </c>
      <c r="K63" s="899">
        <v>68133</v>
      </c>
      <c r="L63" s="899">
        <v>144</v>
      </c>
    </row>
    <row r="64" spans="1:12" x14ac:dyDescent="0.25">
      <c r="A64" s="897">
        <v>55</v>
      </c>
      <c r="B64" s="897">
        <v>21130</v>
      </c>
      <c r="C64" s="898" t="s">
        <v>491</v>
      </c>
      <c r="D64" s="899">
        <f t="shared" si="0"/>
        <v>38789</v>
      </c>
      <c r="E64" s="899">
        <v>0</v>
      </c>
      <c r="F64" s="899">
        <v>0</v>
      </c>
      <c r="G64" s="899">
        <v>0</v>
      </c>
      <c r="H64" s="899">
        <v>0</v>
      </c>
      <c r="I64" s="899">
        <v>38789</v>
      </c>
      <c r="J64" s="899">
        <v>10492</v>
      </c>
      <c r="K64" s="899">
        <v>28297</v>
      </c>
      <c r="L64" s="899">
        <v>411</v>
      </c>
    </row>
    <row r="65" spans="1:12" x14ac:dyDescent="0.25">
      <c r="A65" s="897">
        <v>56</v>
      </c>
      <c r="B65" s="897">
        <v>21140</v>
      </c>
      <c r="C65" s="898" t="s">
        <v>492</v>
      </c>
      <c r="D65" s="899">
        <f t="shared" si="0"/>
        <v>25673</v>
      </c>
      <c r="E65" s="899">
        <v>0</v>
      </c>
      <c r="F65" s="899">
        <v>0</v>
      </c>
      <c r="G65" s="899">
        <v>25673</v>
      </c>
      <c r="H65" s="899">
        <v>0</v>
      </c>
      <c r="I65" s="899">
        <v>0</v>
      </c>
      <c r="J65" s="899">
        <v>0</v>
      </c>
      <c r="K65" s="899">
        <v>0</v>
      </c>
      <c r="L65" s="899">
        <v>0</v>
      </c>
    </row>
    <row r="66" spans="1:12" x14ac:dyDescent="0.25">
      <c r="A66" s="897">
        <v>57</v>
      </c>
      <c r="B66" s="897">
        <v>21150</v>
      </c>
      <c r="C66" s="898" t="s">
        <v>493</v>
      </c>
      <c r="D66" s="899">
        <f t="shared" si="0"/>
        <v>37794</v>
      </c>
      <c r="E66" s="899">
        <v>0</v>
      </c>
      <c r="F66" s="899">
        <v>0</v>
      </c>
      <c r="G66" s="899">
        <v>37794</v>
      </c>
      <c r="H66" s="899">
        <v>0</v>
      </c>
      <c r="I66" s="899">
        <v>0</v>
      </c>
      <c r="J66" s="899">
        <v>0</v>
      </c>
      <c r="K66" s="899">
        <v>0</v>
      </c>
      <c r="L66" s="899">
        <v>0</v>
      </c>
    </row>
    <row r="67" spans="1:12" ht="24" x14ac:dyDescent="0.25">
      <c r="A67" s="897">
        <v>58</v>
      </c>
      <c r="B67" s="897">
        <v>29100</v>
      </c>
      <c r="C67" s="898" t="s">
        <v>494</v>
      </c>
      <c r="D67" s="899">
        <f t="shared" si="0"/>
        <v>124825</v>
      </c>
      <c r="E67" s="899">
        <v>5879</v>
      </c>
      <c r="F67" s="899">
        <v>0</v>
      </c>
      <c r="G67" s="899">
        <v>0</v>
      </c>
      <c r="H67" s="899">
        <v>0</v>
      </c>
      <c r="I67" s="899">
        <v>118946</v>
      </c>
      <c r="J67" s="899">
        <v>29222</v>
      </c>
      <c r="K67" s="899">
        <v>89724</v>
      </c>
      <c r="L67" s="899">
        <v>440</v>
      </c>
    </row>
    <row r="68" spans="1:12" ht="24" x14ac:dyDescent="0.25">
      <c r="A68" s="897">
        <v>59</v>
      </c>
      <c r="B68" s="897">
        <v>29300</v>
      </c>
      <c r="C68" s="898" t="s">
        <v>495</v>
      </c>
      <c r="D68" s="899">
        <f t="shared" si="0"/>
        <v>65526</v>
      </c>
      <c r="E68" s="899">
        <v>0</v>
      </c>
      <c r="F68" s="899">
        <v>0</v>
      </c>
      <c r="G68" s="899">
        <v>0</v>
      </c>
      <c r="H68" s="899">
        <v>0</v>
      </c>
      <c r="I68" s="899">
        <v>65526</v>
      </c>
      <c r="J68" s="899">
        <v>18017</v>
      </c>
      <c r="K68" s="899">
        <v>47509</v>
      </c>
      <c r="L68" s="899">
        <v>737</v>
      </c>
    </row>
    <row r="69" spans="1:12" ht="24" x14ac:dyDescent="0.25">
      <c r="A69" s="897">
        <v>60</v>
      </c>
      <c r="B69" s="897">
        <v>29700</v>
      </c>
      <c r="C69" s="898" t="s">
        <v>496</v>
      </c>
      <c r="D69" s="899">
        <f t="shared" si="0"/>
        <v>164371</v>
      </c>
      <c r="E69" s="899">
        <v>8643</v>
      </c>
      <c r="F69" s="899">
        <v>0</v>
      </c>
      <c r="G69" s="899">
        <v>0</v>
      </c>
      <c r="H69" s="899">
        <v>0</v>
      </c>
      <c r="I69" s="899">
        <v>155728</v>
      </c>
      <c r="J69" s="899">
        <v>43388</v>
      </c>
      <c r="K69" s="899">
        <v>112340</v>
      </c>
      <c r="L69" s="899">
        <v>34</v>
      </c>
    </row>
    <row r="70" spans="1:12" x14ac:dyDescent="0.25">
      <c r="A70" s="897">
        <v>61</v>
      </c>
      <c r="B70" s="897">
        <v>21040</v>
      </c>
      <c r="C70" s="898" t="s">
        <v>497</v>
      </c>
      <c r="D70" s="899">
        <f t="shared" si="0"/>
        <v>17892</v>
      </c>
      <c r="E70" s="899">
        <v>0</v>
      </c>
      <c r="F70" s="899">
        <v>0</v>
      </c>
      <c r="G70" s="899">
        <v>17892</v>
      </c>
      <c r="H70" s="899">
        <v>0</v>
      </c>
      <c r="I70" s="899">
        <v>0</v>
      </c>
      <c r="J70" s="899">
        <v>0</v>
      </c>
      <c r="K70" s="899">
        <v>0</v>
      </c>
      <c r="L70" s="899">
        <v>0</v>
      </c>
    </row>
    <row r="71" spans="1:12" x14ac:dyDescent="0.25">
      <c r="A71" s="897">
        <v>62</v>
      </c>
      <c r="B71" s="897">
        <v>21050</v>
      </c>
      <c r="C71" s="898" t="s">
        <v>498</v>
      </c>
      <c r="D71" s="899">
        <f t="shared" si="0"/>
        <v>21248</v>
      </c>
      <c r="E71" s="899">
        <v>0</v>
      </c>
      <c r="F71" s="899">
        <v>0</v>
      </c>
      <c r="G71" s="899">
        <v>21248</v>
      </c>
      <c r="H71" s="899">
        <v>0</v>
      </c>
      <c r="I71" s="899">
        <v>0</v>
      </c>
      <c r="J71" s="899">
        <v>0</v>
      </c>
      <c r="K71" s="899">
        <v>0</v>
      </c>
      <c r="L71" s="899">
        <v>0</v>
      </c>
    </row>
    <row r="72" spans="1:12" x14ac:dyDescent="0.25">
      <c r="A72" s="897">
        <v>63</v>
      </c>
      <c r="B72" s="897">
        <v>21060</v>
      </c>
      <c r="C72" s="898" t="s">
        <v>499</v>
      </c>
      <c r="D72" s="899">
        <f t="shared" si="0"/>
        <v>24108</v>
      </c>
      <c r="E72" s="899">
        <v>0</v>
      </c>
      <c r="F72" s="899">
        <v>0</v>
      </c>
      <c r="G72" s="899">
        <v>24108</v>
      </c>
      <c r="H72" s="899">
        <v>0</v>
      </c>
      <c r="I72" s="899">
        <v>0</v>
      </c>
      <c r="J72" s="899">
        <v>0</v>
      </c>
      <c r="K72" s="899">
        <v>0</v>
      </c>
      <c r="L72" s="899">
        <v>0</v>
      </c>
    </row>
    <row r="73" spans="1:12" x14ac:dyDescent="0.25">
      <c r="A73" s="897">
        <v>64</v>
      </c>
      <c r="B73" s="897">
        <v>21070</v>
      </c>
      <c r="C73" s="898" t="s">
        <v>500</v>
      </c>
      <c r="D73" s="899">
        <f t="shared" si="0"/>
        <v>20332</v>
      </c>
      <c r="E73" s="899">
        <v>0</v>
      </c>
      <c r="F73" s="899">
        <v>0</v>
      </c>
      <c r="G73" s="899">
        <v>20332</v>
      </c>
      <c r="H73" s="899">
        <v>0</v>
      </c>
      <c r="I73" s="899">
        <v>0</v>
      </c>
      <c r="J73" s="899">
        <v>0</v>
      </c>
      <c r="K73" s="899">
        <v>0</v>
      </c>
      <c r="L73" s="899">
        <v>0</v>
      </c>
    </row>
    <row r="74" spans="1:12" x14ac:dyDescent="0.25">
      <c r="A74" s="897">
        <v>65</v>
      </c>
      <c r="B74" s="897">
        <v>21080</v>
      </c>
      <c r="C74" s="898" t="s">
        <v>501</v>
      </c>
      <c r="D74" s="899">
        <f t="shared" si="0"/>
        <v>29614</v>
      </c>
      <c r="E74" s="899">
        <v>0</v>
      </c>
      <c r="F74" s="899">
        <v>0</v>
      </c>
      <c r="G74" s="899">
        <v>29614</v>
      </c>
      <c r="H74" s="899">
        <v>0</v>
      </c>
      <c r="I74" s="899">
        <v>0</v>
      </c>
      <c r="J74" s="899">
        <v>0</v>
      </c>
      <c r="K74" s="899">
        <v>0</v>
      </c>
      <c r="L74" s="899">
        <v>0</v>
      </c>
    </row>
    <row r="75" spans="1:12" x14ac:dyDescent="0.25">
      <c r="A75" s="897">
        <v>66</v>
      </c>
      <c r="B75" s="897">
        <v>21160</v>
      </c>
      <c r="C75" s="898" t="s">
        <v>502</v>
      </c>
      <c r="D75" s="899">
        <f t="shared" ref="D75:D123" si="1">E75+F75+G75+H75+I75</f>
        <v>20590</v>
      </c>
      <c r="E75" s="899">
        <v>0</v>
      </c>
      <c r="F75" s="899">
        <v>0</v>
      </c>
      <c r="G75" s="899">
        <v>20590</v>
      </c>
      <c r="H75" s="899">
        <v>0</v>
      </c>
      <c r="I75" s="899">
        <v>0</v>
      </c>
      <c r="J75" s="899">
        <v>0</v>
      </c>
      <c r="K75" s="899">
        <v>0</v>
      </c>
      <c r="L75" s="899">
        <v>0</v>
      </c>
    </row>
    <row r="76" spans="1:12" x14ac:dyDescent="0.25">
      <c r="A76" s="897">
        <v>67</v>
      </c>
      <c r="B76" s="897">
        <v>21310</v>
      </c>
      <c r="C76" s="898" t="s">
        <v>503</v>
      </c>
      <c r="D76" s="899">
        <f t="shared" si="1"/>
        <v>19257</v>
      </c>
      <c r="E76" s="899">
        <v>0</v>
      </c>
      <c r="F76" s="899">
        <v>0</v>
      </c>
      <c r="G76" s="899">
        <v>19257</v>
      </c>
      <c r="H76" s="899">
        <v>0</v>
      </c>
      <c r="I76" s="899">
        <v>0</v>
      </c>
      <c r="J76" s="899">
        <v>0</v>
      </c>
      <c r="K76" s="899">
        <v>0</v>
      </c>
      <c r="L76" s="899">
        <v>0</v>
      </c>
    </row>
    <row r="77" spans="1:12" ht="24" x14ac:dyDescent="0.25">
      <c r="A77" s="897">
        <v>68</v>
      </c>
      <c r="B77" s="897">
        <v>29400</v>
      </c>
      <c r="C77" s="898" t="s">
        <v>162</v>
      </c>
      <c r="D77" s="899">
        <f t="shared" si="1"/>
        <v>125041</v>
      </c>
      <c r="E77" s="899">
        <v>0</v>
      </c>
      <c r="F77" s="899">
        <v>0</v>
      </c>
      <c r="G77" s="899">
        <v>0</v>
      </c>
      <c r="H77" s="899">
        <v>1919</v>
      </c>
      <c r="I77" s="899">
        <v>123122</v>
      </c>
      <c r="J77" s="899">
        <v>25720</v>
      </c>
      <c r="K77" s="899">
        <v>97402</v>
      </c>
      <c r="L77" s="899">
        <v>235</v>
      </c>
    </row>
    <row r="78" spans="1:12" x14ac:dyDescent="0.25">
      <c r="A78" s="897">
        <v>69</v>
      </c>
      <c r="B78" s="897">
        <v>23500</v>
      </c>
      <c r="C78" s="898" t="s">
        <v>504</v>
      </c>
      <c r="D78" s="899">
        <f t="shared" si="1"/>
        <v>221768</v>
      </c>
      <c r="E78" s="899">
        <v>0</v>
      </c>
      <c r="F78" s="899">
        <v>0</v>
      </c>
      <c r="G78" s="899">
        <v>0</v>
      </c>
      <c r="H78" s="899">
        <v>5215</v>
      </c>
      <c r="I78" s="899">
        <v>216553</v>
      </c>
      <c r="J78" s="899">
        <v>69256</v>
      </c>
      <c r="K78" s="899">
        <v>147297</v>
      </c>
      <c r="L78" s="899">
        <v>110</v>
      </c>
    </row>
    <row r="79" spans="1:12" x14ac:dyDescent="0.25">
      <c r="A79" s="897">
        <v>70</v>
      </c>
      <c r="B79" s="897">
        <v>21800</v>
      </c>
      <c r="C79" s="898" t="s">
        <v>505</v>
      </c>
      <c r="D79" s="899">
        <f t="shared" si="1"/>
        <v>138312</v>
      </c>
      <c r="E79" s="899">
        <v>0</v>
      </c>
      <c r="F79" s="899">
        <v>3343</v>
      </c>
      <c r="G79" s="899">
        <v>0</v>
      </c>
      <c r="H79" s="899">
        <v>5232</v>
      </c>
      <c r="I79" s="899">
        <v>129737</v>
      </c>
      <c r="J79" s="899">
        <v>32122</v>
      </c>
      <c r="K79" s="899">
        <v>97615</v>
      </c>
      <c r="L79" s="899">
        <v>335</v>
      </c>
    </row>
    <row r="80" spans="1:12" x14ac:dyDescent="0.25">
      <c r="A80" s="897">
        <v>71</v>
      </c>
      <c r="B80" s="897">
        <v>24200</v>
      </c>
      <c r="C80" s="898" t="s">
        <v>506</v>
      </c>
      <c r="D80" s="899">
        <f t="shared" si="1"/>
        <v>50835</v>
      </c>
      <c r="E80" s="899">
        <v>0</v>
      </c>
      <c r="F80" s="899">
        <v>0</v>
      </c>
      <c r="G80" s="899">
        <v>0</v>
      </c>
      <c r="H80" s="899">
        <v>0</v>
      </c>
      <c r="I80" s="899">
        <v>50835</v>
      </c>
      <c r="J80" s="899">
        <v>15409</v>
      </c>
      <c r="K80" s="899">
        <v>35426</v>
      </c>
      <c r="L80" s="899">
        <v>301</v>
      </c>
    </row>
    <row r="81" spans="1:12" x14ac:dyDescent="0.25">
      <c r="A81" s="897">
        <v>72</v>
      </c>
      <c r="B81" s="897">
        <v>22300</v>
      </c>
      <c r="C81" s="898" t="s">
        <v>402</v>
      </c>
      <c r="D81" s="899">
        <f t="shared" si="1"/>
        <v>221864</v>
      </c>
      <c r="E81" s="899">
        <v>0</v>
      </c>
      <c r="F81" s="899">
        <v>7748</v>
      </c>
      <c r="G81" s="899">
        <v>0</v>
      </c>
      <c r="H81" s="899">
        <v>0</v>
      </c>
      <c r="I81" s="899">
        <v>214116</v>
      </c>
      <c r="J81" s="899">
        <v>70582</v>
      </c>
      <c r="K81" s="899">
        <v>143534</v>
      </c>
      <c r="L81" s="899">
        <v>425</v>
      </c>
    </row>
    <row r="82" spans="1:12" x14ac:dyDescent="0.25">
      <c r="A82" s="897">
        <v>73</v>
      </c>
      <c r="B82" s="897">
        <v>21200</v>
      </c>
      <c r="C82" s="898" t="s">
        <v>507</v>
      </c>
      <c r="D82" s="899">
        <f t="shared" si="1"/>
        <v>56007</v>
      </c>
      <c r="E82" s="899">
        <v>0</v>
      </c>
      <c r="F82" s="899">
        <v>0</v>
      </c>
      <c r="G82" s="899">
        <v>0</v>
      </c>
      <c r="H82" s="899">
        <v>0</v>
      </c>
      <c r="I82" s="899">
        <v>56007</v>
      </c>
      <c r="J82" s="899">
        <v>11466</v>
      </c>
      <c r="K82" s="899">
        <v>44541</v>
      </c>
      <c r="L82" s="899">
        <v>885</v>
      </c>
    </row>
    <row r="83" spans="1:12" x14ac:dyDescent="0.25">
      <c r="A83" s="897">
        <v>74</v>
      </c>
      <c r="B83" s="897">
        <v>28000</v>
      </c>
      <c r="C83" s="898" t="s">
        <v>508</v>
      </c>
      <c r="D83" s="899">
        <f t="shared" si="1"/>
        <v>158361</v>
      </c>
      <c r="E83" s="899">
        <v>0</v>
      </c>
      <c r="F83" s="899">
        <v>0</v>
      </c>
      <c r="G83" s="899">
        <v>0</v>
      </c>
      <c r="H83" s="899">
        <v>0</v>
      </c>
      <c r="I83" s="899">
        <v>158361</v>
      </c>
      <c r="J83" s="899">
        <v>41996</v>
      </c>
      <c r="K83" s="899">
        <v>116365</v>
      </c>
      <c r="L83" s="899">
        <v>1161</v>
      </c>
    </row>
    <row r="84" spans="1:12" x14ac:dyDescent="0.25">
      <c r="A84" s="897">
        <v>75</v>
      </c>
      <c r="B84" s="897">
        <v>23200</v>
      </c>
      <c r="C84" s="115" t="s">
        <v>746</v>
      </c>
      <c r="D84" s="899">
        <f t="shared" si="1"/>
        <v>33171</v>
      </c>
      <c r="E84" s="899">
        <v>0</v>
      </c>
      <c r="F84" s="899">
        <v>0</v>
      </c>
      <c r="G84" s="899">
        <v>33171</v>
      </c>
      <c r="H84" s="899">
        <v>0</v>
      </c>
      <c r="I84" s="899">
        <v>0</v>
      </c>
      <c r="J84" s="899">
        <v>0</v>
      </c>
      <c r="K84" s="899">
        <v>0</v>
      </c>
      <c r="L84" s="899">
        <v>0</v>
      </c>
    </row>
    <row r="85" spans="1:12" ht="24" x14ac:dyDescent="0.25">
      <c r="A85" s="1219">
        <v>76</v>
      </c>
      <c r="B85" s="1219">
        <v>22800</v>
      </c>
      <c r="C85" s="900" t="s">
        <v>466</v>
      </c>
      <c r="D85" s="899">
        <f t="shared" si="1"/>
        <v>40550</v>
      </c>
      <c r="E85" s="899">
        <v>0</v>
      </c>
      <c r="F85" s="899">
        <v>0</v>
      </c>
      <c r="G85" s="899">
        <v>29161</v>
      </c>
      <c r="H85" s="899">
        <v>0</v>
      </c>
      <c r="I85" s="899">
        <v>11389</v>
      </c>
      <c r="J85" s="899">
        <v>2047</v>
      </c>
      <c r="K85" s="899">
        <v>9342</v>
      </c>
      <c r="L85" s="899">
        <v>176</v>
      </c>
    </row>
    <row r="86" spans="1:12" ht="36" x14ac:dyDescent="0.25">
      <c r="A86" s="1219"/>
      <c r="B86" s="1219"/>
      <c r="C86" s="898" t="s">
        <v>467</v>
      </c>
      <c r="D86" s="899">
        <f t="shared" si="1"/>
        <v>11389</v>
      </c>
      <c r="E86" s="899">
        <v>0</v>
      </c>
      <c r="F86" s="899">
        <v>0</v>
      </c>
      <c r="G86" s="899">
        <v>0</v>
      </c>
      <c r="H86" s="899">
        <v>0</v>
      </c>
      <c r="I86" s="899">
        <v>11389</v>
      </c>
      <c r="J86" s="899">
        <v>2047</v>
      </c>
      <c r="K86" s="899">
        <v>9342</v>
      </c>
      <c r="L86" s="899">
        <v>176</v>
      </c>
    </row>
    <row r="87" spans="1:12" ht="24" x14ac:dyDescent="0.25">
      <c r="A87" s="1219"/>
      <c r="B87" s="1219"/>
      <c r="C87" s="898" t="s">
        <v>180</v>
      </c>
      <c r="D87" s="899">
        <f t="shared" si="1"/>
        <v>4470</v>
      </c>
      <c r="E87" s="899">
        <v>0</v>
      </c>
      <c r="F87" s="899">
        <v>0</v>
      </c>
      <c r="G87" s="899">
        <v>4470</v>
      </c>
      <c r="H87" s="899">
        <v>0</v>
      </c>
      <c r="I87" s="899">
        <v>0</v>
      </c>
      <c r="J87" s="899">
        <v>0</v>
      </c>
      <c r="K87" s="899">
        <v>0</v>
      </c>
      <c r="L87" s="899">
        <v>0</v>
      </c>
    </row>
    <row r="88" spans="1:12" ht="48" x14ac:dyDescent="0.25">
      <c r="A88" s="1219"/>
      <c r="B88" s="1219"/>
      <c r="C88" s="898" t="s">
        <v>509</v>
      </c>
      <c r="D88" s="899">
        <f t="shared" si="1"/>
        <v>24691</v>
      </c>
      <c r="E88" s="899">
        <v>0</v>
      </c>
      <c r="F88" s="899">
        <v>0</v>
      </c>
      <c r="G88" s="899">
        <v>24691</v>
      </c>
      <c r="H88" s="899">
        <v>0</v>
      </c>
      <c r="I88" s="899">
        <v>0</v>
      </c>
      <c r="J88" s="899">
        <v>0</v>
      </c>
      <c r="K88" s="899">
        <v>0</v>
      </c>
      <c r="L88" s="899">
        <v>0</v>
      </c>
    </row>
    <row r="89" spans="1:12" x14ac:dyDescent="0.25">
      <c r="A89" s="897">
        <v>77</v>
      </c>
      <c r="B89" s="897">
        <v>25000</v>
      </c>
      <c r="C89" s="898" t="s">
        <v>510</v>
      </c>
      <c r="D89" s="899">
        <f t="shared" si="1"/>
        <v>1341</v>
      </c>
      <c r="E89" s="899">
        <v>0</v>
      </c>
      <c r="F89" s="899">
        <v>0</v>
      </c>
      <c r="G89" s="899">
        <v>1341</v>
      </c>
      <c r="H89" s="899">
        <v>0</v>
      </c>
      <c r="I89" s="899">
        <v>0</v>
      </c>
      <c r="J89" s="899">
        <v>0</v>
      </c>
      <c r="K89" s="899">
        <v>0</v>
      </c>
      <c r="L89" s="899">
        <v>0</v>
      </c>
    </row>
    <row r="90" spans="1:12" x14ac:dyDescent="0.25">
      <c r="A90" s="897">
        <v>78</v>
      </c>
      <c r="B90" s="897">
        <v>20171</v>
      </c>
      <c r="C90" s="898" t="s">
        <v>464</v>
      </c>
      <c r="D90" s="899">
        <f t="shared" si="1"/>
        <v>9228</v>
      </c>
      <c r="E90" s="899">
        <v>0</v>
      </c>
      <c r="F90" s="899">
        <v>0</v>
      </c>
      <c r="G90" s="899">
        <v>0</v>
      </c>
      <c r="H90" s="899">
        <v>0</v>
      </c>
      <c r="I90" s="899">
        <v>9228</v>
      </c>
      <c r="J90" s="899">
        <v>2055</v>
      </c>
      <c r="K90" s="899">
        <v>7173</v>
      </c>
      <c r="L90" s="899">
        <v>9</v>
      </c>
    </row>
    <row r="91" spans="1:12" ht="24" x14ac:dyDescent="0.25">
      <c r="A91" s="897">
        <v>79</v>
      </c>
      <c r="B91" s="897">
        <v>22117</v>
      </c>
      <c r="C91" s="898" t="s">
        <v>511</v>
      </c>
      <c r="D91" s="899">
        <f t="shared" si="1"/>
        <v>37069</v>
      </c>
      <c r="E91" s="899">
        <v>0</v>
      </c>
      <c r="F91" s="899">
        <v>0</v>
      </c>
      <c r="G91" s="899">
        <v>0</v>
      </c>
      <c r="H91" s="899">
        <v>0</v>
      </c>
      <c r="I91" s="899">
        <v>37069</v>
      </c>
      <c r="J91" s="899">
        <v>7804</v>
      </c>
      <c r="K91" s="899">
        <v>29265</v>
      </c>
      <c r="L91" s="899">
        <v>714</v>
      </c>
    </row>
    <row r="92" spans="1:12" x14ac:dyDescent="0.25">
      <c r="A92" s="897">
        <v>80</v>
      </c>
      <c r="B92" s="897">
        <v>22204</v>
      </c>
      <c r="C92" s="898" t="s">
        <v>188</v>
      </c>
      <c r="D92" s="899">
        <f t="shared" si="1"/>
        <v>29434</v>
      </c>
      <c r="E92" s="899">
        <v>0</v>
      </c>
      <c r="F92" s="899">
        <v>0</v>
      </c>
      <c r="G92" s="899">
        <v>0</v>
      </c>
      <c r="H92" s="899">
        <v>0</v>
      </c>
      <c r="I92" s="899">
        <v>29434</v>
      </c>
      <c r="J92" s="899">
        <v>9575</v>
      </c>
      <c r="K92" s="899">
        <v>19859</v>
      </c>
      <c r="L92" s="899">
        <v>25</v>
      </c>
    </row>
    <row r="93" spans="1:12" x14ac:dyDescent="0.25">
      <c r="A93" s="897">
        <v>81</v>
      </c>
      <c r="B93" s="897">
        <v>26005</v>
      </c>
      <c r="C93" s="898" t="s">
        <v>190</v>
      </c>
      <c r="D93" s="899">
        <f t="shared" si="1"/>
        <v>29948</v>
      </c>
      <c r="E93" s="899">
        <v>0</v>
      </c>
      <c r="F93" s="899">
        <v>0</v>
      </c>
      <c r="G93" s="899">
        <v>0</v>
      </c>
      <c r="H93" s="899">
        <v>0</v>
      </c>
      <c r="I93" s="899">
        <v>29948</v>
      </c>
      <c r="J93" s="899">
        <v>9301</v>
      </c>
      <c r="K93" s="899">
        <v>20647</v>
      </c>
      <c r="L93" s="899">
        <v>37</v>
      </c>
    </row>
    <row r="94" spans="1:12" x14ac:dyDescent="0.25">
      <c r="A94" s="897">
        <v>82</v>
      </c>
      <c r="B94" s="897">
        <v>22202</v>
      </c>
      <c r="C94" s="898" t="s">
        <v>192</v>
      </c>
      <c r="D94" s="899">
        <f t="shared" si="1"/>
        <v>84590</v>
      </c>
      <c r="E94" s="899">
        <v>0</v>
      </c>
      <c r="F94" s="899">
        <v>0</v>
      </c>
      <c r="G94" s="899">
        <v>0</v>
      </c>
      <c r="H94" s="899">
        <v>0</v>
      </c>
      <c r="I94" s="899">
        <v>84590</v>
      </c>
      <c r="J94" s="899">
        <v>22992</v>
      </c>
      <c r="K94" s="899">
        <v>61598</v>
      </c>
      <c r="L94" s="899">
        <v>370</v>
      </c>
    </row>
    <row r="95" spans="1:12" ht="24" x14ac:dyDescent="0.25">
      <c r="A95" s="897">
        <v>83</v>
      </c>
      <c r="B95" s="897">
        <v>26002</v>
      </c>
      <c r="C95" s="898" t="s">
        <v>194</v>
      </c>
      <c r="D95" s="899">
        <f t="shared" si="1"/>
        <v>35436</v>
      </c>
      <c r="E95" s="899">
        <v>0</v>
      </c>
      <c r="F95" s="899">
        <v>0</v>
      </c>
      <c r="G95" s="899">
        <v>0</v>
      </c>
      <c r="H95" s="899">
        <v>0</v>
      </c>
      <c r="I95" s="899">
        <v>35436</v>
      </c>
      <c r="J95" s="899">
        <v>9056</v>
      </c>
      <c r="K95" s="899">
        <v>26380</v>
      </c>
      <c r="L95" s="899">
        <v>0</v>
      </c>
    </row>
    <row r="96" spans="1:12" x14ac:dyDescent="0.25">
      <c r="A96" s="901">
        <v>84</v>
      </c>
      <c r="B96" s="901">
        <v>22002</v>
      </c>
      <c r="C96" s="902" t="s">
        <v>196</v>
      </c>
      <c r="D96" s="899">
        <f t="shared" si="1"/>
        <v>43751</v>
      </c>
      <c r="E96" s="899">
        <v>0</v>
      </c>
      <c r="F96" s="899">
        <v>0</v>
      </c>
      <c r="G96" s="899">
        <v>0</v>
      </c>
      <c r="H96" s="899">
        <v>0</v>
      </c>
      <c r="I96" s="899">
        <v>43751</v>
      </c>
      <c r="J96" s="899">
        <v>12994</v>
      </c>
      <c r="K96" s="899">
        <v>30757</v>
      </c>
      <c r="L96" s="899">
        <v>260</v>
      </c>
    </row>
    <row r="97" spans="1:12" x14ac:dyDescent="0.25">
      <c r="A97" s="901">
        <v>85</v>
      </c>
      <c r="B97" s="901">
        <v>22201</v>
      </c>
      <c r="C97" s="902" t="s">
        <v>198</v>
      </c>
      <c r="D97" s="899">
        <f t="shared" si="1"/>
        <v>100017</v>
      </c>
      <c r="E97" s="899">
        <v>0</v>
      </c>
      <c r="F97" s="899">
        <v>0</v>
      </c>
      <c r="G97" s="899">
        <v>0</v>
      </c>
      <c r="H97" s="899">
        <v>0</v>
      </c>
      <c r="I97" s="899">
        <v>100017</v>
      </c>
      <c r="J97" s="899">
        <v>28778</v>
      </c>
      <c r="K97" s="899">
        <v>71239</v>
      </c>
      <c r="L97" s="899">
        <v>96</v>
      </c>
    </row>
    <row r="98" spans="1:12" x14ac:dyDescent="0.25">
      <c r="A98" s="901">
        <v>86</v>
      </c>
      <c r="B98" s="901">
        <v>22205</v>
      </c>
      <c r="C98" s="902" t="s">
        <v>200</v>
      </c>
      <c r="D98" s="899">
        <f t="shared" si="1"/>
        <v>78782</v>
      </c>
      <c r="E98" s="899">
        <v>0</v>
      </c>
      <c r="F98" s="899">
        <v>0</v>
      </c>
      <c r="G98" s="899">
        <v>0</v>
      </c>
      <c r="H98" s="899">
        <v>0</v>
      </c>
      <c r="I98" s="899">
        <v>78782</v>
      </c>
      <c r="J98" s="899">
        <v>17804</v>
      </c>
      <c r="K98" s="899">
        <v>60978</v>
      </c>
      <c r="L98" s="899">
        <v>150</v>
      </c>
    </row>
    <row r="99" spans="1:12" x14ac:dyDescent="0.25">
      <c r="A99" s="901">
        <v>87</v>
      </c>
      <c r="B99" s="901">
        <v>26004</v>
      </c>
      <c r="C99" s="902" t="s">
        <v>202</v>
      </c>
      <c r="D99" s="899">
        <f t="shared" si="1"/>
        <v>27318</v>
      </c>
      <c r="E99" s="899">
        <v>0</v>
      </c>
      <c r="F99" s="899">
        <v>0</v>
      </c>
      <c r="G99" s="899">
        <v>0</v>
      </c>
      <c r="H99" s="899">
        <v>0</v>
      </c>
      <c r="I99" s="899">
        <v>27318</v>
      </c>
      <c r="J99" s="899">
        <v>8242</v>
      </c>
      <c r="K99" s="899">
        <v>19076</v>
      </c>
      <c r="L99" s="899">
        <v>5</v>
      </c>
    </row>
    <row r="100" spans="1:12" x14ac:dyDescent="0.25">
      <c r="A100" s="901">
        <v>88</v>
      </c>
      <c r="B100" s="901">
        <v>22208</v>
      </c>
      <c r="C100" s="902" t="s">
        <v>204</v>
      </c>
      <c r="D100" s="899">
        <f t="shared" si="1"/>
        <v>42079</v>
      </c>
      <c r="E100" s="899">
        <v>0</v>
      </c>
      <c r="F100" s="899">
        <v>0</v>
      </c>
      <c r="G100" s="899">
        <v>0</v>
      </c>
      <c r="H100" s="899">
        <v>0</v>
      </c>
      <c r="I100" s="899">
        <v>42079</v>
      </c>
      <c r="J100" s="899">
        <v>9013</v>
      </c>
      <c r="K100" s="899">
        <v>33066</v>
      </c>
      <c r="L100" s="899">
        <v>110</v>
      </c>
    </row>
    <row r="101" spans="1:12" x14ac:dyDescent="0.25">
      <c r="A101" s="901">
        <v>89</v>
      </c>
      <c r="B101" s="901">
        <v>26003</v>
      </c>
      <c r="C101" s="902" t="s">
        <v>206</v>
      </c>
      <c r="D101" s="899">
        <f t="shared" si="1"/>
        <v>41049</v>
      </c>
      <c r="E101" s="899">
        <v>0</v>
      </c>
      <c r="F101" s="899">
        <v>0</v>
      </c>
      <c r="G101" s="899">
        <v>0</v>
      </c>
      <c r="H101" s="899">
        <v>0</v>
      </c>
      <c r="I101" s="899">
        <v>41049</v>
      </c>
      <c r="J101" s="899">
        <v>12119</v>
      </c>
      <c r="K101" s="899">
        <v>28930</v>
      </c>
      <c r="L101" s="899">
        <v>37</v>
      </c>
    </row>
    <row r="102" spans="1:12" x14ac:dyDescent="0.25">
      <c r="A102" s="901">
        <v>90</v>
      </c>
      <c r="B102" s="901">
        <v>26001</v>
      </c>
      <c r="C102" s="902" t="s">
        <v>208</v>
      </c>
      <c r="D102" s="899">
        <f t="shared" si="1"/>
        <v>50798</v>
      </c>
      <c r="E102" s="899">
        <v>0</v>
      </c>
      <c r="F102" s="899">
        <v>2468</v>
      </c>
      <c r="G102" s="899">
        <v>0</v>
      </c>
      <c r="H102" s="899">
        <v>0</v>
      </c>
      <c r="I102" s="899">
        <v>48330</v>
      </c>
      <c r="J102" s="899">
        <v>10246</v>
      </c>
      <c r="K102" s="899">
        <v>38084</v>
      </c>
      <c r="L102" s="899">
        <v>148</v>
      </c>
    </row>
    <row r="103" spans="1:12" x14ac:dyDescent="0.25">
      <c r="A103" s="901">
        <v>91</v>
      </c>
      <c r="B103" s="901">
        <v>22203</v>
      </c>
      <c r="C103" s="902" t="s">
        <v>210</v>
      </c>
      <c r="D103" s="899">
        <f t="shared" si="1"/>
        <v>31836</v>
      </c>
      <c r="E103" s="899">
        <v>0</v>
      </c>
      <c r="F103" s="899">
        <v>0</v>
      </c>
      <c r="G103" s="899">
        <v>0</v>
      </c>
      <c r="H103" s="899">
        <v>0</v>
      </c>
      <c r="I103" s="899">
        <v>31836</v>
      </c>
      <c r="J103" s="899">
        <v>9034</v>
      </c>
      <c r="K103" s="899">
        <v>22802</v>
      </c>
      <c r="L103" s="899">
        <v>181</v>
      </c>
    </row>
    <row r="104" spans="1:12" x14ac:dyDescent="0.25">
      <c r="A104" s="901">
        <v>92</v>
      </c>
      <c r="B104" s="901">
        <v>27002</v>
      </c>
      <c r="C104" s="902" t="s">
        <v>212</v>
      </c>
      <c r="D104" s="899">
        <f t="shared" si="1"/>
        <v>45767</v>
      </c>
      <c r="E104" s="899">
        <v>0</v>
      </c>
      <c r="F104" s="899">
        <v>0</v>
      </c>
      <c r="G104" s="899">
        <v>0</v>
      </c>
      <c r="H104" s="899">
        <v>0</v>
      </c>
      <c r="I104" s="899">
        <v>45767</v>
      </c>
      <c r="J104" s="899">
        <v>11439</v>
      </c>
      <c r="K104" s="899">
        <v>34328</v>
      </c>
      <c r="L104" s="899">
        <v>420</v>
      </c>
    </row>
    <row r="105" spans="1:12" x14ac:dyDescent="0.25">
      <c r="A105" s="901">
        <v>93</v>
      </c>
      <c r="B105" s="901">
        <v>22000</v>
      </c>
      <c r="C105" s="902" t="s">
        <v>214</v>
      </c>
      <c r="D105" s="899">
        <f t="shared" si="1"/>
        <v>79550</v>
      </c>
      <c r="E105" s="899">
        <v>0</v>
      </c>
      <c r="F105" s="899">
        <v>0</v>
      </c>
      <c r="G105" s="899">
        <v>0</v>
      </c>
      <c r="H105" s="899">
        <v>0</v>
      </c>
      <c r="I105" s="899">
        <v>79550</v>
      </c>
      <c r="J105" s="899">
        <v>20610</v>
      </c>
      <c r="K105" s="899">
        <v>58940</v>
      </c>
      <c r="L105" s="899">
        <v>43</v>
      </c>
    </row>
    <row r="106" spans="1:12" x14ac:dyDescent="0.25">
      <c r="A106" s="901">
        <v>94</v>
      </c>
      <c r="B106" s="901">
        <v>22003</v>
      </c>
      <c r="C106" s="902" t="s">
        <v>216</v>
      </c>
      <c r="D106" s="899">
        <f t="shared" si="1"/>
        <v>36460</v>
      </c>
      <c r="E106" s="899">
        <v>0</v>
      </c>
      <c r="F106" s="899">
        <v>0</v>
      </c>
      <c r="G106" s="899">
        <v>0</v>
      </c>
      <c r="H106" s="899">
        <v>0</v>
      </c>
      <c r="I106" s="899">
        <v>36460</v>
      </c>
      <c r="J106" s="899">
        <v>9649</v>
      </c>
      <c r="K106" s="899">
        <v>26811</v>
      </c>
      <c r="L106" s="899">
        <v>39</v>
      </c>
    </row>
    <row r="107" spans="1:12" x14ac:dyDescent="0.25">
      <c r="A107" s="901">
        <v>95</v>
      </c>
      <c r="B107" s="901">
        <v>20251</v>
      </c>
      <c r="C107" s="902" t="s">
        <v>512</v>
      </c>
      <c r="D107" s="899">
        <f t="shared" si="1"/>
        <v>2387</v>
      </c>
      <c r="E107" s="899">
        <v>0</v>
      </c>
      <c r="F107" s="899">
        <v>0</v>
      </c>
      <c r="G107" s="899">
        <v>2387</v>
      </c>
      <c r="H107" s="899">
        <v>0</v>
      </c>
      <c r="I107" s="899">
        <v>0</v>
      </c>
      <c r="J107" s="899">
        <v>0</v>
      </c>
      <c r="K107" s="899">
        <v>0</v>
      </c>
      <c r="L107" s="899">
        <v>0</v>
      </c>
    </row>
    <row r="108" spans="1:12" x14ac:dyDescent="0.25">
      <c r="A108" s="901">
        <v>96</v>
      </c>
      <c r="B108" s="901">
        <v>20260</v>
      </c>
      <c r="C108" s="902" t="s">
        <v>513</v>
      </c>
      <c r="D108" s="899">
        <f t="shared" si="1"/>
        <v>340</v>
      </c>
      <c r="E108" s="899">
        <v>0</v>
      </c>
      <c r="F108" s="899">
        <v>0</v>
      </c>
      <c r="G108" s="899">
        <v>340</v>
      </c>
      <c r="H108" s="899">
        <v>0</v>
      </c>
      <c r="I108" s="899">
        <v>0</v>
      </c>
      <c r="J108" s="899">
        <v>0</v>
      </c>
      <c r="K108" s="899">
        <v>0</v>
      </c>
      <c r="L108" s="899">
        <v>0</v>
      </c>
    </row>
    <row r="109" spans="1:12" x14ac:dyDescent="0.25">
      <c r="A109" s="901">
        <v>97</v>
      </c>
      <c r="B109" s="901">
        <v>20235</v>
      </c>
      <c r="C109" s="902" t="s">
        <v>514</v>
      </c>
      <c r="D109" s="899">
        <f t="shared" si="1"/>
        <v>28</v>
      </c>
      <c r="E109" s="899">
        <v>0</v>
      </c>
      <c r="F109" s="899">
        <v>0</v>
      </c>
      <c r="G109" s="899">
        <v>28</v>
      </c>
      <c r="H109" s="899">
        <v>0</v>
      </c>
      <c r="I109" s="899">
        <v>0</v>
      </c>
      <c r="J109" s="899">
        <v>0</v>
      </c>
      <c r="K109" s="899">
        <v>0</v>
      </c>
      <c r="L109" s="899">
        <v>0</v>
      </c>
    </row>
    <row r="110" spans="1:12" x14ac:dyDescent="0.25">
      <c r="A110" s="901">
        <v>98</v>
      </c>
      <c r="B110" s="901">
        <v>29140</v>
      </c>
      <c r="C110" s="902" t="s">
        <v>515</v>
      </c>
      <c r="D110" s="899">
        <f t="shared" si="1"/>
        <v>8698</v>
      </c>
      <c r="E110" s="899">
        <v>0</v>
      </c>
      <c r="F110" s="899">
        <v>0</v>
      </c>
      <c r="G110" s="899">
        <v>8698</v>
      </c>
      <c r="H110" s="899">
        <v>0</v>
      </c>
      <c r="I110" s="899">
        <v>0</v>
      </c>
      <c r="J110" s="899">
        <v>0</v>
      </c>
      <c r="K110" s="899">
        <v>0</v>
      </c>
      <c r="L110" s="899">
        <v>0</v>
      </c>
    </row>
    <row r="111" spans="1:12" x14ac:dyDescent="0.25">
      <c r="A111" s="901">
        <v>99</v>
      </c>
      <c r="B111" s="901">
        <v>20157</v>
      </c>
      <c r="C111" s="902" t="s">
        <v>516</v>
      </c>
      <c r="D111" s="899">
        <f t="shared" si="1"/>
        <v>16</v>
      </c>
      <c r="E111" s="899">
        <v>0</v>
      </c>
      <c r="F111" s="899">
        <v>0</v>
      </c>
      <c r="G111" s="899">
        <v>16</v>
      </c>
      <c r="H111" s="899">
        <v>0</v>
      </c>
      <c r="I111" s="899">
        <v>0</v>
      </c>
      <c r="J111" s="899">
        <v>0</v>
      </c>
      <c r="K111" s="899">
        <v>0</v>
      </c>
      <c r="L111" s="899">
        <v>0</v>
      </c>
    </row>
    <row r="112" spans="1:12" x14ac:dyDescent="0.25">
      <c r="A112" s="901">
        <v>100</v>
      </c>
      <c r="B112" s="901">
        <v>20172</v>
      </c>
      <c r="C112" s="902" t="s">
        <v>517</v>
      </c>
      <c r="D112" s="899">
        <f t="shared" si="1"/>
        <v>68</v>
      </c>
      <c r="E112" s="899">
        <v>0</v>
      </c>
      <c r="F112" s="899">
        <v>0</v>
      </c>
      <c r="G112" s="899">
        <v>68</v>
      </c>
      <c r="H112" s="899">
        <v>0</v>
      </c>
      <c r="I112" s="899">
        <v>0</v>
      </c>
      <c r="J112" s="899">
        <v>0</v>
      </c>
      <c r="K112" s="899">
        <v>0</v>
      </c>
      <c r="L112" s="899">
        <v>0</v>
      </c>
    </row>
    <row r="113" spans="1:12" x14ac:dyDescent="0.25">
      <c r="A113" s="901">
        <v>101</v>
      </c>
      <c r="B113" s="901">
        <v>20165</v>
      </c>
      <c r="C113" s="902" t="s">
        <v>518</v>
      </c>
      <c r="D113" s="899">
        <f t="shared" si="1"/>
        <v>410</v>
      </c>
      <c r="E113" s="899">
        <v>0</v>
      </c>
      <c r="F113" s="899">
        <v>0</v>
      </c>
      <c r="G113" s="899">
        <v>410</v>
      </c>
      <c r="H113" s="899">
        <v>0</v>
      </c>
      <c r="I113" s="899">
        <v>0</v>
      </c>
      <c r="J113" s="899">
        <v>0</v>
      </c>
      <c r="K113" s="899">
        <v>0</v>
      </c>
      <c r="L113" s="899">
        <v>0</v>
      </c>
    </row>
    <row r="114" spans="1:12" x14ac:dyDescent="0.25">
      <c r="A114" s="901">
        <v>102</v>
      </c>
      <c r="B114" s="901">
        <v>20161</v>
      </c>
      <c r="C114" s="902" t="s">
        <v>519</v>
      </c>
      <c r="D114" s="899">
        <f t="shared" si="1"/>
        <v>2882</v>
      </c>
      <c r="E114" s="899">
        <v>0</v>
      </c>
      <c r="F114" s="899">
        <v>0</v>
      </c>
      <c r="G114" s="899">
        <v>2882</v>
      </c>
      <c r="H114" s="899">
        <v>0</v>
      </c>
      <c r="I114" s="899">
        <v>0</v>
      </c>
      <c r="J114" s="899">
        <v>0</v>
      </c>
      <c r="K114" s="899">
        <v>0</v>
      </c>
      <c r="L114" s="899">
        <v>0</v>
      </c>
    </row>
    <row r="115" spans="1:12" x14ac:dyDescent="0.25">
      <c r="A115" s="901">
        <v>103</v>
      </c>
      <c r="B115" s="901">
        <v>22120</v>
      </c>
      <c r="C115" s="902" t="s">
        <v>520</v>
      </c>
      <c r="D115" s="899">
        <f t="shared" si="1"/>
        <v>12</v>
      </c>
      <c r="E115" s="899">
        <v>0</v>
      </c>
      <c r="F115" s="899">
        <v>0</v>
      </c>
      <c r="G115" s="899">
        <v>12</v>
      </c>
      <c r="H115" s="899">
        <v>0</v>
      </c>
      <c r="I115" s="899">
        <v>0</v>
      </c>
      <c r="J115" s="899">
        <v>0</v>
      </c>
      <c r="K115" s="899">
        <v>0</v>
      </c>
      <c r="L115" s="899">
        <v>0</v>
      </c>
    </row>
    <row r="116" spans="1:12" x14ac:dyDescent="0.25">
      <c r="A116" s="901">
        <v>104</v>
      </c>
      <c r="B116" s="901">
        <v>22113</v>
      </c>
      <c r="C116" s="902" t="s">
        <v>265</v>
      </c>
      <c r="D116" s="899">
        <f t="shared" si="1"/>
        <v>5957</v>
      </c>
      <c r="E116" s="899">
        <v>0</v>
      </c>
      <c r="F116" s="899">
        <v>0</v>
      </c>
      <c r="G116" s="899">
        <v>204</v>
      </c>
      <c r="H116" s="899">
        <v>5753</v>
      </c>
      <c r="I116" s="899">
        <v>0</v>
      </c>
      <c r="J116" s="899">
        <v>0</v>
      </c>
      <c r="K116" s="899">
        <v>0</v>
      </c>
      <c r="L116" s="899">
        <v>0</v>
      </c>
    </row>
    <row r="117" spans="1:12" x14ac:dyDescent="0.25">
      <c r="A117" s="901">
        <v>105</v>
      </c>
      <c r="B117" s="901">
        <v>22112</v>
      </c>
      <c r="C117" s="902" t="s">
        <v>521</v>
      </c>
      <c r="D117" s="899">
        <f t="shared" si="1"/>
        <v>54613</v>
      </c>
      <c r="E117" s="899">
        <v>0</v>
      </c>
      <c r="F117" s="899">
        <v>0</v>
      </c>
      <c r="G117" s="899">
        <v>54613</v>
      </c>
      <c r="H117" s="899">
        <v>0</v>
      </c>
      <c r="I117" s="899">
        <v>0</v>
      </c>
      <c r="J117" s="899">
        <v>0</v>
      </c>
      <c r="K117" s="899">
        <v>0</v>
      </c>
      <c r="L117" s="899">
        <v>0</v>
      </c>
    </row>
    <row r="118" spans="1:12" x14ac:dyDescent="0.25">
      <c r="A118" s="901">
        <v>106</v>
      </c>
      <c r="B118" s="901">
        <v>26000</v>
      </c>
      <c r="C118" s="902" t="s">
        <v>269</v>
      </c>
      <c r="D118" s="899">
        <f t="shared" si="1"/>
        <v>34462</v>
      </c>
      <c r="E118" s="899">
        <v>0</v>
      </c>
      <c r="F118" s="899">
        <v>0</v>
      </c>
      <c r="G118" s="899">
        <v>34462</v>
      </c>
      <c r="H118" s="899">
        <v>0</v>
      </c>
      <c r="I118" s="899">
        <v>0</v>
      </c>
      <c r="J118" s="899">
        <v>0</v>
      </c>
      <c r="K118" s="899">
        <v>0</v>
      </c>
      <c r="L118" s="899">
        <v>0</v>
      </c>
    </row>
    <row r="119" spans="1:12" x14ac:dyDescent="0.25">
      <c r="A119" s="901">
        <v>107</v>
      </c>
      <c r="B119" s="901">
        <v>22720</v>
      </c>
      <c r="C119" s="902" t="s">
        <v>522</v>
      </c>
      <c r="D119" s="899">
        <f t="shared" si="1"/>
        <v>190043</v>
      </c>
      <c r="E119" s="899">
        <v>0</v>
      </c>
      <c r="F119" s="899">
        <v>5403</v>
      </c>
      <c r="G119" s="899">
        <v>0</v>
      </c>
      <c r="H119" s="899">
        <v>7663</v>
      </c>
      <c r="I119" s="899">
        <v>176977</v>
      </c>
      <c r="J119" s="899">
        <v>38731</v>
      </c>
      <c r="K119" s="899">
        <v>138246</v>
      </c>
      <c r="L119" s="899">
        <v>879</v>
      </c>
    </row>
    <row r="120" spans="1:12" x14ac:dyDescent="0.25">
      <c r="A120" s="901">
        <v>108</v>
      </c>
      <c r="B120" s="901">
        <v>22400</v>
      </c>
      <c r="C120" s="902" t="s">
        <v>277</v>
      </c>
      <c r="D120" s="899">
        <f t="shared" si="1"/>
        <v>82283</v>
      </c>
      <c r="E120" s="899">
        <v>0</v>
      </c>
      <c r="F120" s="899">
        <v>0</v>
      </c>
      <c r="G120" s="899">
        <v>0</v>
      </c>
      <c r="H120" s="899">
        <v>0</v>
      </c>
      <c r="I120" s="899">
        <v>82283</v>
      </c>
      <c r="J120" s="899">
        <v>28920</v>
      </c>
      <c r="K120" s="899">
        <v>53363</v>
      </c>
      <c r="L120" s="899">
        <v>43</v>
      </c>
    </row>
    <row r="121" spans="1:12" x14ac:dyDescent="0.25">
      <c r="A121" s="901">
        <v>109</v>
      </c>
      <c r="B121" s="901">
        <v>22121</v>
      </c>
      <c r="C121" s="902" t="s">
        <v>283</v>
      </c>
      <c r="D121" s="899">
        <f t="shared" si="1"/>
        <v>22386</v>
      </c>
      <c r="E121" s="899">
        <v>0</v>
      </c>
      <c r="F121" s="899">
        <v>0</v>
      </c>
      <c r="G121" s="899">
        <v>22386</v>
      </c>
      <c r="H121" s="899">
        <v>0</v>
      </c>
      <c r="I121" s="899">
        <v>0</v>
      </c>
      <c r="J121" s="899">
        <v>0</v>
      </c>
      <c r="K121" s="899">
        <v>0</v>
      </c>
      <c r="L121" s="899">
        <v>0</v>
      </c>
    </row>
    <row r="122" spans="1:12" ht="24" x14ac:dyDescent="0.25">
      <c r="A122" s="903"/>
      <c r="B122" s="903"/>
      <c r="C122" s="902" t="s">
        <v>14</v>
      </c>
      <c r="D122" s="899">
        <f t="shared" si="1"/>
        <v>4013</v>
      </c>
      <c r="E122" s="899">
        <v>0</v>
      </c>
      <c r="F122" s="899">
        <v>0</v>
      </c>
      <c r="G122" s="899">
        <v>4013</v>
      </c>
      <c r="H122" s="899">
        <v>0</v>
      </c>
      <c r="I122" s="899">
        <v>0</v>
      </c>
      <c r="J122" s="899">
        <v>0</v>
      </c>
      <c r="K122" s="899">
        <v>0</v>
      </c>
      <c r="L122" s="899">
        <v>0</v>
      </c>
    </row>
    <row r="123" spans="1:12" x14ac:dyDescent="0.25">
      <c r="A123" s="901"/>
      <c r="B123" s="901"/>
      <c r="C123" s="902" t="s">
        <v>523</v>
      </c>
      <c r="D123" s="899">
        <f t="shared" si="1"/>
        <v>1165</v>
      </c>
      <c r="E123" s="899">
        <v>0</v>
      </c>
      <c r="F123" s="899">
        <v>0</v>
      </c>
      <c r="G123" s="899">
        <v>1165</v>
      </c>
      <c r="H123" s="899">
        <v>0</v>
      </c>
      <c r="I123" s="899">
        <v>0</v>
      </c>
      <c r="J123" s="899">
        <v>0</v>
      </c>
      <c r="K123" s="899">
        <v>0</v>
      </c>
      <c r="L123" s="899">
        <v>0</v>
      </c>
    </row>
    <row r="124" spans="1:12" x14ac:dyDescent="0.25">
      <c r="A124" s="1217" t="s">
        <v>469</v>
      </c>
      <c r="B124" s="1217"/>
      <c r="C124" s="1217"/>
      <c r="D124" s="904">
        <f>SUM(D10:D123)-D85</f>
        <v>7000946</v>
      </c>
      <c r="E124" s="904">
        <f t="shared" ref="E124:L124" si="2">SUM(E10:E123)-E85</f>
        <v>14522</v>
      </c>
      <c r="F124" s="904">
        <f t="shared" si="2"/>
        <v>67179</v>
      </c>
      <c r="G124" s="904">
        <f t="shared" si="2"/>
        <v>477357</v>
      </c>
      <c r="H124" s="904">
        <f t="shared" si="2"/>
        <v>41361</v>
      </c>
      <c r="I124" s="904">
        <f t="shared" si="2"/>
        <v>6400527</v>
      </c>
      <c r="J124" s="904">
        <f t="shared" si="2"/>
        <v>1769942</v>
      </c>
      <c r="K124" s="904">
        <f t="shared" si="2"/>
        <v>4630585</v>
      </c>
      <c r="L124" s="904">
        <f t="shared" si="2"/>
        <v>23258</v>
      </c>
    </row>
  </sheetData>
  <mergeCells count="17">
    <mergeCell ref="H5:H8"/>
    <mergeCell ref="I5:L5"/>
    <mergeCell ref="A124:C124"/>
    <mergeCell ref="I6:I8"/>
    <mergeCell ref="J6:L6"/>
    <mergeCell ref="J7:J8"/>
    <mergeCell ref="K7:L7"/>
    <mergeCell ref="A85:A88"/>
    <mergeCell ref="B85:B88"/>
    <mergeCell ref="A4:A8"/>
    <mergeCell ref="B4:B8"/>
    <mergeCell ref="C4:C8"/>
    <mergeCell ref="D4:D8"/>
    <mergeCell ref="E4:L4"/>
    <mergeCell ref="E5:E8"/>
    <mergeCell ref="F5:F8"/>
    <mergeCell ref="G5:G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BA45"/>
  <sheetViews>
    <sheetView tabSelected="1" workbookViewId="0">
      <pane xSplit="3" ySplit="7" topLeftCell="D41" activePane="bottomRight" state="frozen"/>
      <selection pane="topRight" activeCell="D1" sqref="D1"/>
      <selection pane="bottomLeft" activeCell="A8" sqref="A8"/>
      <selection pane="bottomRight" activeCell="C53" sqref="C53"/>
    </sheetView>
  </sheetViews>
  <sheetFormatPr defaultRowHeight="15" x14ac:dyDescent="0.25"/>
  <cols>
    <col min="1" max="1" width="5.42578125" style="891" customWidth="1"/>
    <col min="2" max="2" width="7.140625" style="891" customWidth="1"/>
    <col min="3" max="3" width="22.5703125" style="891" customWidth="1"/>
    <col min="4" max="4" width="7.42578125" style="891" customWidth="1"/>
    <col min="5" max="8" width="7.85546875" style="891" customWidth="1"/>
    <col min="9" max="10" width="7.7109375" style="891" customWidth="1"/>
    <col min="11" max="12" width="7.140625" style="891" customWidth="1"/>
    <col min="13" max="14" width="7.85546875" style="891" customWidth="1"/>
    <col min="15" max="16" width="7.7109375" style="891" customWidth="1"/>
    <col min="17" max="20" width="7.42578125" style="891" customWidth="1"/>
    <col min="21" max="21" width="6.28515625" style="891" customWidth="1"/>
    <col min="22" max="23" width="7.7109375" style="891" customWidth="1"/>
    <col min="24" max="25" width="7.28515625" style="891" customWidth="1"/>
    <col min="26" max="27" width="6.5703125" style="891" customWidth="1"/>
    <col min="28" max="29" width="7.140625" style="891" customWidth="1"/>
    <col min="30" max="37" width="8" style="891" customWidth="1"/>
    <col min="38" max="38" width="6.42578125" style="891" customWidth="1"/>
    <col min="39" max="52" width="7.85546875" style="891" customWidth="1"/>
    <col min="53" max="16384" width="9.140625" style="891"/>
  </cols>
  <sheetData>
    <row r="2" spans="1:53" ht="30.75" customHeight="1" x14ac:dyDescent="0.25">
      <c r="A2" s="1221" t="s">
        <v>524</v>
      </c>
      <c r="B2" s="1221"/>
      <c r="C2" s="1221"/>
      <c r="D2" s="1221"/>
      <c r="E2" s="1221"/>
      <c r="F2" s="1221"/>
      <c r="G2" s="1221"/>
      <c r="H2" s="1221"/>
      <c r="I2" s="1221"/>
      <c r="J2" s="1221"/>
      <c r="K2" s="1221"/>
      <c r="L2" s="1221"/>
      <c r="M2" s="1221"/>
      <c r="N2" s="1221"/>
      <c r="O2" s="1221"/>
      <c r="P2" s="1221"/>
      <c r="Q2" s="1221"/>
      <c r="R2" s="1221"/>
      <c r="S2" s="905"/>
      <c r="T2" s="905"/>
    </row>
    <row r="4" spans="1:53" x14ac:dyDescent="0.25">
      <c r="A4" s="1222" t="s">
        <v>0</v>
      </c>
      <c r="B4" s="1222" t="s">
        <v>302</v>
      </c>
      <c r="C4" s="1223" t="s">
        <v>2</v>
      </c>
      <c r="D4" s="1224" t="s">
        <v>443</v>
      </c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6"/>
      <c r="U4" s="1224" t="s">
        <v>525</v>
      </c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6"/>
      <c r="AL4" s="1223" t="s">
        <v>526</v>
      </c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</row>
    <row r="5" spans="1:53" ht="45" customHeight="1" x14ac:dyDescent="0.25">
      <c r="A5" s="1222"/>
      <c r="B5" s="1222"/>
      <c r="C5" s="1223"/>
      <c r="D5" s="1223" t="s">
        <v>443</v>
      </c>
      <c r="E5" s="1222" t="s">
        <v>527</v>
      </c>
      <c r="F5" s="1222"/>
      <c r="G5" s="1222" t="s">
        <v>528</v>
      </c>
      <c r="H5" s="1222"/>
      <c r="I5" s="1222" t="s">
        <v>529</v>
      </c>
      <c r="J5" s="1222"/>
      <c r="K5" s="1222" t="s">
        <v>530</v>
      </c>
      <c r="L5" s="1222"/>
      <c r="M5" s="1222" t="s">
        <v>531</v>
      </c>
      <c r="N5" s="1222"/>
      <c r="O5" s="1222" t="s">
        <v>532</v>
      </c>
      <c r="P5" s="1222"/>
      <c r="Q5" s="1222" t="s">
        <v>533</v>
      </c>
      <c r="R5" s="1227"/>
      <c r="S5" s="1227" t="s">
        <v>771</v>
      </c>
      <c r="T5" s="1228"/>
      <c r="U5" s="1223" t="s">
        <v>443</v>
      </c>
      <c r="V5" s="1222" t="s">
        <v>527</v>
      </c>
      <c r="W5" s="1222"/>
      <c r="X5" s="1222" t="s">
        <v>528</v>
      </c>
      <c r="Y5" s="1222"/>
      <c r="Z5" s="1222" t="s">
        <v>529</v>
      </c>
      <c r="AA5" s="1222"/>
      <c r="AB5" s="1222" t="s">
        <v>530</v>
      </c>
      <c r="AC5" s="1222"/>
      <c r="AD5" s="1222" t="s">
        <v>531</v>
      </c>
      <c r="AE5" s="1222"/>
      <c r="AF5" s="1222" t="s">
        <v>532</v>
      </c>
      <c r="AG5" s="1222"/>
      <c r="AH5" s="1222" t="s">
        <v>533</v>
      </c>
      <c r="AI5" s="1227"/>
      <c r="AJ5" s="1222" t="s">
        <v>771</v>
      </c>
      <c r="AK5" s="1227"/>
      <c r="AL5" s="1223" t="s">
        <v>443</v>
      </c>
      <c r="AM5" s="1222" t="s">
        <v>527</v>
      </c>
      <c r="AN5" s="1222"/>
      <c r="AO5" s="1222" t="s">
        <v>528</v>
      </c>
      <c r="AP5" s="1222"/>
      <c r="AQ5" s="1222" t="s">
        <v>529</v>
      </c>
      <c r="AR5" s="1222"/>
      <c r="AS5" s="1222" t="s">
        <v>530</v>
      </c>
      <c r="AT5" s="1222"/>
      <c r="AU5" s="1222" t="s">
        <v>531</v>
      </c>
      <c r="AV5" s="1222"/>
      <c r="AW5" s="1222" t="s">
        <v>532</v>
      </c>
      <c r="AX5" s="1222"/>
      <c r="AY5" s="1222" t="s">
        <v>533</v>
      </c>
      <c r="AZ5" s="1222"/>
    </row>
    <row r="6" spans="1:53" ht="21" x14ac:dyDescent="0.25">
      <c r="A6" s="1222"/>
      <c r="B6" s="1222"/>
      <c r="C6" s="1223"/>
      <c r="D6" s="1223"/>
      <c r="E6" s="906" t="s">
        <v>534</v>
      </c>
      <c r="F6" s="906" t="s">
        <v>535</v>
      </c>
      <c r="G6" s="906" t="s">
        <v>536</v>
      </c>
      <c r="H6" s="906" t="s">
        <v>537</v>
      </c>
      <c r="I6" s="906" t="s">
        <v>536</v>
      </c>
      <c r="J6" s="906" t="s">
        <v>535</v>
      </c>
      <c r="K6" s="906" t="s">
        <v>536</v>
      </c>
      <c r="L6" s="906" t="s">
        <v>537</v>
      </c>
      <c r="M6" s="906" t="s">
        <v>536</v>
      </c>
      <c r="N6" s="906" t="s">
        <v>537</v>
      </c>
      <c r="O6" s="906" t="s">
        <v>536</v>
      </c>
      <c r="P6" s="906" t="s">
        <v>537</v>
      </c>
      <c r="Q6" s="906" t="s">
        <v>536</v>
      </c>
      <c r="R6" s="907" t="s">
        <v>537</v>
      </c>
      <c r="S6" s="906" t="s">
        <v>536</v>
      </c>
      <c r="T6" s="907" t="s">
        <v>537</v>
      </c>
      <c r="U6" s="1223"/>
      <c r="V6" s="907" t="s">
        <v>536</v>
      </c>
      <c r="W6" s="907" t="s">
        <v>537</v>
      </c>
      <c r="X6" s="907" t="s">
        <v>536</v>
      </c>
      <c r="Y6" s="907" t="s">
        <v>537</v>
      </c>
      <c r="Z6" s="907" t="s">
        <v>536</v>
      </c>
      <c r="AA6" s="907" t="s">
        <v>537</v>
      </c>
      <c r="AB6" s="907" t="s">
        <v>536</v>
      </c>
      <c r="AC6" s="907" t="s">
        <v>537</v>
      </c>
      <c r="AD6" s="907" t="s">
        <v>536</v>
      </c>
      <c r="AE6" s="907" t="s">
        <v>537</v>
      </c>
      <c r="AF6" s="907" t="s">
        <v>536</v>
      </c>
      <c r="AG6" s="907" t="s">
        <v>537</v>
      </c>
      <c r="AH6" s="907" t="s">
        <v>536</v>
      </c>
      <c r="AI6" s="907" t="s">
        <v>537</v>
      </c>
      <c r="AJ6" s="907" t="s">
        <v>536</v>
      </c>
      <c r="AK6" s="907" t="s">
        <v>537</v>
      </c>
      <c r="AL6" s="1223"/>
      <c r="AM6" s="907" t="s">
        <v>536</v>
      </c>
      <c r="AN6" s="907" t="s">
        <v>537</v>
      </c>
      <c r="AO6" s="907" t="s">
        <v>536</v>
      </c>
      <c r="AP6" s="907" t="s">
        <v>537</v>
      </c>
      <c r="AQ6" s="907" t="s">
        <v>536</v>
      </c>
      <c r="AR6" s="907" t="s">
        <v>537</v>
      </c>
      <c r="AS6" s="907" t="s">
        <v>536</v>
      </c>
      <c r="AT6" s="907" t="s">
        <v>537</v>
      </c>
      <c r="AU6" s="907" t="s">
        <v>536</v>
      </c>
      <c r="AV6" s="907" t="s">
        <v>537</v>
      </c>
      <c r="AW6" s="907" t="s">
        <v>536</v>
      </c>
      <c r="AX6" s="907" t="s">
        <v>537</v>
      </c>
      <c r="AY6" s="906" t="s">
        <v>536</v>
      </c>
      <c r="AZ6" s="906" t="s">
        <v>537</v>
      </c>
    </row>
    <row r="7" spans="1:53" x14ac:dyDescent="0.25">
      <c r="A7" s="908">
        <v>1</v>
      </c>
      <c r="B7" s="908">
        <v>2</v>
      </c>
      <c r="C7" s="909">
        <v>3</v>
      </c>
      <c r="D7" s="909">
        <v>4</v>
      </c>
      <c r="E7" s="908">
        <v>5</v>
      </c>
      <c r="F7" s="908">
        <v>6</v>
      </c>
      <c r="G7" s="908">
        <v>7</v>
      </c>
      <c r="H7" s="908">
        <v>8</v>
      </c>
      <c r="I7" s="908">
        <v>9</v>
      </c>
      <c r="J7" s="908">
        <v>10</v>
      </c>
      <c r="K7" s="908">
        <v>11</v>
      </c>
      <c r="L7" s="908">
        <v>12</v>
      </c>
      <c r="M7" s="908">
        <v>13</v>
      </c>
      <c r="N7" s="908">
        <v>14</v>
      </c>
      <c r="O7" s="908">
        <v>15</v>
      </c>
      <c r="P7" s="908">
        <v>16</v>
      </c>
      <c r="Q7" s="908">
        <v>17</v>
      </c>
      <c r="R7" s="910">
        <v>18</v>
      </c>
      <c r="S7" s="908">
        <v>19</v>
      </c>
      <c r="T7" s="910">
        <v>20</v>
      </c>
      <c r="U7" s="908">
        <v>21</v>
      </c>
      <c r="V7" s="910">
        <v>22</v>
      </c>
      <c r="W7" s="908">
        <v>23</v>
      </c>
      <c r="X7" s="910">
        <v>24</v>
      </c>
      <c r="Y7" s="908">
        <v>25</v>
      </c>
      <c r="Z7" s="910">
        <v>26</v>
      </c>
      <c r="AA7" s="908">
        <v>27</v>
      </c>
      <c r="AB7" s="910">
        <v>28</v>
      </c>
      <c r="AC7" s="908">
        <v>29</v>
      </c>
      <c r="AD7" s="910">
        <v>30</v>
      </c>
      <c r="AE7" s="908">
        <v>31</v>
      </c>
      <c r="AF7" s="910">
        <v>32</v>
      </c>
      <c r="AG7" s="908">
        <v>33</v>
      </c>
      <c r="AH7" s="910">
        <v>34</v>
      </c>
      <c r="AI7" s="908">
        <v>35</v>
      </c>
      <c r="AJ7" s="910">
        <v>36</v>
      </c>
      <c r="AK7" s="908">
        <v>37</v>
      </c>
      <c r="AL7" s="910">
        <v>38</v>
      </c>
      <c r="AM7" s="908">
        <v>39</v>
      </c>
      <c r="AN7" s="910">
        <v>40</v>
      </c>
      <c r="AO7" s="908">
        <v>41</v>
      </c>
      <c r="AP7" s="910">
        <v>42</v>
      </c>
      <c r="AQ7" s="908">
        <v>43</v>
      </c>
      <c r="AR7" s="910">
        <v>44</v>
      </c>
      <c r="AS7" s="908">
        <v>45</v>
      </c>
      <c r="AT7" s="910">
        <v>46</v>
      </c>
      <c r="AU7" s="908">
        <v>47</v>
      </c>
      <c r="AV7" s="910">
        <v>48</v>
      </c>
      <c r="AW7" s="908">
        <v>49</v>
      </c>
      <c r="AX7" s="910">
        <v>50</v>
      </c>
      <c r="AY7" s="908">
        <v>51</v>
      </c>
      <c r="AZ7" s="908">
        <v>52</v>
      </c>
    </row>
    <row r="8" spans="1:53" x14ac:dyDescent="0.25">
      <c r="A8" s="909">
        <v>1</v>
      </c>
      <c r="B8" s="911" t="s">
        <v>272</v>
      </c>
      <c r="C8" s="912" t="s">
        <v>273</v>
      </c>
      <c r="D8" s="913">
        <f>E8+F8+G8+H8+I8+J8+K8+L8+M8+N8+O8+P8+Q8+R8+S8+T8</f>
        <v>4084</v>
      </c>
      <c r="E8" s="914">
        <f t="shared" ref="E8:T23" si="0">V8+AM8</f>
        <v>49</v>
      </c>
      <c r="F8" s="914">
        <f t="shared" si="0"/>
        <v>50</v>
      </c>
      <c r="G8" s="914">
        <f t="shared" si="0"/>
        <v>742</v>
      </c>
      <c r="H8" s="914">
        <f t="shared" si="0"/>
        <v>263</v>
      </c>
      <c r="I8" s="914">
        <f t="shared" si="0"/>
        <v>2125</v>
      </c>
      <c r="J8" s="914">
        <f t="shared" si="0"/>
        <v>715</v>
      </c>
      <c r="K8" s="914">
        <f t="shared" si="0"/>
        <v>40</v>
      </c>
      <c r="L8" s="914">
        <f t="shared" si="0"/>
        <v>10</v>
      </c>
      <c r="M8" s="914">
        <f t="shared" si="0"/>
        <v>10</v>
      </c>
      <c r="N8" s="914">
        <f t="shared" si="0"/>
        <v>5</v>
      </c>
      <c r="O8" s="914">
        <f t="shared" si="0"/>
        <v>0</v>
      </c>
      <c r="P8" s="914">
        <f t="shared" si="0"/>
        <v>0</v>
      </c>
      <c r="Q8" s="914">
        <f t="shared" si="0"/>
        <v>0</v>
      </c>
      <c r="R8" s="914">
        <f t="shared" si="0"/>
        <v>0</v>
      </c>
      <c r="S8" s="914">
        <f t="shared" si="0"/>
        <v>60</v>
      </c>
      <c r="T8" s="914">
        <f t="shared" si="0"/>
        <v>15</v>
      </c>
      <c r="U8" s="913">
        <f>V8+W8+X8+Y8+Z8+AA8+AB8+AC8+AD8+AE8+AF8+AG8+AH8+AI8+AJ8+AK8</f>
        <v>3484</v>
      </c>
      <c r="V8" s="915">
        <v>49</v>
      </c>
      <c r="W8" s="915">
        <v>50</v>
      </c>
      <c r="X8" s="915">
        <v>742</v>
      </c>
      <c r="Y8" s="915">
        <v>263</v>
      </c>
      <c r="Z8" s="915">
        <v>1600</v>
      </c>
      <c r="AA8" s="915">
        <v>640</v>
      </c>
      <c r="AB8" s="915">
        <v>40</v>
      </c>
      <c r="AC8" s="915">
        <v>10</v>
      </c>
      <c r="AD8" s="915">
        <v>10</v>
      </c>
      <c r="AE8" s="915">
        <v>5</v>
      </c>
      <c r="AF8" s="915">
        <v>0</v>
      </c>
      <c r="AG8" s="915">
        <v>0</v>
      </c>
      <c r="AH8" s="915">
        <v>0</v>
      </c>
      <c r="AI8" s="915">
        <v>0</v>
      </c>
      <c r="AJ8" s="915">
        <v>60</v>
      </c>
      <c r="AK8" s="915">
        <v>15</v>
      </c>
      <c r="AL8" s="915">
        <f>AM8+AN8+AO8+AP8+AQ8+AR8+AS8+AT8+AU8+AV8+AW8+AX8+AY8+AZ8</f>
        <v>600</v>
      </c>
      <c r="AM8" s="915">
        <v>0</v>
      </c>
      <c r="AN8" s="915">
        <v>0</v>
      </c>
      <c r="AO8" s="915">
        <v>0</v>
      </c>
      <c r="AP8" s="915">
        <v>0</v>
      </c>
      <c r="AQ8" s="915">
        <v>525</v>
      </c>
      <c r="AR8" s="915">
        <v>75</v>
      </c>
      <c r="AS8" s="915">
        <v>0</v>
      </c>
      <c r="AT8" s="915">
        <v>0</v>
      </c>
      <c r="AU8" s="915">
        <v>0</v>
      </c>
      <c r="AV8" s="915">
        <v>0</v>
      </c>
      <c r="AW8" s="915">
        <v>0</v>
      </c>
      <c r="AX8" s="915">
        <v>0</v>
      </c>
      <c r="AY8" s="915">
        <v>0</v>
      </c>
      <c r="AZ8" s="915">
        <v>0</v>
      </c>
      <c r="BA8" s="916"/>
    </row>
    <row r="9" spans="1:53" x14ac:dyDescent="0.25">
      <c r="A9" s="909">
        <v>2</v>
      </c>
      <c r="B9" s="911" t="s">
        <v>28</v>
      </c>
      <c r="C9" s="912" t="s">
        <v>29</v>
      </c>
      <c r="D9" s="913">
        <f t="shared" ref="D9:D44" si="1">E9+F9+G9+H9+I9+J9+K9+L9+M9+N9+O9+P9+Q9+R9+S9+T9</f>
        <v>420</v>
      </c>
      <c r="E9" s="914">
        <f t="shared" si="0"/>
        <v>185</v>
      </c>
      <c r="F9" s="914">
        <f t="shared" si="0"/>
        <v>55</v>
      </c>
      <c r="G9" s="914">
        <f t="shared" si="0"/>
        <v>65</v>
      </c>
      <c r="H9" s="914">
        <f t="shared" si="0"/>
        <v>55</v>
      </c>
      <c r="I9" s="914">
        <f t="shared" si="0"/>
        <v>30</v>
      </c>
      <c r="J9" s="914">
        <f t="shared" si="0"/>
        <v>0</v>
      </c>
      <c r="K9" s="914">
        <f t="shared" si="0"/>
        <v>0</v>
      </c>
      <c r="L9" s="914">
        <f t="shared" si="0"/>
        <v>0</v>
      </c>
      <c r="M9" s="914">
        <f t="shared" si="0"/>
        <v>30</v>
      </c>
      <c r="N9" s="914">
        <f t="shared" si="0"/>
        <v>0</v>
      </c>
      <c r="O9" s="914">
        <f t="shared" si="0"/>
        <v>0</v>
      </c>
      <c r="P9" s="914">
        <f t="shared" si="0"/>
        <v>0</v>
      </c>
      <c r="Q9" s="914">
        <f t="shared" si="0"/>
        <v>0</v>
      </c>
      <c r="R9" s="914">
        <f t="shared" si="0"/>
        <v>0</v>
      </c>
      <c r="S9" s="914">
        <f t="shared" si="0"/>
        <v>0</v>
      </c>
      <c r="T9" s="914">
        <f t="shared" si="0"/>
        <v>0</v>
      </c>
      <c r="U9" s="913">
        <f t="shared" ref="U9:U44" si="2">V9+W9+X9+Y9+Z9+AA9+AB9+AC9+AD9+AE9+AF9+AG9+AH9+AI9+AJ9+AK9</f>
        <v>220</v>
      </c>
      <c r="V9" s="915">
        <v>55</v>
      </c>
      <c r="W9" s="915">
        <v>55</v>
      </c>
      <c r="X9" s="915">
        <v>55</v>
      </c>
      <c r="Y9" s="915">
        <v>55</v>
      </c>
      <c r="Z9" s="915">
        <v>0</v>
      </c>
      <c r="AA9" s="915">
        <v>0</v>
      </c>
      <c r="AB9" s="915">
        <v>0</v>
      </c>
      <c r="AC9" s="915">
        <v>0</v>
      </c>
      <c r="AD9" s="915">
        <v>0</v>
      </c>
      <c r="AE9" s="915">
        <v>0</v>
      </c>
      <c r="AF9" s="915">
        <v>0</v>
      </c>
      <c r="AG9" s="915">
        <v>0</v>
      </c>
      <c r="AH9" s="915">
        <v>0</v>
      </c>
      <c r="AI9" s="915">
        <v>0</v>
      </c>
      <c r="AJ9" s="915">
        <v>0</v>
      </c>
      <c r="AK9" s="915">
        <v>0</v>
      </c>
      <c r="AL9" s="915">
        <f t="shared" ref="AL9:AL44" si="3">AM9+AN9+AO9+AP9+AQ9+AR9+AS9+AT9+AU9+AV9+AW9+AX9+AY9+AZ9</f>
        <v>200</v>
      </c>
      <c r="AM9" s="915">
        <v>130</v>
      </c>
      <c r="AN9" s="915">
        <v>0</v>
      </c>
      <c r="AO9" s="915">
        <v>10</v>
      </c>
      <c r="AP9" s="915">
        <v>0</v>
      </c>
      <c r="AQ9" s="915">
        <v>30</v>
      </c>
      <c r="AR9" s="915">
        <v>0</v>
      </c>
      <c r="AS9" s="915">
        <v>0</v>
      </c>
      <c r="AT9" s="915">
        <v>0</v>
      </c>
      <c r="AU9" s="915">
        <v>30</v>
      </c>
      <c r="AV9" s="915">
        <v>0</v>
      </c>
      <c r="AW9" s="915">
        <v>0</v>
      </c>
      <c r="AX9" s="915">
        <v>0</v>
      </c>
      <c r="AY9" s="915">
        <v>0</v>
      </c>
      <c r="AZ9" s="915">
        <v>0</v>
      </c>
      <c r="BA9" s="916"/>
    </row>
    <row r="10" spans="1:53" ht="22.5" x14ac:dyDescent="0.25">
      <c r="A10" s="909">
        <v>3</v>
      </c>
      <c r="B10" s="911" t="s">
        <v>127</v>
      </c>
      <c r="C10" s="912" t="s">
        <v>128</v>
      </c>
      <c r="D10" s="913">
        <f t="shared" si="1"/>
        <v>310</v>
      </c>
      <c r="E10" s="914">
        <f t="shared" si="0"/>
        <v>210</v>
      </c>
      <c r="F10" s="914">
        <f t="shared" si="0"/>
        <v>0</v>
      </c>
      <c r="G10" s="914">
        <f t="shared" si="0"/>
        <v>10</v>
      </c>
      <c r="H10" s="914">
        <f t="shared" si="0"/>
        <v>0</v>
      </c>
      <c r="I10" s="914">
        <f t="shared" si="0"/>
        <v>50</v>
      </c>
      <c r="J10" s="914">
        <f t="shared" si="0"/>
        <v>0</v>
      </c>
      <c r="K10" s="914">
        <f t="shared" si="0"/>
        <v>0</v>
      </c>
      <c r="L10" s="914">
        <f t="shared" si="0"/>
        <v>0</v>
      </c>
      <c r="M10" s="914">
        <f t="shared" si="0"/>
        <v>40</v>
      </c>
      <c r="N10" s="914">
        <f t="shared" si="0"/>
        <v>0</v>
      </c>
      <c r="O10" s="914">
        <f t="shared" si="0"/>
        <v>0</v>
      </c>
      <c r="P10" s="914">
        <f t="shared" si="0"/>
        <v>0</v>
      </c>
      <c r="Q10" s="914">
        <f t="shared" si="0"/>
        <v>0</v>
      </c>
      <c r="R10" s="914">
        <f t="shared" si="0"/>
        <v>0</v>
      </c>
      <c r="S10" s="914">
        <f t="shared" si="0"/>
        <v>0</v>
      </c>
      <c r="T10" s="914">
        <f t="shared" si="0"/>
        <v>0</v>
      </c>
      <c r="U10" s="913">
        <f t="shared" si="2"/>
        <v>0</v>
      </c>
      <c r="V10" s="915">
        <v>0</v>
      </c>
      <c r="W10" s="915">
        <v>0</v>
      </c>
      <c r="X10" s="915">
        <v>0</v>
      </c>
      <c r="Y10" s="915">
        <v>0</v>
      </c>
      <c r="Z10" s="915">
        <v>0</v>
      </c>
      <c r="AA10" s="915">
        <v>0</v>
      </c>
      <c r="AB10" s="915">
        <v>0</v>
      </c>
      <c r="AC10" s="915">
        <v>0</v>
      </c>
      <c r="AD10" s="915">
        <v>0</v>
      </c>
      <c r="AE10" s="915">
        <v>0</v>
      </c>
      <c r="AF10" s="915">
        <v>0</v>
      </c>
      <c r="AG10" s="915">
        <v>0</v>
      </c>
      <c r="AH10" s="915">
        <v>0</v>
      </c>
      <c r="AI10" s="915">
        <v>0</v>
      </c>
      <c r="AJ10" s="915">
        <v>0</v>
      </c>
      <c r="AK10" s="915">
        <v>0</v>
      </c>
      <c r="AL10" s="915">
        <f t="shared" si="3"/>
        <v>310</v>
      </c>
      <c r="AM10" s="915">
        <v>210</v>
      </c>
      <c r="AN10" s="915">
        <v>0</v>
      </c>
      <c r="AO10" s="915">
        <v>10</v>
      </c>
      <c r="AP10" s="915">
        <v>0</v>
      </c>
      <c r="AQ10" s="915">
        <v>50</v>
      </c>
      <c r="AR10" s="915">
        <v>0</v>
      </c>
      <c r="AS10" s="915">
        <v>0</v>
      </c>
      <c r="AT10" s="915">
        <v>0</v>
      </c>
      <c r="AU10" s="915">
        <v>40</v>
      </c>
      <c r="AV10" s="915">
        <v>0</v>
      </c>
      <c r="AW10" s="915">
        <v>0</v>
      </c>
      <c r="AX10" s="915">
        <v>0</v>
      </c>
      <c r="AY10" s="915">
        <v>0</v>
      </c>
      <c r="AZ10" s="915">
        <v>0</v>
      </c>
      <c r="BA10" s="916"/>
    </row>
    <row r="11" spans="1:53" ht="22.5" x14ac:dyDescent="0.25">
      <c r="A11" s="909">
        <v>4</v>
      </c>
      <c r="B11" s="911" t="s">
        <v>129</v>
      </c>
      <c r="C11" s="912" t="s">
        <v>459</v>
      </c>
      <c r="D11" s="913">
        <f t="shared" si="1"/>
        <v>310</v>
      </c>
      <c r="E11" s="914">
        <f t="shared" si="0"/>
        <v>215</v>
      </c>
      <c r="F11" s="914">
        <f t="shared" si="0"/>
        <v>0</v>
      </c>
      <c r="G11" s="914">
        <f t="shared" si="0"/>
        <v>5</v>
      </c>
      <c r="H11" s="914">
        <f t="shared" si="0"/>
        <v>0</v>
      </c>
      <c r="I11" s="914">
        <f t="shared" si="0"/>
        <v>50</v>
      </c>
      <c r="J11" s="914">
        <f t="shared" si="0"/>
        <v>0</v>
      </c>
      <c r="K11" s="914">
        <f t="shared" si="0"/>
        <v>0</v>
      </c>
      <c r="L11" s="914">
        <f t="shared" si="0"/>
        <v>0</v>
      </c>
      <c r="M11" s="914">
        <f t="shared" si="0"/>
        <v>40</v>
      </c>
      <c r="N11" s="914">
        <f t="shared" si="0"/>
        <v>0</v>
      </c>
      <c r="O11" s="914">
        <f t="shared" si="0"/>
        <v>0</v>
      </c>
      <c r="P11" s="914">
        <f t="shared" si="0"/>
        <v>0</v>
      </c>
      <c r="Q11" s="914">
        <f t="shared" si="0"/>
        <v>0</v>
      </c>
      <c r="R11" s="914">
        <f t="shared" si="0"/>
        <v>0</v>
      </c>
      <c r="S11" s="914">
        <f t="shared" si="0"/>
        <v>0</v>
      </c>
      <c r="T11" s="914">
        <f t="shared" si="0"/>
        <v>0</v>
      </c>
      <c r="U11" s="913">
        <f t="shared" si="2"/>
        <v>0</v>
      </c>
      <c r="V11" s="915">
        <v>0</v>
      </c>
      <c r="W11" s="915">
        <v>0</v>
      </c>
      <c r="X11" s="915">
        <v>0</v>
      </c>
      <c r="Y11" s="915">
        <v>0</v>
      </c>
      <c r="Z11" s="915">
        <v>0</v>
      </c>
      <c r="AA11" s="915">
        <v>0</v>
      </c>
      <c r="AB11" s="915">
        <v>0</v>
      </c>
      <c r="AC11" s="915">
        <v>0</v>
      </c>
      <c r="AD11" s="915">
        <v>0</v>
      </c>
      <c r="AE11" s="915">
        <v>0</v>
      </c>
      <c r="AF11" s="915">
        <v>0</v>
      </c>
      <c r="AG11" s="915">
        <v>0</v>
      </c>
      <c r="AH11" s="915">
        <v>0</v>
      </c>
      <c r="AI11" s="915">
        <v>0</v>
      </c>
      <c r="AJ11" s="915">
        <v>0</v>
      </c>
      <c r="AK11" s="915">
        <v>0</v>
      </c>
      <c r="AL11" s="915">
        <f t="shared" si="3"/>
        <v>310</v>
      </c>
      <c r="AM11" s="915">
        <v>215</v>
      </c>
      <c r="AN11" s="915">
        <v>0</v>
      </c>
      <c r="AO11" s="915">
        <v>5</v>
      </c>
      <c r="AP11" s="915">
        <v>0</v>
      </c>
      <c r="AQ11" s="915">
        <v>50</v>
      </c>
      <c r="AR11" s="915">
        <v>0</v>
      </c>
      <c r="AS11" s="915">
        <v>0</v>
      </c>
      <c r="AT11" s="915">
        <v>0</v>
      </c>
      <c r="AU11" s="915">
        <v>40</v>
      </c>
      <c r="AV11" s="915">
        <v>0</v>
      </c>
      <c r="AW11" s="915">
        <v>0</v>
      </c>
      <c r="AX11" s="915">
        <v>0</v>
      </c>
      <c r="AY11" s="915">
        <v>0</v>
      </c>
      <c r="AZ11" s="915">
        <v>0</v>
      </c>
      <c r="BA11" s="916"/>
    </row>
    <row r="12" spans="1:53" ht="22.5" x14ac:dyDescent="0.25">
      <c r="A12" s="909">
        <v>5</v>
      </c>
      <c r="B12" s="911" t="s">
        <v>133</v>
      </c>
      <c r="C12" s="912" t="s">
        <v>299</v>
      </c>
      <c r="D12" s="913">
        <f t="shared" si="1"/>
        <v>312</v>
      </c>
      <c r="E12" s="914">
        <f t="shared" si="0"/>
        <v>215</v>
      </c>
      <c r="F12" s="914">
        <f t="shared" si="0"/>
        <v>0</v>
      </c>
      <c r="G12" s="914">
        <f t="shared" si="0"/>
        <v>7</v>
      </c>
      <c r="H12" s="914">
        <f t="shared" si="0"/>
        <v>0</v>
      </c>
      <c r="I12" s="914">
        <f t="shared" si="0"/>
        <v>50</v>
      </c>
      <c r="J12" s="914">
        <f t="shared" si="0"/>
        <v>0</v>
      </c>
      <c r="K12" s="914">
        <f t="shared" si="0"/>
        <v>0</v>
      </c>
      <c r="L12" s="914">
        <f t="shared" si="0"/>
        <v>0</v>
      </c>
      <c r="M12" s="914">
        <f t="shared" si="0"/>
        <v>40</v>
      </c>
      <c r="N12" s="914">
        <f t="shared" si="0"/>
        <v>0</v>
      </c>
      <c r="O12" s="914">
        <f t="shared" si="0"/>
        <v>0</v>
      </c>
      <c r="P12" s="914">
        <f t="shared" si="0"/>
        <v>0</v>
      </c>
      <c r="Q12" s="914">
        <f t="shared" si="0"/>
        <v>0</v>
      </c>
      <c r="R12" s="914">
        <f t="shared" si="0"/>
        <v>0</v>
      </c>
      <c r="S12" s="914">
        <f t="shared" si="0"/>
        <v>0</v>
      </c>
      <c r="T12" s="914">
        <f t="shared" si="0"/>
        <v>0</v>
      </c>
      <c r="U12" s="913">
        <f t="shared" si="2"/>
        <v>0</v>
      </c>
      <c r="V12" s="915">
        <v>0</v>
      </c>
      <c r="W12" s="915">
        <v>0</v>
      </c>
      <c r="X12" s="915">
        <v>0</v>
      </c>
      <c r="Y12" s="915">
        <v>0</v>
      </c>
      <c r="Z12" s="915">
        <v>0</v>
      </c>
      <c r="AA12" s="915">
        <v>0</v>
      </c>
      <c r="AB12" s="915">
        <v>0</v>
      </c>
      <c r="AC12" s="915">
        <v>0</v>
      </c>
      <c r="AD12" s="915">
        <v>0</v>
      </c>
      <c r="AE12" s="915">
        <v>0</v>
      </c>
      <c r="AF12" s="915">
        <v>0</v>
      </c>
      <c r="AG12" s="915">
        <v>0</v>
      </c>
      <c r="AH12" s="915">
        <v>0</v>
      </c>
      <c r="AI12" s="915">
        <v>0</v>
      </c>
      <c r="AJ12" s="915">
        <v>0</v>
      </c>
      <c r="AK12" s="915">
        <v>0</v>
      </c>
      <c r="AL12" s="915">
        <f t="shared" si="3"/>
        <v>312</v>
      </c>
      <c r="AM12" s="915">
        <v>215</v>
      </c>
      <c r="AN12" s="915">
        <v>0</v>
      </c>
      <c r="AO12" s="915">
        <v>7</v>
      </c>
      <c r="AP12" s="915">
        <v>0</v>
      </c>
      <c r="AQ12" s="915">
        <v>50</v>
      </c>
      <c r="AR12" s="915">
        <v>0</v>
      </c>
      <c r="AS12" s="915">
        <v>0</v>
      </c>
      <c r="AT12" s="915">
        <v>0</v>
      </c>
      <c r="AU12" s="915">
        <v>40</v>
      </c>
      <c r="AV12" s="915">
        <v>0</v>
      </c>
      <c r="AW12" s="915">
        <v>0</v>
      </c>
      <c r="AX12" s="915">
        <v>0</v>
      </c>
      <c r="AY12" s="915">
        <v>0</v>
      </c>
      <c r="AZ12" s="915">
        <v>0</v>
      </c>
      <c r="BA12" s="916"/>
    </row>
    <row r="13" spans="1:53" ht="22.5" x14ac:dyDescent="0.25">
      <c r="A13" s="909">
        <v>6</v>
      </c>
      <c r="B13" s="911" t="s">
        <v>135</v>
      </c>
      <c r="C13" s="912" t="s">
        <v>461</v>
      </c>
      <c r="D13" s="913">
        <f t="shared" si="1"/>
        <v>390</v>
      </c>
      <c r="E13" s="914">
        <f t="shared" si="0"/>
        <v>290</v>
      </c>
      <c r="F13" s="914">
        <f t="shared" si="0"/>
        <v>0</v>
      </c>
      <c r="G13" s="914">
        <f t="shared" si="0"/>
        <v>10</v>
      </c>
      <c r="H13" s="914">
        <f t="shared" si="0"/>
        <v>0</v>
      </c>
      <c r="I13" s="914">
        <f t="shared" si="0"/>
        <v>50</v>
      </c>
      <c r="J13" s="914">
        <f t="shared" si="0"/>
        <v>0</v>
      </c>
      <c r="K13" s="914">
        <f t="shared" si="0"/>
        <v>0</v>
      </c>
      <c r="L13" s="914">
        <f t="shared" si="0"/>
        <v>0</v>
      </c>
      <c r="M13" s="914">
        <f t="shared" si="0"/>
        <v>30</v>
      </c>
      <c r="N13" s="914">
        <f t="shared" si="0"/>
        <v>10</v>
      </c>
      <c r="O13" s="914">
        <f t="shared" si="0"/>
        <v>0</v>
      </c>
      <c r="P13" s="914">
        <f t="shared" si="0"/>
        <v>0</v>
      </c>
      <c r="Q13" s="914">
        <f t="shared" si="0"/>
        <v>0</v>
      </c>
      <c r="R13" s="914">
        <f t="shared" si="0"/>
        <v>0</v>
      </c>
      <c r="S13" s="914">
        <f t="shared" si="0"/>
        <v>0</v>
      </c>
      <c r="T13" s="914">
        <f t="shared" si="0"/>
        <v>0</v>
      </c>
      <c r="U13" s="913">
        <f t="shared" si="2"/>
        <v>0</v>
      </c>
      <c r="V13" s="915">
        <v>0</v>
      </c>
      <c r="W13" s="915">
        <v>0</v>
      </c>
      <c r="X13" s="915">
        <v>0</v>
      </c>
      <c r="Y13" s="915">
        <v>0</v>
      </c>
      <c r="Z13" s="915">
        <v>0</v>
      </c>
      <c r="AA13" s="915">
        <v>0</v>
      </c>
      <c r="AB13" s="915">
        <v>0</v>
      </c>
      <c r="AC13" s="915">
        <v>0</v>
      </c>
      <c r="AD13" s="915">
        <v>0</v>
      </c>
      <c r="AE13" s="915">
        <v>0</v>
      </c>
      <c r="AF13" s="915">
        <v>0</v>
      </c>
      <c r="AG13" s="915">
        <v>0</v>
      </c>
      <c r="AH13" s="915">
        <v>0</v>
      </c>
      <c r="AI13" s="915">
        <v>0</v>
      </c>
      <c r="AJ13" s="915">
        <v>0</v>
      </c>
      <c r="AK13" s="915">
        <v>0</v>
      </c>
      <c r="AL13" s="915">
        <f t="shared" si="3"/>
        <v>390</v>
      </c>
      <c r="AM13" s="915">
        <v>290</v>
      </c>
      <c r="AN13" s="915">
        <v>0</v>
      </c>
      <c r="AO13" s="915">
        <v>10</v>
      </c>
      <c r="AP13" s="915">
        <v>0</v>
      </c>
      <c r="AQ13" s="915">
        <v>50</v>
      </c>
      <c r="AR13" s="915">
        <v>0</v>
      </c>
      <c r="AS13" s="915">
        <v>0</v>
      </c>
      <c r="AT13" s="915">
        <v>0</v>
      </c>
      <c r="AU13" s="915">
        <v>30</v>
      </c>
      <c r="AV13" s="915">
        <v>10</v>
      </c>
      <c r="AW13" s="915">
        <v>0</v>
      </c>
      <c r="AX13" s="915">
        <v>0</v>
      </c>
      <c r="AY13" s="915">
        <v>0</v>
      </c>
      <c r="AZ13" s="915">
        <v>0</v>
      </c>
      <c r="BA13" s="916"/>
    </row>
    <row r="14" spans="1:53" x14ac:dyDescent="0.25">
      <c r="A14" s="909">
        <v>7</v>
      </c>
      <c r="B14" s="911" t="s">
        <v>50</v>
      </c>
      <c r="C14" s="912" t="s">
        <v>51</v>
      </c>
      <c r="D14" s="913">
        <f t="shared" si="1"/>
        <v>200</v>
      </c>
      <c r="E14" s="914">
        <f t="shared" si="0"/>
        <v>15</v>
      </c>
      <c r="F14" s="914">
        <f t="shared" si="0"/>
        <v>26</v>
      </c>
      <c r="G14" s="914">
        <f t="shared" si="0"/>
        <v>23</v>
      </c>
      <c r="H14" s="914">
        <f t="shared" si="0"/>
        <v>20</v>
      </c>
      <c r="I14" s="914">
        <f t="shared" si="0"/>
        <v>48</v>
      </c>
      <c r="J14" s="914">
        <f t="shared" si="0"/>
        <v>36</v>
      </c>
      <c r="K14" s="914">
        <f t="shared" si="0"/>
        <v>0</v>
      </c>
      <c r="L14" s="914">
        <f t="shared" si="0"/>
        <v>0</v>
      </c>
      <c r="M14" s="914">
        <f t="shared" si="0"/>
        <v>25</v>
      </c>
      <c r="N14" s="914">
        <f t="shared" si="0"/>
        <v>7</v>
      </c>
      <c r="O14" s="914">
        <f t="shared" si="0"/>
        <v>0</v>
      </c>
      <c r="P14" s="914">
        <f t="shared" si="0"/>
        <v>0</v>
      </c>
      <c r="Q14" s="914">
        <f t="shared" si="0"/>
        <v>0</v>
      </c>
      <c r="R14" s="914">
        <f t="shared" si="0"/>
        <v>0</v>
      </c>
      <c r="S14" s="914">
        <f t="shared" si="0"/>
        <v>0</v>
      </c>
      <c r="T14" s="914">
        <f t="shared" si="0"/>
        <v>0</v>
      </c>
      <c r="U14" s="913">
        <f t="shared" si="2"/>
        <v>100</v>
      </c>
      <c r="V14" s="915">
        <v>10</v>
      </c>
      <c r="W14" s="915">
        <v>10</v>
      </c>
      <c r="X14" s="915">
        <v>15</v>
      </c>
      <c r="Y14" s="915">
        <v>15</v>
      </c>
      <c r="Z14" s="915">
        <v>20</v>
      </c>
      <c r="AA14" s="915">
        <v>20</v>
      </c>
      <c r="AB14" s="915">
        <v>0</v>
      </c>
      <c r="AC14" s="915">
        <v>0</v>
      </c>
      <c r="AD14" s="915">
        <v>6</v>
      </c>
      <c r="AE14" s="915">
        <v>4</v>
      </c>
      <c r="AF14" s="915">
        <v>0</v>
      </c>
      <c r="AG14" s="915">
        <v>0</v>
      </c>
      <c r="AH14" s="915">
        <v>0</v>
      </c>
      <c r="AI14" s="915">
        <v>0</v>
      </c>
      <c r="AJ14" s="915">
        <v>0</v>
      </c>
      <c r="AK14" s="915">
        <v>0</v>
      </c>
      <c r="AL14" s="915">
        <f t="shared" si="3"/>
        <v>100</v>
      </c>
      <c r="AM14" s="915">
        <v>5</v>
      </c>
      <c r="AN14" s="915">
        <v>16</v>
      </c>
      <c r="AO14" s="915">
        <v>8</v>
      </c>
      <c r="AP14" s="915">
        <v>5</v>
      </c>
      <c r="AQ14" s="915">
        <v>28</v>
      </c>
      <c r="AR14" s="915">
        <v>16</v>
      </c>
      <c r="AS14" s="915">
        <v>0</v>
      </c>
      <c r="AT14" s="915">
        <v>0</v>
      </c>
      <c r="AU14" s="915">
        <v>19</v>
      </c>
      <c r="AV14" s="915">
        <v>3</v>
      </c>
      <c r="AW14" s="915">
        <v>0</v>
      </c>
      <c r="AX14" s="915">
        <v>0</v>
      </c>
      <c r="AY14" s="915">
        <v>0</v>
      </c>
      <c r="AZ14" s="915">
        <v>0</v>
      </c>
      <c r="BA14" s="916"/>
    </row>
    <row r="15" spans="1:53" x14ac:dyDescent="0.25">
      <c r="A15" s="909">
        <v>8</v>
      </c>
      <c r="B15" s="911" t="s">
        <v>207</v>
      </c>
      <c r="C15" s="912" t="s">
        <v>208</v>
      </c>
      <c r="D15" s="913">
        <f t="shared" si="1"/>
        <v>147</v>
      </c>
      <c r="E15" s="914">
        <f t="shared" si="0"/>
        <v>61</v>
      </c>
      <c r="F15" s="914">
        <f t="shared" si="0"/>
        <v>8</v>
      </c>
      <c r="G15" s="914">
        <f t="shared" si="0"/>
        <v>0</v>
      </c>
      <c r="H15" s="914">
        <f t="shared" si="0"/>
        <v>0</v>
      </c>
      <c r="I15" s="914">
        <f t="shared" si="0"/>
        <v>65</v>
      </c>
      <c r="J15" s="914">
        <f t="shared" si="0"/>
        <v>5</v>
      </c>
      <c r="K15" s="914">
        <f t="shared" si="0"/>
        <v>0</v>
      </c>
      <c r="L15" s="914">
        <f t="shared" si="0"/>
        <v>0</v>
      </c>
      <c r="M15" s="914">
        <f t="shared" si="0"/>
        <v>7</v>
      </c>
      <c r="N15" s="914">
        <f t="shared" si="0"/>
        <v>1</v>
      </c>
      <c r="O15" s="914">
        <f t="shared" si="0"/>
        <v>0</v>
      </c>
      <c r="P15" s="914">
        <f t="shared" si="0"/>
        <v>0</v>
      </c>
      <c r="Q15" s="914">
        <f t="shared" si="0"/>
        <v>0</v>
      </c>
      <c r="R15" s="914">
        <f t="shared" si="0"/>
        <v>0</v>
      </c>
      <c r="S15" s="914">
        <f t="shared" si="0"/>
        <v>0</v>
      </c>
      <c r="T15" s="914">
        <f t="shared" si="0"/>
        <v>0</v>
      </c>
      <c r="U15" s="913">
        <f t="shared" si="2"/>
        <v>40</v>
      </c>
      <c r="V15" s="915">
        <v>10</v>
      </c>
      <c r="W15" s="915">
        <v>0</v>
      </c>
      <c r="X15" s="915">
        <v>0</v>
      </c>
      <c r="Y15" s="915">
        <v>0</v>
      </c>
      <c r="Z15" s="915">
        <v>30</v>
      </c>
      <c r="AA15" s="915">
        <v>0</v>
      </c>
      <c r="AB15" s="915">
        <v>0</v>
      </c>
      <c r="AC15" s="915">
        <v>0</v>
      </c>
      <c r="AD15" s="915">
        <v>0</v>
      </c>
      <c r="AE15" s="915">
        <v>0</v>
      </c>
      <c r="AF15" s="915">
        <v>0</v>
      </c>
      <c r="AG15" s="915">
        <v>0</v>
      </c>
      <c r="AH15" s="915">
        <v>0</v>
      </c>
      <c r="AI15" s="915">
        <v>0</v>
      </c>
      <c r="AJ15" s="915">
        <v>0</v>
      </c>
      <c r="AK15" s="915">
        <v>0</v>
      </c>
      <c r="AL15" s="915">
        <f t="shared" si="3"/>
        <v>107</v>
      </c>
      <c r="AM15" s="915">
        <v>51</v>
      </c>
      <c r="AN15" s="915">
        <v>8</v>
      </c>
      <c r="AO15" s="915">
        <v>0</v>
      </c>
      <c r="AP15" s="915">
        <v>0</v>
      </c>
      <c r="AQ15" s="915">
        <v>35</v>
      </c>
      <c r="AR15" s="915">
        <v>5</v>
      </c>
      <c r="AS15" s="915">
        <v>0</v>
      </c>
      <c r="AT15" s="915">
        <v>0</v>
      </c>
      <c r="AU15" s="915">
        <v>7</v>
      </c>
      <c r="AV15" s="915">
        <v>1</v>
      </c>
      <c r="AW15" s="915">
        <v>0</v>
      </c>
      <c r="AX15" s="915">
        <v>0</v>
      </c>
      <c r="AY15" s="915">
        <v>0</v>
      </c>
      <c r="AZ15" s="915">
        <v>0</v>
      </c>
      <c r="BA15" s="916"/>
    </row>
    <row r="16" spans="1:53" x14ac:dyDescent="0.25">
      <c r="A16" s="909">
        <v>9</v>
      </c>
      <c r="B16" s="911" t="s">
        <v>264</v>
      </c>
      <c r="C16" s="912" t="s">
        <v>265</v>
      </c>
      <c r="D16" s="913">
        <f t="shared" si="1"/>
        <v>482</v>
      </c>
      <c r="E16" s="914">
        <f t="shared" si="0"/>
        <v>170</v>
      </c>
      <c r="F16" s="914">
        <f t="shared" si="0"/>
        <v>51</v>
      </c>
      <c r="G16" s="914">
        <f t="shared" si="0"/>
        <v>35</v>
      </c>
      <c r="H16" s="914">
        <f t="shared" si="0"/>
        <v>5</v>
      </c>
      <c r="I16" s="914">
        <f t="shared" si="0"/>
        <v>120</v>
      </c>
      <c r="J16" s="914">
        <f t="shared" si="0"/>
        <v>12</v>
      </c>
      <c r="K16" s="914">
        <f t="shared" si="0"/>
        <v>0</v>
      </c>
      <c r="L16" s="914">
        <f t="shared" si="0"/>
        <v>0</v>
      </c>
      <c r="M16" s="914">
        <f t="shared" si="0"/>
        <v>62</v>
      </c>
      <c r="N16" s="914">
        <f t="shared" si="0"/>
        <v>12</v>
      </c>
      <c r="O16" s="914">
        <f t="shared" si="0"/>
        <v>0</v>
      </c>
      <c r="P16" s="914">
        <f t="shared" si="0"/>
        <v>0</v>
      </c>
      <c r="Q16" s="914">
        <f t="shared" si="0"/>
        <v>10</v>
      </c>
      <c r="R16" s="914">
        <f t="shared" si="0"/>
        <v>5</v>
      </c>
      <c r="S16" s="914">
        <f t="shared" si="0"/>
        <v>0</v>
      </c>
      <c r="T16" s="914">
        <f t="shared" si="0"/>
        <v>0</v>
      </c>
      <c r="U16" s="913">
        <f t="shared" si="2"/>
        <v>0</v>
      </c>
      <c r="V16" s="915">
        <v>0</v>
      </c>
      <c r="W16" s="915">
        <v>0</v>
      </c>
      <c r="X16" s="915">
        <v>0</v>
      </c>
      <c r="Y16" s="915">
        <v>0</v>
      </c>
      <c r="Z16" s="915">
        <v>0</v>
      </c>
      <c r="AA16" s="915">
        <v>0</v>
      </c>
      <c r="AB16" s="915">
        <v>0</v>
      </c>
      <c r="AC16" s="915">
        <v>0</v>
      </c>
      <c r="AD16" s="915">
        <v>0</v>
      </c>
      <c r="AE16" s="915">
        <v>0</v>
      </c>
      <c r="AF16" s="915">
        <v>0</v>
      </c>
      <c r="AG16" s="915">
        <v>0</v>
      </c>
      <c r="AH16" s="915">
        <v>0</v>
      </c>
      <c r="AI16" s="915">
        <v>0</v>
      </c>
      <c r="AJ16" s="915">
        <v>0</v>
      </c>
      <c r="AK16" s="915">
        <v>0</v>
      </c>
      <c r="AL16" s="915">
        <f t="shared" si="3"/>
        <v>482</v>
      </c>
      <c r="AM16" s="915">
        <v>170</v>
      </c>
      <c r="AN16" s="915">
        <v>51</v>
      </c>
      <c r="AO16" s="915">
        <v>35</v>
      </c>
      <c r="AP16" s="915">
        <v>5</v>
      </c>
      <c r="AQ16" s="915">
        <v>120</v>
      </c>
      <c r="AR16" s="915">
        <v>12</v>
      </c>
      <c r="AS16" s="915">
        <v>0</v>
      </c>
      <c r="AT16" s="915">
        <v>0</v>
      </c>
      <c r="AU16" s="915">
        <v>62</v>
      </c>
      <c r="AV16" s="915">
        <v>12</v>
      </c>
      <c r="AW16" s="915">
        <v>0</v>
      </c>
      <c r="AX16" s="915">
        <v>0</v>
      </c>
      <c r="AY16" s="915">
        <v>10</v>
      </c>
      <c r="AZ16" s="915">
        <v>5</v>
      </c>
      <c r="BA16" s="916"/>
    </row>
    <row r="17" spans="1:53" x14ac:dyDescent="0.25">
      <c r="A17" s="909">
        <v>10</v>
      </c>
      <c r="B17" s="911" t="s">
        <v>171</v>
      </c>
      <c r="C17" s="912" t="s">
        <v>172</v>
      </c>
      <c r="D17" s="913">
        <f t="shared" si="1"/>
        <v>150</v>
      </c>
      <c r="E17" s="914">
        <f t="shared" si="0"/>
        <v>30</v>
      </c>
      <c r="F17" s="914">
        <f t="shared" si="0"/>
        <v>10</v>
      </c>
      <c r="G17" s="914">
        <f t="shared" si="0"/>
        <v>20</v>
      </c>
      <c r="H17" s="914">
        <f t="shared" si="0"/>
        <v>20</v>
      </c>
      <c r="I17" s="914">
        <f t="shared" si="0"/>
        <v>30</v>
      </c>
      <c r="J17" s="914">
        <f t="shared" si="0"/>
        <v>10</v>
      </c>
      <c r="K17" s="914">
        <f t="shared" si="0"/>
        <v>0</v>
      </c>
      <c r="L17" s="914">
        <f t="shared" si="0"/>
        <v>0</v>
      </c>
      <c r="M17" s="914">
        <f t="shared" si="0"/>
        <v>20</v>
      </c>
      <c r="N17" s="914">
        <f t="shared" si="0"/>
        <v>10</v>
      </c>
      <c r="O17" s="914">
        <f t="shared" si="0"/>
        <v>0</v>
      </c>
      <c r="P17" s="914">
        <f t="shared" si="0"/>
        <v>0</v>
      </c>
      <c r="Q17" s="914">
        <f t="shared" si="0"/>
        <v>0</v>
      </c>
      <c r="R17" s="914">
        <f t="shared" si="0"/>
        <v>0</v>
      </c>
      <c r="S17" s="914">
        <f t="shared" si="0"/>
        <v>0</v>
      </c>
      <c r="T17" s="914">
        <f t="shared" si="0"/>
        <v>0</v>
      </c>
      <c r="U17" s="913">
        <f t="shared" si="2"/>
        <v>0</v>
      </c>
      <c r="V17" s="915">
        <v>0</v>
      </c>
      <c r="W17" s="915">
        <v>0</v>
      </c>
      <c r="X17" s="915">
        <v>0</v>
      </c>
      <c r="Y17" s="915">
        <v>0</v>
      </c>
      <c r="Z17" s="915">
        <v>0</v>
      </c>
      <c r="AA17" s="915">
        <v>0</v>
      </c>
      <c r="AB17" s="915">
        <v>0</v>
      </c>
      <c r="AC17" s="915">
        <v>0</v>
      </c>
      <c r="AD17" s="915">
        <v>0</v>
      </c>
      <c r="AE17" s="915">
        <v>0</v>
      </c>
      <c r="AF17" s="915">
        <v>0</v>
      </c>
      <c r="AG17" s="915">
        <v>0</v>
      </c>
      <c r="AH17" s="915">
        <v>0</v>
      </c>
      <c r="AI17" s="915">
        <v>0</v>
      </c>
      <c r="AJ17" s="915">
        <v>0</v>
      </c>
      <c r="AK17" s="915">
        <v>0</v>
      </c>
      <c r="AL17" s="915">
        <f t="shared" si="3"/>
        <v>150</v>
      </c>
      <c r="AM17" s="915">
        <v>30</v>
      </c>
      <c r="AN17" s="915">
        <v>10</v>
      </c>
      <c r="AO17" s="915">
        <v>20</v>
      </c>
      <c r="AP17" s="915">
        <v>20</v>
      </c>
      <c r="AQ17" s="915">
        <v>30</v>
      </c>
      <c r="AR17" s="915">
        <v>10</v>
      </c>
      <c r="AS17" s="915">
        <v>0</v>
      </c>
      <c r="AT17" s="915">
        <v>0</v>
      </c>
      <c r="AU17" s="915">
        <v>20</v>
      </c>
      <c r="AV17" s="915">
        <v>10</v>
      </c>
      <c r="AW17" s="915">
        <v>0</v>
      </c>
      <c r="AX17" s="915">
        <v>0</v>
      </c>
      <c r="AY17" s="915">
        <v>0</v>
      </c>
      <c r="AZ17" s="915">
        <v>0</v>
      </c>
      <c r="BA17" s="916"/>
    </row>
    <row r="18" spans="1:53" x14ac:dyDescent="0.25">
      <c r="A18" s="909">
        <v>11</v>
      </c>
      <c r="B18" s="911" t="s">
        <v>187</v>
      </c>
      <c r="C18" s="912" t="s">
        <v>188</v>
      </c>
      <c r="D18" s="913">
        <f t="shared" si="1"/>
        <v>35</v>
      </c>
      <c r="E18" s="914">
        <f t="shared" si="0"/>
        <v>0</v>
      </c>
      <c r="F18" s="914">
        <f t="shared" si="0"/>
        <v>0</v>
      </c>
      <c r="G18" s="914">
        <f t="shared" si="0"/>
        <v>0</v>
      </c>
      <c r="H18" s="914">
        <f t="shared" si="0"/>
        <v>0</v>
      </c>
      <c r="I18" s="914">
        <f t="shared" si="0"/>
        <v>0</v>
      </c>
      <c r="J18" s="914">
        <f t="shared" si="0"/>
        <v>10</v>
      </c>
      <c r="K18" s="914">
        <f t="shared" si="0"/>
        <v>0</v>
      </c>
      <c r="L18" s="914">
        <f t="shared" si="0"/>
        <v>25</v>
      </c>
      <c r="M18" s="914">
        <f t="shared" si="0"/>
        <v>0</v>
      </c>
      <c r="N18" s="914">
        <f t="shared" si="0"/>
        <v>0</v>
      </c>
      <c r="O18" s="914">
        <f t="shared" si="0"/>
        <v>0</v>
      </c>
      <c r="P18" s="914">
        <f t="shared" si="0"/>
        <v>0</v>
      </c>
      <c r="Q18" s="914">
        <f t="shared" si="0"/>
        <v>0</v>
      </c>
      <c r="R18" s="914">
        <f t="shared" si="0"/>
        <v>0</v>
      </c>
      <c r="S18" s="914">
        <f t="shared" si="0"/>
        <v>0</v>
      </c>
      <c r="T18" s="914">
        <f t="shared" si="0"/>
        <v>0</v>
      </c>
      <c r="U18" s="913">
        <f t="shared" si="2"/>
        <v>35</v>
      </c>
      <c r="V18" s="915">
        <v>0</v>
      </c>
      <c r="W18" s="915">
        <v>0</v>
      </c>
      <c r="X18" s="915">
        <v>0</v>
      </c>
      <c r="Y18" s="915">
        <v>0</v>
      </c>
      <c r="Z18" s="915">
        <v>0</v>
      </c>
      <c r="AA18" s="915">
        <v>10</v>
      </c>
      <c r="AB18" s="915">
        <v>0</v>
      </c>
      <c r="AC18" s="915">
        <v>25</v>
      </c>
      <c r="AD18" s="915">
        <v>0</v>
      </c>
      <c r="AE18" s="915">
        <v>0</v>
      </c>
      <c r="AF18" s="915">
        <v>0</v>
      </c>
      <c r="AG18" s="915">
        <v>0</v>
      </c>
      <c r="AH18" s="915">
        <v>0</v>
      </c>
      <c r="AI18" s="915">
        <v>0</v>
      </c>
      <c r="AJ18" s="915">
        <v>0</v>
      </c>
      <c r="AK18" s="915">
        <v>0</v>
      </c>
      <c r="AL18" s="915">
        <f t="shared" si="3"/>
        <v>0</v>
      </c>
      <c r="AM18" s="915">
        <v>0</v>
      </c>
      <c r="AN18" s="915">
        <v>0</v>
      </c>
      <c r="AO18" s="915">
        <v>0</v>
      </c>
      <c r="AP18" s="915">
        <v>0</v>
      </c>
      <c r="AQ18" s="915">
        <v>0</v>
      </c>
      <c r="AR18" s="915">
        <v>0</v>
      </c>
      <c r="AS18" s="915">
        <v>0</v>
      </c>
      <c r="AT18" s="915">
        <v>0</v>
      </c>
      <c r="AU18" s="915">
        <v>0</v>
      </c>
      <c r="AV18" s="915">
        <v>0</v>
      </c>
      <c r="AW18" s="915">
        <v>0</v>
      </c>
      <c r="AX18" s="915">
        <v>0</v>
      </c>
      <c r="AY18" s="915">
        <v>0</v>
      </c>
      <c r="AZ18" s="915">
        <v>0</v>
      </c>
      <c r="BA18" s="916"/>
    </row>
    <row r="19" spans="1:53" x14ac:dyDescent="0.25">
      <c r="A19" s="909">
        <v>12</v>
      </c>
      <c r="B19" s="911" t="s">
        <v>189</v>
      </c>
      <c r="C19" s="912" t="s">
        <v>190</v>
      </c>
      <c r="D19" s="913">
        <f t="shared" si="1"/>
        <v>50</v>
      </c>
      <c r="E19" s="914">
        <f t="shared" si="0"/>
        <v>6</v>
      </c>
      <c r="F19" s="914">
        <f t="shared" si="0"/>
        <v>4</v>
      </c>
      <c r="G19" s="914">
        <f t="shared" si="0"/>
        <v>0</v>
      </c>
      <c r="H19" s="914">
        <f t="shared" si="0"/>
        <v>0</v>
      </c>
      <c r="I19" s="914">
        <f t="shared" si="0"/>
        <v>20</v>
      </c>
      <c r="J19" s="914">
        <f t="shared" si="0"/>
        <v>20</v>
      </c>
      <c r="K19" s="914">
        <f t="shared" si="0"/>
        <v>0</v>
      </c>
      <c r="L19" s="914">
        <f t="shared" si="0"/>
        <v>0</v>
      </c>
      <c r="M19" s="914">
        <f t="shared" si="0"/>
        <v>0</v>
      </c>
      <c r="N19" s="914">
        <f t="shared" si="0"/>
        <v>0</v>
      </c>
      <c r="O19" s="914">
        <f t="shared" si="0"/>
        <v>0</v>
      </c>
      <c r="P19" s="914">
        <f t="shared" si="0"/>
        <v>0</v>
      </c>
      <c r="Q19" s="914">
        <f t="shared" si="0"/>
        <v>0</v>
      </c>
      <c r="R19" s="914">
        <f t="shared" si="0"/>
        <v>0</v>
      </c>
      <c r="S19" s="914">
        <f t="shared" si="0"/>
        <v>0</v>
      </c>
      <c r="T19" s="914">
        <f t="shared" si="0"/>
        <v>0</v>
      </c>
      <c r="U19" s="913">
        <f t="shared" si="2"/>
        <v>50</v>
      </c>
      <c r="V19" s="915">
        <v>6</v>
      </c>
      <c r="W19" s="915">
        <v>4</v>
      </c>
      <c r="X19" s="915">
        <v>0</v>
      </c>
      <c r="Y19" s="915">
        <v>0</v>
      </c>
      <c r="Z19" s="915">
        <v>20</v>
      </c>
      <c r="AA19" s="915">
        <v>20</v>
      </c>
      <c r="AB19" s="915">
        <v>0</v>
      </c>
      <c r="AC19" s="915">
        <v>0</v>
      </c>
      <c r="AD19" s="915">
        <v>0</v>
      </c>
      <c r="AE19" s="915">
        <v>0</v>
      </c>
      <c r="AF19" s="915">
        <v>0</v>
      </c>
      <c r="AG19" s="915">
        <v>0</v>
      </c>
      <c r="AH19" s="915">
        <v>0</v>
      </c>
      <c r="AI19" s="915">
        <v>0</v>
      </c>
      <c r="AJ19" s="915">
        <v>0</v>
      </c>
      <c r="AK19" s="915">
        <v>0</v>
      </c>
      <c r="AL19" s="915">
        <f t="shared" si="3"/>
        <v>0</v>
      </c>
      <c r="AM19" s="915">
        <v>0</v>
      </c>
      <c r="AN19" s="915">
        <v>0</v>
      </c>
      <c r="AO19" s="915">
        <v>0</v>
      </c>
      <c r="AP19" s="915">
        <v>0</v>
      </c>
      <c r="AQ19" s="915">
        <v>0</v>
      </c>
      <c r="AR19" s="915">
        <v>0</v>
      </c>
      <c r="AS19" s="915">
        <v>0</v>
      </c>
      <c r="AT19" s="915">
        <v>0</v>
      </c>
      <c r="AU19" s="915">
        <v>0</v>
      </c>
      <c r="AV19" s="915">
        <v>0</v>
      </c>
      <c r="AW19" s="915">
        <v>0</v>
      </c>
      <c r="AX19" s="915">
        <v>0</v>
      </c>
      <c r="AY19" s="915">
        <v>0</v>
      </c>
      <c r="AZ19" s="915">
        <v>0</v>
      </c>
      <c r="BA19" s="916"/>
    </row>
    <row r="20" spans="1:53" ht="21" customHeight="1" x14ac:dyDescent="0.25">
      <c r="A20" s="909">
        <v>13</v>
      </c>
      <c r="B20" s="911" t="s">
        <v>107</v>
      </c>
      <c r="C20" s="912" t="s">
        <v>108</v>
      </c>
      <c r="D20" s="913">
        <f t="shared" si="1"/>
        <v>120</v>
      </c>
      <c r="E20" s="914">
        <f t="shared" si="0"/>
        <v>30</v>
      </c>
      <c r="F20" s="914">
        <f t="shared" si="0"/>
        <v>0</v>
      </c>
      <c r="G20" s="914">
        <f t="shared" si="0"/>
        <v>0</v>
      </c>
      <c r="H20" s="914">
        <f t="shared" si="0"/>
        <v>0</v>
      </c>
      <c r="I20" s="914">
        <f t="shared" si="0"/>
        <v>30</v>
      </c>
      <c r="J20" s="914">
        <f t="shared" si="0"/>
        <v>0</v>
      </c>
      <c r="K20" s="914">
        <f t="shared" si="0"/>
        <v>30</v>
      </c>
      <c r="L20" s="914">
        <f t="shared" si="0"/>
        <v>0</v>
      </c>
      <c r="M20" s="914">
        <f t="shared" si="0"/>
        <v>30</v>
      </c>
      <c r="N20" s="914">
        <f t="shared" si="0"/>
        <v>0</v>
      </c>
      <c r="O20" s="914">
        <f t="shared" si="0"/>
        <v>0</v>
      </c>
      <c r="P20" s="914">
        <f t="shared" si="0"/>
        <v>0</v>
      </c>
      <c r="Q20" s="914">
        <f t="shared" si="0"/>
        <v>0</v>
      </c>
      <c r="R20" s="914">
        <f t="shared" si="0"/>
        <v>0</v>
      </c>
      <c r="S20" s="914">
        <f t="shared" si="0"/>
        <v>0</v>
      </c>
      <c r="T20" s="914">
        <f t="shared" si="0"/>
        <v>0</v>
      </c>
      <c r="U20" s="913">
        <f t="shared" si="2"/>
        <v>120</v>
      </c>
      <c r="V20" s="915">
        <v>30</v>
      </c>
      <c r="W20" s="915">
        <v>0</v>
      </c>
      <c r="X20" s="915">
        <v>0</v>
      </c>
      <c r="Y20" s="915">
        <v>0</v>
      </c>
      <c r="Z20" s="915">
        <v>30</v>
      </c>
      <c r="AA20" s="915">
        <v>0</v>
      </c>
      <c r="AB20" s="915">
        <v>30</v>
      </c>
      <c r="AC20" s="915">
        <v>0</v>
      </c>
      <c r="AD20" s="915">
        <v>30</v>
      </c>
      <c r="AE20" s="915">
        <v>0</v>
      </c>
      <c r="AF20" s="915">
        <v>0</v>
      </c>
      <c r="AG20" s="915">
        <v>0</v>
      </c>
      <c r="AH20" s="915">
        <v>0</v>
      </c>
      <c r="AI20" s="915">
        <v>0</v>
      </c>
      <c r="AJ20" s="915">
        <v>0</v>
      </c>
      <c r="AK20" s="915">
        <v>0</v>
      </c>
      <c r="AL20" s="915">
        <f t="shared" si="3"/>
        <v>0</v>
      </c>
      <c r="AM20" s="915">
        <v>0</v>
      </c>
      <c r="AN20" s="915">
        <v>0</v>
      </c>
      <c r="AO20" s="915">
        <v>0</v>
      </c>
      <c r="AP20" s="915">
        <v>0</v>
      </c>
      <c r="AQ20" s="915">
        <v>0</v>
      </c>
      <c r="AR20" s="915">
        <v>0</v>
      </c>
      <c r="AS20" s="915">
        <v>0</v>
      </c>
      <c r="AT20" s="915">
        <v>0</v>
      </c>
      <c r="AU20" s="915">
        <v>0</v>
      </c>
      <c r="AV20" s="915">
        <v>0</v>
      </c>
      <c r="AW20" s="915">
        <v>0</v>
      </c>
      <c r="AX20" s="915">
        <v>0</v>
      </c>
      <c r="AY20" s="915">
        <v>0</v>
      </c>
      <c r="AZ20" s="915">
        <v>0</v>
      </c>
      <c r="BA20" s="916"/>
    </row>
    <row r="21" spans="1:53" x14ac:dyDescent="0.25">
      <c r="A21" s="909">
        <v>14</v>
      </c>
      <c r="B21" s="911" t="s">
        <v>167</v>
      </c>
      <c r="C21" s="912" t="s">
        <v>538</v>
      </c>
      <c r="D21" s="913">
        <f t="shared" si="1"/>
        <v>100</v>
      </c>
      <c r="E21" s="914">
        <f t="shared" si="0"/>
        <v>30</v>
      </c>
      <c r="F21" s="914">
        <f t="shared" si="0"/>
        <v>0</v>
      </c>
      <c r="G21" s="914">
        <f t="shared" si="0"/>
        <v>20</v>
      </c>
      <c r="H21" s="914">
        <f t="shared" si="0"/>
        <v>0</v>
      </c>
      <c r="I21" s="914">
        <f t="shared" si="0"/>
        <v>0</v>
      </c>
      <c r="J21" s="914">
        <f t="shared" si="0"/>
        <v>0</v>
      </c>
      <c r="K21" s="914">
        <f t="shared" si="0"/>
        <v>40</v>
      </c>
      <c r="L21" s="914">
        <f t="shared" si="0"/>
        <v>0</v>
      </c>
      <c r="M21" s="914">
        <f t="shared" si="0"/>
        <v>10</v>
      </c>
      <c r="N21" s="914">
        <f t="shared" si="0"/>
        <v>0</v>
      </c>
      <c r="O21" s="914">
        <f t="shared" si="0"/>
        <v>0</v>
      </c>
      <c r="P21" s="914">
        <f t="shared" si="0"/>
        <v>0</v>
      </c>
      <c r="Q21" s="914">
        <f t="shared" si="0"/>
        <v>0</v>
      </c>
      <c r="R21" s="914">
        <f t="shared" si="0"/>
        <v>0</v>
      </c>
      <c r="S21" s="914">
        <f t="shared" si="0"/>
        <v>0</v>
      </c>
      <c r="T21" s="914">
        <f t="shared" si="0"/>
        <v>0</v>
      </c>
      <c r="U21" s="913">
        <f t="shared" si="2"/>
        <v>100</v>
      </c>
      <c r="V21" s="915">
        <v>30</v>
      </c>
      <c r="W21" s="915">
        <v>0</v>
      </c>
      <c r="X21" s="915">
        <v>20</v>
      </c>
      <c r="Y21" s="915">
        <v>0</v>
      </c>
      <c r="Z21" s="915">
        <v>0</v>
      </c>
      <c r="AA21" s="915">
        <v>0</v>
      </c>
      <c r="AB21" s="915">
        <v>40</v>
      </c>
      <c r="AC21" s="915">
        <v>0</v>
      </c>
      <c r="AD21" s="915">
        <v>10</v>
      </c>
      <c r="AE21" s="915">
        <v>0</v>
      </c>
      <c r="AF21" s="915">
        <v>0</v>
      </c>
      <c r="AG21" s="915">
        <v>0</v>
      </c>
      <c r="AH21" s="915">
        <v>0</v>
      </c>
      <c r="AI21" s="915">
        <v>0</v>
      </c>
      <c r="AJ21" s="915">
        <v>0</v>
      </c>
      <c r="AK21" s="915">
        <v>0</v>
      </c>
      <c r="AL21" s="915">
        <f t="shared" si="3"/>
        <v>0</v>
      </c>
      <c r="AM21" s="915">
        <v>0</v>
      </c>
      <c r="AN21" s="915">
        <v>0</v>
      </c>
      <c r="AO21" s="915">
        <v>0</v>
      </c>
      <c r="AP21" s="915">
        <v>0</v>
      </c>
      <c r="AQ21" s="915">
        <v>0</v>
      </c>
      <c r="AR21" s="915">
        <v>0</v>
      </c>
      <c r="AS21" s="915">
        <v>0</v>
      </c>
      <c r="AT21" s="915">
        <v>0</v>
      </c>
      <c r="AU21" s="915">
        <v>0</v>
      </c>
      <c r="AV21" s="915">
        <v>0</v>
      </c>
      <c r="AW21" s="915">
        <v>0</v>
      </c>
      <c r="AX21" s="915">
        <v>0</v>
      </c>
      <c r="AY21" s="915">
        <v>0</v>
      </c>
      <c r="AZ21" s="915">
        <v>0</v>
      </c>
      <c r="BA21" s="916"/>
    </row>
    <row r="22" spans="1:53" x14ac:dyDescent="0.25">
      <c r="A22" s="909">
        <v>15</v>
      </c>
      <c r="B22" s="911" t="s">
        <v>79</v>
      </c>
      <c r="C22" s="912" t="s">
        <v>80</v>
      </c>
      <c r="D22" s="913">
        <f t="shared" si="1"/>
        <v>400</v>
      </c>
      <c r="E22" s="914">
        <f t="shared" si="0"/>
        <v>45</v>
      </c>
      <c r="F22" s="914">
        <f t="shared" si="0"/>
        <v>20</v>
      </c>
      <c r="G22" s="914">
        <f t="shared" si="0"/>
        <v>45</v>
      </c>
      <c r="H22" s="914">
        <f t="shared" si="0"/>
        <v>20</v>
      </c>
      <c r="I22" s="914">
        <f t="shared" si="0"/>
        <v>50</v>
      </c>
      <c r="J22" s="914">
        <f t="shared" si="0"/>
        <v>90</v>
      </c>
      <c r="K22" s="914">
        <f t="shared" si="0"/>
        <v>50</v>
      </c>
      <c r="L22" s="914">
        <f t="shared" si="0"/>
        <v>40</v>
      </c>
      <c r="M22" s="914">
        <f t="shared" si="0"/>
        <v>20</v>
      </c>
      <c r="N22" s="914">
        <f t="shared" si="0"/>
        <v>20</v>
      </c>
      <c r="O22" s="914">
        <f t="shared" si="0"/>
        <v>0</v>
      </c>
      <c r="P22" s="914">
        <f t="shared" si="0"/>
        <v>0</v>
      </c>
      <c r="Q22" s="914">
        <f t="shared" si="0"/>
        <v>0</v>
      </c>
      <c r="R22" s="914">
        <f t="shared" si="0"/>
        <v>0</v>
      </c>
      <c r="S22" s="914">
        <f t="shared" si="0"/>
        <v>0</v>
      </c>
      <c r="T22" s="914">
        <f t="shared" si="0"/>
        <v>0</v>
      </c>
      <c r="U22" s="913">
        <f t="shared" si="2"/>
        <v>400</v>
      </c>
      <c r="V22" s="915">
        <v>45</v>
      </c>
      <c r="W22" s="915">
        <v>20</v>
      </c>
      <c r="X22" s="915">
        <v>45</v>
      </c>
      <c r="Y22" s="915">
        <v>20</v>
      </c>
      <c r="Z22" s="915">
        <v>50</v>
      </c>
      <c r="AA22" s="915">
        <v>90</v>
      </c>
      <c r="AB22" s="915">
        <v>50</v>
      </c>
      <c r="AC22" s="915">
        <v>40</v>
      </c>
      <c r="AD22" s="915">
        <v>20</v>
      </c>
      <c r="AE22" s="915">
        <v>20</v>
      </c>
      <c r="AF22" s="915">
        <v>0</v>
      </c>
      <c r="AG22" s="915">
        <v>0</v>
      </c>
      <c r="AH22" s="915">
        <v>0</v>
      </c>
      <c r="AI22" s="915">
        <v>0</v>
      </c>
      <c r="AJ22" s="915">
        <v>0</v>
      </c>
      <c r="AK22" s="915">
        <v>0</v>
      </c>
      <c r="AL22" s="915">
        <f t="shared" si="3"/>
        <v>0</v>
      </c>
      <c r="AM22" s="915">
        <v>0</v>
      </c>
      <c r="AN22" s="915">
        <v>0</v>
      </c>
      <c r="AO22" s="915">
        <v>0</v>
      </c>
      <c r="AP22" s="915">
        <v>0</v>
      </c>
      <c r="AQ22" s="915">
        <v>0</v>
      </c>
      <c r="AR22" s="915">
        <v>0</v>
      </c>
      <c r="AS22" s="915">
        <v>0</v>
      </c>
      <c r="AT22" s="915">
        <v>0</v>
      </c>
      <c r="AU22" s="915">
        <v>0</v>
      </c>
      <c r="AV22" s="915">
        <v>0</v>
      </c>
      <c r="AW22" s="915">
        <v>0</v>
      </c>
      <c r="AX22" s="915">
        <v>0</v>
      </c>
      <c r="AY22" s="915">
        <v>0</v>
      </c>
      <c r="AZ22" s="915">
        <v>0</v>
      </c>
      <c r="BA22" s="916"/>
    </row>
    <row r="23" spans="1:53" x14ac:dyDescent="0.25">
      <c r="A23" s="909">
        <v>16</v>
      </c>
      <c r="B23" s="911" t="s">
        <v>173</v>
      </c>
      <c r="C23" s="912" t="s">
        <v>539</v>
      </c>
      <c r="D23" s="913">
        <f t="shared" si="1"/>
        <v>100</v>
      </c>
      <c r="E23" s="914">
        <f t="shared" si="0"/>
        <v>10</v>
      </c>
      <c r="F23" s="914">
        <f t="shared" si="0"/>
        <v>10</v>
      </c>
      <c r="G23" s="914">
        <f t="shared" si="0"/>
        <v>10</v>
      </c>
      <c r="H23" s="914">
        <f t="shared" si="0"/>
        <v>10</v>
      </c>
      <c r="I23" s="914">
        <f t="shared" si="0"/>
        <v>10</v>
      </c>
      <c r="J23" s="914">
        <f t="shared" si="0"/>
        <v>10</v>
      </c>
      <c r="K23" s="914">
        <f t="shared" si="0"/>
        <v>10</v>
      </c>
      <c r="L23" s="914">
        <f t="shared" si="0"/>
        <v>10</v>
      </c>
      <c r="M23" s="914">
        <f t="shared" si="0"/>
        <v>10</v>
      </c>
      <c r="N23" s="914">
        <f t="shared" si="0"/>
        <v>10</v>
      </c>
      <c r="O23" s="914">
        <f t="shared" si="0"/>
        <v>0</v>
      </c>
      <c r="P23" s="914">
        <f t="shared" si="0"/>
        <v>0</v>
      </c>
      <c r="Q23" s="914">
        <f t="shared" si="0"/>
        <v>0</v>
      </c>
      <c r="R23" s="914">
        <f t="shared" si="0"/>
        <v>0</v>
      </c>
      <c r="S23" s="914">
        <f t="shared" si="0"/>
        <v>0</v>
      </c>
      <c r="T23" s="914">
        <f t="shared" ref="T23:T44" si="4">AK23+BB23</f>
        <v>0</v>
      </c>
      <c r="U23" s="913">
        <f t="shared" si="2"/>
        <v>100</v>
      </c>
      <c r="V23" s="915">
        <v>10</v>
      </c>
      <c r="W23" s="915">
        <v>10</v>
      </c>
      <c r="X23" s="915">
        <v>10</v>
      </c>
      <c r="Y23" s="915">
        <v>10</v>
      </c>
      <c r="Z23" s="915">
        <v>10</v>
      </c>
      <c r="AA23" s="915">
        <v>10</v>
      </c>
      <c r="AB23" s="915">
        <v>10</v>
      </c>
      <c r="AC23" s="915">
        <v>10</v>
      </c>
      <c r="AD23" s="915">
        <v>10</v>
      </c>
      <c r="AE23" s="915">
        <v>10</v>
      </c>
      <c r="AF23" s="915">
        <v>0</v>
      </c>
      <c r="AG23" s="915">
        <v>0</v>
      </c>
      <c r="AH23" s="915">
        <v>0</v>
      </c>
      <c r="AI23" s="915">
        <v>0</v>
      </c>
      <c r="AJ23" s="915">
        <v>0</v>
      </c>
      <c r="AK23" s="915">
        <v>0</v>
      </c>
      <c r="AL23" s="915">
        <f t="shared" si="3"/>
        <v>0</v>
      </c>
      <c r="AM23" s="915">
        <v>0</v>
      </c>
      <c r="AN23" s="915">
        <v>0</v>
      </c>
      <c r="AO23" s="915">
        <v>0</v>
      </c>
      <c r="AP23" s="915">
        <v>0</v>
      </c>
      <c r="AQ23" s="915">
        <v>0</v>
      </c>
      <c r="AR23" s="915">
        <v>0</v>
      </c>
      <c r="AS23" s="915">
        <v>0</v>
      </c>
      <c r="AT23" s="915">
        <v>0</v>
      </c>
      <c r="AU23" s="915">
        <v>0</v>
      </c>
      <c r="AV23" s="915">
        <v>0</v>
      </c>
      <c r="AW23" s="915">
        <v>0</v>
      </c>
      <c r="AX23" s="915">
        <v>0</v>
      </c>
      <c r="AY23" s="915">
        <v>0</v>
      </c>
      <c r="AZ23" s="915">
        <v>0</v>
      </c>
      <c r="BA23" s="916"/>
    </row>
    <row r="24" spans="1:53" x14ac:dyDescent="0.25">
      <c r="A24" s="909">
        <v>17</v>
      </c>
      <c r="B24" s="911" t="s">
        <v>163</v>
      </c>
      <c r="C24" s="912" t="s">
        <v>540</v>
      </c>
      <c r="D24" s="913">
        <f t="shared" si="1"/>
        <v>150</v>
      </c>
      <c r="E24" s="914">
        <f t="shared" ref="E24:S40" si="5">V24+AM24</f>
        <v>30</v>
      </c>
      <c r="F24" s="914">
        <f t="shared" si="5"/>
        <v>10</v>
      </c>
      <c r="G24" s="914">
        <f t="shared" si="5"/>
        <v>0</v>
      </c>
      <c r="H24" s="914">
        <f t="shared" si="5"/>
        <v>0</v>
      </c>
      <c r="I24" s="914">
        <f t="shared" si="5"/>
        <v>30</v>
      </c>
      <c r="J24" s="914">
        <f t="shared" si="5"/>
        <v>10</v>
      </c>
      <c r="K24" s="914">
        <f t="shared" si="5"/>
        <v>45</v>
      </c>
      <c r="L24" s="914">
        <f t="shared" si="5"/>
        <v>25</v>
      </c>
      <c r="M24" s="914">
        <f t="shared" si="5"/>
        <v>0</v>
      </c>
      <c r="N24" s="914">
        <f t="shared" si="5"/>
        <v>0</v>
      </c>
      <c r="O24" s="914">
        <f t="shared" si="5"/>
        <v>0</v>
      </c>
      <c r="P24" s="914">
        <f t="shared" si="5"/>
        <v>0</v>
      </c>
      <c r="Q24" s="914">
        <f t="shared" si="5"/>
        <v>0</v>
      </c>
      <c r="R24" s="914">
        <f t="shared" si="5"/>
        <v>0</v>
      </c>
      <c r="S24" s="914">
        <f t="shared" si="5"/>
        <v>0</v>
      </c>
      <c r="T24" s="914">
        <f t="shared" si="4"/>
        <v>0</v>
      </c>
      <c r="U24" s="913">
        <f t="shared" si="2"/>
        <v>150</v>
      </c>
      <c r="V24" s="915">
        <v>30</v>
      </c>
      <c r="W24" s="915">
        <v>10</v>
      </c>
      <c r="X24" s="915">
        <v>0</v>
      </c>
      <c r="Y24" s="915">
        <v>0</v>
      </c>
      <c r="Z24" s="915">
        <v>30</v>
      </c>
      <c r="AA24" s="915">
        <v>10</v>
      </c>
      <c r="AB24" s="915">
        <v>45</v>
      </c>
      <c r="AC24" s="915">
        <v>25</v>
      </c>
      <c r="AD24" s="915">
        <v>0</v>
      </c>
      <c r="AE24" s="915">
        <v>0</v>
      </c>
      <c r="AF24" s="915">
        <v>0</v>
      </c>
      <c r="AG24" s="915">
        <v>0</v>
      </c>
      <c r="AH24" s="915">
        <v>0</v>
      </c>
      <c r="AI24" s="915">
        <v>0</v>
      </c>
      <c r="AJ24" s="915">
        <v>0</v>
      </c>
      <c r="AK24" s="915">
        <v>0</v>
      </c>
      <c r="AL24" s="915">
        <f t="shared" si="3"/>
        <v>0</v>
      </c>
      <c r="AM24" s="915">
        <v>0</v>
      </c>
      <c r="AN24" s="915">
        <v>0</v>
      </c>
      <c r="AO24" s="915">
        <v>0</v>
      </c>
      <c r="AP24" s="915">
        <v>0</v>
      </c>
      <c r="AQ24" s="915">
        <v>0</v>
      </c>
      <c r="AR24" s="915">
        <v>0</v>
      </c>
      <c r="AS24" s="915">
        <v>0</v>
      </c>
      <c r="AT24" s="915">
        <v>0</v>
      </c>
      <c r="AU24" s="915">
        <v>0</v>
      </c>
      <c r="AV24" s="915">
        <v>0</v>
      </c>
      <c r="AW24" s="915">
        <v>0</v>
      </c>
      <c r="AX24" s="915">
        <v>0</v>
      </c>
      <c r="AY24" s="915">
        <v>0</v>
      </c>
      <c r="AZ24" s="915">
        <v>0</v>
      </c>
      <c r="BA24" s="916"/>
    </row>
    <row r="25" spans="1:53" x14ac:dyDescent="0.25">
      <c r="A25" s="909">
        <v>18</v>
      </c>
      <c r="B25" s="911" t="s">
        <v>165</v>
      </c>
      <c r="C25" s="912" t="s">
        <v>541</v>
      </c>
      <c r="D25" s="913">
        <f t="shared" si="1"/>
        <v>850</v>
      </c>
      <c r="E25" s="914">
        <f t="shared" si="5"/>
        <v>0</v>
      </c>
      <c r="F25" s="914">
        <f t="shared" si="5"/>
        <v>0</v>
      </c>
      <c r="G25" s="914">
        <f t="shared" si="5"/>
        <v>0</v>
      </c>
      <c r="H25" s="914">
        <f t="shared" si="5"/>
        <v>0</v>
      </c>
      <c r="I25" s="914">
        <f t="shared" si="5"/>
        <v>430</v>
      </c>
      <c r="J25" s="914">
        <f t="shared" si="5"/>
        <v>420</v>
      </c>
      <c r="K25" s="914">
        <f t="shared" si="5"/>
        <v>0</v>
      </c>
      <c r="L25" s="914">
        <f t="shared" si="5"/>
        <v>0</v>
      </c>
      <c r="M25" s="914">
        <f t="shared" si="5"/>
        <v>0</v>
      </c>
      <c r="N25" s="914">
        <f t="shared" si="5"/>
        <v>0</v>
      </c>
      <c r="O25" s="914">
        <f t="shared" si="5"/>
        <v>0</v>
      </c>
      <c r="P25" s="914">
        <f t="shared" si="5"/>
        <v>0</v>
      </c>
      <c r="Q25" s="914">
        <f t="shared" si="5"/>
        <v>0</v>
      </c>
      <c r="R25" s="914">
        <f t="shared" si="5"/>
        <v>0</v>
      </c>
      <c r="S25" s="914">
        <f t="shared" si="5"/>
        <v>0</v>
      </c>
      <c r="T25" s="914">
        <f t="shared" si="4"/>
        <v>0</v>
      </c>
      <c r="U25" s="913">
        <f t="shared" si="2"/>
        <v>850</v>
      </c>
      <c r="V25" s="915">
        <v>0</v>
      </c>
      <c r="W25" s="915">
        <v>0</v>
      </c>
      <c r="X25" s="915">
        <v>0</v>
      </c>
      <c r="Y25" s="915">
        <v>0</v>
      </c>
      <c r="Z25" s="915">
        <v>430</v>
      </c>
      <c r="AA25" s="915">
        <v>420</v>
      </c>
      <c r="AB25" s="915">
        <v>0</v>
      </c>
      <c r="AC25" s="915">
        <v>0</v>
      </c>
      <c r="AD25" s="915">
        <v>0</v>
      </c>
      <c r="AE25" s="915">
        <v>0</v>
      </c>
      <c r="AF25" s="915">
        <v>0</v>
      </c>
      <c r="AG25" s="915">
        <v>0</v>
      </c>
      <c r="AH25" s="915">
        <v>0</v>
      </c>
      <c r="AI25" s="915">
        <v>0</v>
      </c>
      <c r="AJ25" s="915">
        <v>0</v>
      </c>
      <c r="AK25" s="915">
        <v>0</v>
      </c>
      <c r="AL25" s="915">
        <f t="shared" si="3"/>
        <v>0</v>
      </c>
      <c r="AM25" s="915">
        <v>0</v>
      </c>
      <c r="AN25" s="915">
        <v>0</v>
      </c>
      <c r="AO25" s="915">
        <v>0</v>
      </c>
      <c r="AP25" s="915">
        <v>0</v>
      </c>
      <c r="AQ25" s="915">
        <v>0</v>
      </c>
      <c r="AR25" s="915">
        <v>0</v>
      </c>
      <c r="AS25" s="915">
        <v>0</v>
      </c>
      <c r="AT25" s="915">
        <v>0</v>
      </c>
      <c r="AU25" s="915">
        <v>0</v>
      </c>
      <c r="AV25" s="915">
        <v>0</v>
      </c>
      <c r="AW25" s="915">
        <v>0</v>
      </c>
      <c r="AX25" s="915">
        <v>0</v>
      </c>
      <c r="AY25" s="915">
        <v>0</v>
      </c>
      <c r="AZ25" s="915">
        <v>0</v>
      </c>
      <c r="BA25" s="916"/>
    </row>
    <row r="26" spans="1:53" x14ac:dyDescent="0.25">
      <c r="A26" s="909">
        <v>19</v>
      </c>
      <c r="B26" s="911" t="s">
        <v>169</v>
      </c>
      <c r="C26" s="912" t="s">
        <v>402</v>
      </c>
      <c r="D26" s="913">
        <f t="shared" si="1"/>
        <v>207</v>
      </c>
      <c r="E26" s="914">
        <f t="shared" si="5"/>
        <v>107</v>
      </c>
      <c r="F26" s="914">
        <f t="shared" si="5"/>
        <v>0</v>
      </c>
      <c r="G26" s="914">
        <f t="shared" si="5"/>
        <v>0</v>
      </c>
      <c r="H26" s="914">
        <f t="shared" si="5"/>
        <v>0</v>
      </c>
      <c r="I26" s="914">
        <f t="shared" si="5"/>
        <v>50</v>
      </c>
      <c r="J26" s="914">
        <f t="shared" si="5"/>
        <v>0</v>
      </c>
      <c r="K26" s="914">
        <f t="shared" si="5"/>
        <v>50</v>
      </c>
      <c r="L26" s="914">
        <f t="shared" si="5"/>
        <v>0</v>
      </c>
      <c r="M26" s="914">
        <f t="shared" si="5"/>
        <v>0</v>
      </c>
      <c r="N26" s="914">
        <f t="shared" si="5"/>
        <v>0</v>
      </c>
      <c r="O26" s="914">
        <f t="shared" si="5"/>
        <v>0</v>
      </c>
      <c r="P26" s="914">
        <f t="shared" si="5"/>
        <v>0</v>
      </c>
      <c r="Q26" s="914">
        <f t="shared" si="5"/>
        <v>0</v>
      </c>
      <c r="R26" s="914">
        <f t="shared" si="5"/>
        <v>0</v>
      </c>
      <c r="S26" s="914">
        <f t="shared" si="5"/>
        <v>0</v>
      </c>
      <c r="T26" s="914">
        <f t="shared" si="4"/>
        <v>0</v>
      </c>
      <c r="U26" s="913">
        <f t="shared" si="2"/>
        <v>207</v>
      </c>
      <c r="V26" s="915">
        <v>107</v>
      </c>
      <c r="W26" s="915">
        <v>0</v>
      </c>
      <c r="X26" s="915">
        <v>0</v>
      </c>
      <c r="Y26" s="915">
        <v>0</v>
      </c>
      <c r="Z26" s="915">
        <v>50</v>
      </c>
      <c r="AA26" s="915">
        <v>0</v>
      </c>
      <c r="AB26" s="915">
        <v>50</v>
      </c>
      <c r="AC26" s="915">
        <v>0</v>
      </c>
      <c r="AD26" s="915">
        <v>0</v>
      </c>
      <c r="AE26" s="915">
        <v>0</v>
      </c>
      <c r="AF26" s="915">
        <v>0</v>
      </c>
      <c r="AG26" s="915">
        <v>0</v>
      </c>
      <c r="AH26" s="915">
        <v>0</v>
      </c>
      <c r="AI26" s="915">
        <v>0</v>
      </c>
      <c r="AJ26" s="915">
        <v>0</v>
      </c>
      <c r="AK26" s="915">
        <v>0</v>
      </c>
      <c r="AL26" s="915">
        <f t="shared" si="3"/>
        <v>0</v>
      </c>
      <c r="AM26" s="915">
        <v>0</v>
      </c>
      <c r="AN26" s="915">
        <v>0</v>
      </c>
      <c r="AO26" s="915">
        <v>0</v>
      </c>
      <c r="AP26" s="915">
        <v>0</v>
      </c>
      <c r="AQ26" s="915">
        <v>0</v>
      </c>
      <c r="AR26" s="915">
        <v>0</v>
      </c>
      <c r="AS26" s="915">
        <v>0</v>
      </c>
      <c r="AT26" s="915">
        <v>0</v>
      </c>
      <c r="AU26" s="915">
        <v>0</v>
      </c>
      <c r="AV26" s="915">
        <v>0</v>
      </c>
      <c r="AW26" s="915">
        <v>0</v>
      </c>
      <c r="AX26" s="915">
        <v>0</v>
      </c>
      <c r="AY26" s="915">
        <v>0</v>
      </c>
      <c r="AZ26" s="915">
        <v>0</v>
      </c>
      <c r="BA26" s="916"/>
    </row>
    <row r="27" spans="1:53" x14ac:dyDescent="0.25">
      <c r="A27" s="909">
        <v>20</v>
      </c>
      <c r="B27" s="911" t="s">
        <v>278</v>
      </c>
      <c r="C27" s="912" t="s">
        <v>522</v>
      </c>
      <c r="D27" s="913">
        <f t="shared" si="1"/>
        <v>99</v>
      </c>
      <c r="E27" s="914">
        <f t="shared" si="5"/>
        <v>27</v>
      </c>
      <c r="F27" s="914">
        <f t="shared" si="5"/>
        <v>13</v>
      </c>
      <c r="G27" s="914">
        <f t="shared" si="5"/>
        <v>8</v>
      </c>
      <c r="H27" s="914">
        <f t="shared" si="5"/>
        <v>3</v>
      </c>
      <c r="I27" s="914">
        <f t="shared" si="5"/>
        <v>0</v>
      </c>
      <c r="J27" s="914">
        <f t="shared" si="5"/>
        <v>37</v>
      </c>
      <c r="K27" s="914">
        <f t="shared" si="5"/>
        <v>0</v>
      </c>
      <c r="L27" s="914">
        <f t="shared" si="5"/>
        <v>0</v>
      </c>
      <c r="M27" s="914">
        <f t="shared" si="5"/>
        <v>0</v>
      </c>
      <c r="N27" s="914">
        <f t="shared" si="5"/>
        <v>0</v>
      </c>
      <c r="O27" s="914">
        <f t="shared" si="5"/>
        <v>5</v>
      </c>
      <c r="P27" s="914">
        <f t="shared" si="5"/>
        <v>6</v>
      </c>
      <c r="Q27" s="914">
        <f t="shared" si="5"/>
        <v>0</v>
      </c>
      <c r="R27" s="914">
        <f t="shared" si="5"/>
        <v>0</v>
      </c>
      <c r="S27" s="914">
        <f t="shared" si="5"/>
        <v>0</v>
      </c>
      <c r="T27" s="914">
        <f t="shared" si="4"/>
        <v>0</v>
      </c>
      <c r="U27" s="913">
        <f t="shared" si="2"/>
        <v>99</v>
      </c>
      <c r="V27" s="915">
        <v>27</v>
      </c>
      <c r="W27" s="915">
        <v>13</v>
      </c>
      <c r="X27" s="915">
        <v>8</v>
      </c>
      <c r="Y27" s="915">
        <v>3</v>
      </c>
      <c r="Z27" s="915">
        <v>0</v>
      </c>
      <c r="AA27" s="915">
        <v>37</v>
      </c>
      <c r="AB27" s="915">
        <v>0</v>
      </c>
      <c r="AC27" s="915">
        <v>0</v>
      </c>
      <c r="AD27" s="915">
        <v>0</v>
      </c>
      <c r="AE27" s="915">
        <v>0</v>
      </c>
      <c r="AF27" s="915">
        <v>5</v>
      </c>
      <c r="AG27" s="915">
        <v>6</v>
      </c>
      <c r="AH27" s="915">
        <v>0</v>
      </c>
      <c r="AI27" s="915">
        <v>0</v>
      </c>
      <c r="AJ27" s="915">
        <v>0</v>
      </c>
      <c r="AK27" s="915">
        <v>0</v>
      </c>
      <c r="AL27" s="915">
        <f t="shared" si="3"/>
        <v>0</v>
      </c>
      <c r="AM27" s="915">
        <v>0</v>
      </c>
      <c r="AN27" s="915">
        <v>0</v>
      </c>
      <c r="AO27" s="915">
        <v>0</v>
      </c>
      <c r="AP27" s="915">
        <v>0</v>
      </c>
      <c r="AQ27" s="915">
        <v>0</v>
      </c>
      <c r="AR27" s="915">
        <v>0</v>
      </c>
      <c r="AS27" s="915">
        <v>0</v>
      </c>
      <c r="AT27" s="915">
        <v>0</v>
      </c>
      <c r="AU27" s="915">
        <v>0</v>
      </c>
      <c r="AV27" s="915">
        <v>0</v>
      </c>
      <c r="AW27" s="915">
        <v>0</v>
      </c>
      <c r="AX27" s="915">
        <v>0</v>
      </c>
      <c r="AY27" s="915">
        <v>0</v>
      </c>
      <c r="AZ27" s="915">
        <v>0</v>
      </c>
      <c r="BA27" s="916"/>
    </row>
    <row r="28" spans="1:53" x14ac:dyDescent="0.25">
      <c r="A28" s="909">
        <v>21</v>
      </c>
      <c r="B28" s="911" t="s">
        <v>83</v>
      </c>
      <c r="C28" s="912" t="s">
        <v>84</v>
      </c>
      <c r="D28" s="913">
        <f t="shared" si="1"/>
        <v>250</v>
      </c>
      <c r="E28" s="914">
        <f t="shared" si="5"/>
        <v>0</v>
      </c>
      <c r="F28" s="914">
        <f t="shared" si="5"/>
        <v>0</v>
      </c>
      <c r="G28" s="914">
        <f t="shared" si="5"/>
        <v>0</v>
      </c>
      <c r="H28" s="914">
        <f t="shared" si="5"/>
        <v>0</v>
      </c>
      <c r="I28" s="914">
        <f t="shared" si="5"/>
        <v>45</v>
      </c>
      <c r="J28" s="914">
        <f t="shared" si="5"/>
        <v>45</v>
      </c>
      <c r="K28" s="914">
        <f t="shared" si="5"/>
        <v>45</v>
      </c>
      <c r="L28" s="914">
        <f t="shared" si="5"/>
        <v>45</v>
      </c>
      <c r="M28" s="914">
        <f t="shared" si="5"/>
        <v>35</v>
      </c>
      <c r="N28" s="914">
        <f t="shared" si="5"/>
        <v>35</v>
      </c>
      <c r="O28" s="914">
        <f t="shared" si="5"/>
        <v>0</v>
      </c>
      <c r="P28" s="914">
        <f t="shared" si="5"/>
        <v>0</v>
      </c>
      <c r="Q28" s="914">
        <f t="shared" si="5"/>
        <v>0</v>
      </c>
      <c r="R28" s="914">
        <f t="shared" si="5"/>
        <v>0</v>
      </c>
      <c r="S28" s="914">
        <f t="shared" si="5"/>
        <v>0</v>
      </c>
      <c r="T28" s="914">
        <f t="shared" si="4"/>
        <v>0</v>
      </c>
      <c r="U28" s="913">
        <f t="shared" si="2"/>
        <v>250</v>
      </c>
      <c r="V28" s="915">
        <v>0</v>
      </c>
      <c r="W28" s="915">
        <v>0</v>
      </c>
      <c r="X28" s="915">
        <v>0</v>
      </c>
      <c r="Y28" s="915">
        <v>0</v>
      </c>
      <c r="Z28" s="915">
        <v>45</v>
      </c>
      <c r="AA28" s="915">
        <v>45</v>
      </c>
      <c r="AB28" s="915">
        <v>45</v>
      </c>
      <c r="AC28" s="915">
        <v>45</v>
      </c>
      <c r="AD28" s="915">
        <v>35</v>
      </c>
      <c r="AE28" s="915">
        <v>35</v>
      </c>
      <c r="AF28" s="915">
        <v>0</v>
      </c>
      <c r="AG28" s="915">
        <v>0</v>
      </c>
      <c r="AH28" s="915">
        <v>0</v>
      </c>
      <c r="AI28" s="915">
        <v>0</v>
      </c>
      <c r="AJ28" s="915">
        <v>0</v>
      </c>
      <c r="AK28" s="915">
        <v>0</v>
      </c>
      <c r="AL28" s="915">
        <f t="shared" si="3"/>
        <v>0</v>
      </c>
      <c r="AM28" s="915">
        <v>0</v>
      </c>
      <c r="AN28" s="915">
        <v>0</v>
      </c>
      <c r="AO28" s="915">
        <v>0</v>
      </c>
      <c r="AP28" s="915">
        <v>0</v>
      </c>
      <c r="AQ28" s="915">
        <v>0</v>
      </c>
      <c r="AR28" s="915">
        <v>0</v>
      </c>
      <c r="AS28" s="915">
        <v>0</v>
      </c>
      <c r="AT28" s="915">
        <v>0</v>
      </c>
      <c r="AU28" s="915">
        <v>0</v>
      </c>
      <c r="AV28" s="915">
        <v>0</v>
      </c>
      <c r="AW28" s="915">
        <v>0</v>
      </c>
      <c r="AX28" s="915">
        <v>0</v>
      </c>
      <c r="AY28" s="915">
        <v>0</v>
      </c>
      <c r="AZ28" s="915">
        <v>0</v>
      </c>
      <c r="BA28" s="916"/>
    </row>
    <row r="29" spans="1:53" x14ac:dyDescent="0.25">
      <c r="A29" s="909">
        <v>22</v>
      </c>
      <c r="B29" s="911" t="s">
        <v>276</v>
      </c>
      <c r="C29" s="912" t="s">
        <v>542</v>
      </c>
      <c r="D29" s="913">
        <f t="shared" si="1"/>
        <v>590</v>
      </c>
      <c r="E29" s="914">
        <f t="shared" si="5"/>
        <v>21</v>
      </c>
      <c r="F29" s="914">
        <f t="shared" si="5"/>
        <v>140</v>
      </c>
      <c r="G29" s="914">
        <f t="shared" si="5"/>
        <v>49</v>
      </c>
      <c r="H29" s="914">
        <f t="shared" si="5"/>
        <v>0</v>
      </c>
      <c r="I29" s="914">
        <f t="shared" si="5"/>
        <v>0</v>
      </c>
      <c r="J29" s="914">
        <f t="shared" si="5"/>
        <v>0</v>
      </c>
      <c r="K29" s="914">
        <f t="shared" si="5"/>
        <v>0</v>
      </c>
      <c r="L29" s="914">
        <f t="shared" si="5"/>
        <v>0</v>
      </c>
      <c r="M29" s="914">
        <f t="shared" si="5"/>
        <v>70</v>
      </c>
      <c r="N29" s="914">
        <f t="shared" si="5"/>
        <v>140</v>
      </c>
      <c r="O29" s="914">
        <f t="shared" si="5"/>
        <v>70</v>
      </c>
      <c r="P29" s="914">
        <f t="shared" si="5"/>
        <v>100</v>
      </c>
      <c r="Q29" s="914">
        <f t="shared" si="5"/>
        <v>0</v>
      </c>
      <c r="R29" s="914">
        <f t="shared" si="5"/>
        <v>0</v>
      </c>
      <c r="S29" s="914">
        <f t="shared" si="5"/>
        <v>0</v>
      </c>
      <c r="T29" s="914">
        <f t="shared" si="4"/>
        <v>0</v>
      </c>
      <c r="U29" s="913">
        <f t="shared" si="2"/>
        <v>590</v>
      </c>
      <c r="V29" s="915">
        <v>21</v>
      </c>
      <c r="W29" s="915">
        <v>140</v>
      </c>
      <c r="X29" s="915">
        <v>49</v>
      </c>
      <c r="Y29" s="915">
        <v>0</v>
      </c>
      <c r="Z29" s="915">
        <v>0</v>
      </c>
      <c r="AA29" s="915">
        <v>0</v>
      </c>
      <c r="AB29" s="915">
        <v>0</v>
      </c>
      <c r="AC29" s="915">
        <v>0</v>
      </c>
      <c r="AD29" s="915">
        <v>70</v>
      </c>
      <c r="AE29" s="915">
        <v>140</v>
      </c>
      <c r="AF29" s="915">
        <v>70</v>
      </c>
      <c r="AG29" s="915">
        <v>100</v>
      </c>
      <c r="AH29" s="915">
        <v>0</v>
      </c>
      <c r="AI29" s="915">
        <v>0</v>
      </c>
      <c r="AJ29" s="915">
        <v>0</v>
      </c>
      <c r="AK29" s="915">
        <v>0</v>
      </c>
      <c r="AL29" s="915">
        <f t="shared" si="3"/>
        <v>0</v>
      </c>
      <c r="AM29" s="915">
        <v>0</v>
      </c>
      <c r="AN29" s="915">
        <v>0</v>
      </c>
      <c r="AO29" s="915">
        <v>0</v>
      </c>
      <c r="AP29" s="915">
        <v>0</v>
      </c>
      <c r="AQ29" s="915">
        <v>0</v>
      </c>
      <c r="AR29" s="915">
        <v>0</v>
      </c>
      <c r="AS29" s="915">
        <v>0</v>
      </c>
      <c r="AT29" s="915">
        <v>0</v>
      </c>
      <c r="AU29" s="915">
        <v>0</v>
      </c>
      <c r="AV29" s="915">
        <v>0</v>
      </c>
      <c r="AW29" s="915">
        <v>0</v>
      </c>
      <c r="AX29" s="915">
        <v>0</v>
      </c>
      <c r="AY29" s="915">
        <v>0</v>
      </c>
      <c r="AZ29" s="915">
        <v>0</v>
      </c>
      <c r="BA29" s="916"/>
    </row>
    <row r="30" spans="1:53" ht="22.5" x14ac:dyDescent="0.25">
      <c r="A30" s="909">
        <v>23</v>
      </c>
      <c r="B30" s="911" t="s">
        <v>141</v>
      </c>
      <c r="C30" s="912" t="s">
        <v>543</v>
      </c>
      <c r="D30" s="913">
        <f t="shared" si="1"/>
        <v>150</v>
      </c>
      <c r="E30" s="914">
        <f t="shared" si="5"/>
        <v>35</v>
      </c>
      <c r="F30" s="914">
        <f t="shared" si="5"/>
        <v>0</v>
      </c>
      <c r="G30" s="914">
        <f t="shared" si="5"/>
        <v>104</v>
      </c>
      <c r="H30" s="914">
        <f t="shared" si="5"/>
        <v>0</v>
      </c>
      <c r="I30" s="914">
        <f t="shared" si="5"/>
        <v>7</v>
      </c>
      <c r="J30" s="914">
        <f t="shared" si="5"/>
        <v>4</v>
      </c>
      <c r="K30" s="914">
        <f t="shared" si="5"/>
        <v>0</v>
      </c>
      <c r="L30" s="914">
        <f t="shared" si="5"/>
        <v>0</v>
      </c>
      <c r="M30" s="914">
        <f t="shared" si="5"/>
        <v>0</v>
      </c>
      <c r="N30" s="914">
        <f t="shared" si="5"/>
        <v>0</v>
      </c>
      <c r="O30" s="914">
        <f t="shared" si="5"/>
        <v>0</v>
      </c>
      <c r="P30" s="914">
        <f t="shared" si="5"/>
        <v>0</v>
      </c>
      <c r="Q30" s="914">
        <f t="shared" si="5"/>
        <v>0</v>
      </c>
      <c r="R30" s="914">
        <f t="shared" si="5"/>
        <v>0</v>
      </c>
      <c r="S30" s="914">
        <f t="shared" si="5"/>
        <v>0</v>
      </c>
      <c r="T30" s="914">
        <f t="shared" si="4"/>
        <v>0</v>
      </c>
      <c r="U30" s="913">
        <f t="shared" si="2"/>
        <v>150</v>
      </c>
      <c r="V30" s="915">
        <v>35</v>
      </c>
      <c r="W30" s="915">
        <v>0</v>
      </c>
      <c r="X30" s="915">
        <v>104</v>
      </c>
      <c r="Y30" s="915">
        <v>0</v>
      </c>
      <c r="Z30" s="915">
        <v>7</v>
      </c>
      <c r="AA30" s="915">
        <v>4</v>
      </c>
      <c r="AB30" s="915">
        <v>0</v>
      </c>
      <c r="AC30" s="915">
        <v>0</v>
      </c>
      <c r="AD30" s="915">
        <v>0</v>
      </c>
      <c r="AE30" s="915">
        <v>0</v>
      </c>
      <c r="AF30" s="915">
        <v>0</v>
      </c>
      <c r="AG30" s="915">
        <v>0</v>
      </c>
      <c r="AH30" s="915">
        <v>0</v>
      </c>
      <c r="AI30" s="915">
        <v>0</v>
      </c>
      <c r="AJ30" s="915">
        <v>0</v>
      </c>
      <c r="AK30" s="915">
        <v>0</v>
      </c>
      <c r="AL30" s="915">
        <f t="shared" si="3"/>
        <v>0</v>
      </c>
      <c r="AM30" s="915">
        <v>0</v>
      </c>
      <c r="AN30" s="915">
        <v>0</v>
      </c>
      <c r="AO30" s="915">
        <v>0</v>
      </c>
      <c r="AP30" s="915">
        <v>0</v>
      </c>
      <c r="AQ30" s="915">
        <v>0</v>
      </c>
      <c r="AR30" s="915">
        <v>0</v>
      </c>
      <c r="AS30" s="915">
        <v>0</v>
      </c>
      <c r="AT30" s="915">
        <v>0</v>
      </c>
      <c r="AU30" s="915">
        <v>0</v>
      </c>
      <c r="AV30" s="915">
        <v>0</v>
      </c>
      <c r="AW30" s="915">
        <v>0</v>
      </c>
      <c r="AX30" s="915">
        <v>0</v>
      </c>
      <c r="AY30" s="915">
        <v>0</v>
      </c>
      <c r="AZ30" s="915">
        <v>0</v>
      </c>
      <c r="BA30" s="916"/>
    </row>
    <row r="31" spans="1:53" ht="22.5" x14ac:dyDescent="0.25">
      <c r="A31" s="909">
        <v>24</v>
      </c>
      <c r="B31" s="911" t="s">
        <v>143</v>
      </c>
      <c r="C31" s="912" t="s">
        <v>544</v>
      </c>
      <c r="D31" s="913">
        <f t="shared" si="1"/>
        <v>210</v>
      </c>
      <c r="E31" s="914">
        <f t="shared" si="5"/>
        <v>0</v>
      </c>
      <c r="F31" s="914">
        <f t="shared" si="5"/>
        <v>0</v>
      </c>
      <c r="G31" s="914">
        <f t="shared" si="5"/>
        <v>35</v>
      </c>
      <c r="H31" s="914">
        <f t="shared" si="5"/>
        <v>35</v>
      </c>
      <c r="I31" s="914">
        <f t="shared" si="5"/>
        <v>35</v>
      </c>
      <c r="J31" s="914">
        <f t="shared" si="5"/>
        <v>35</v>
      </c>
      <c r="K31" s="914">
        <f t="shared" si="5"/>
        <v>35</v>
      </c>
      <c r="L31" s="914">
        <f t="shared" si="5"/>
        <v>35</v>
      </c>
      <c r="M31" s="914">
        <f t="shared" si="5"/>
        <v>0</v>
      </c>
      <c r="N31" s="914">
        <f t="shared" si="5"/>
        <v>0</v>
      </c>
      <c r="O31" s="914">
        <f t="shared" si="5"/>
        <v>0</v>
      </c>
      <c r="P31" s="914">
        <f t="shared" si="5"/>
        <v>0</v>
      </c>
      <c r="Q31" s="914">
        <f t="shared" si="5"/>
        <v>0</v>
      </c>
      <c r="R31" s="914">
        <f t="shared" si="5"/>
        <v>0</v>
      </c>
      <c r="S31" s="914">
        <f t="shared" si="5"/>
        <v>0</v>
      </c>
      <c r="T31" s="914">
        <f t="shared" si="4"/>
        <v>0</v>
      </c>
      <c r="U31" s="913">
        <f t="shared" si="2"/>
        <v>210</v>
      </c>
      <c r="V31" s="915">
        <v>0</v>
      </c>
      <c r="W31" s="915">
        <v>0</v>
      </c>
      <c r="X31" s="915">
        <v>35</v>
      </c>
      <c r="Y31" s="915">
        <v>35</v>
      </c>
      <c r="Z31" s="915">
        <v>35</v>
      </c>
      <c r="AA31" s="915">
        <v>35</v>
      </c>
      <c r="AB31" s="915">
        <v>35</v>
      </c>
      <c r="AC31" s="915">
        <v>35</v>
      </c>
      <c r="AD31" s="915">
        <v>0</v>
      </c>
      <c r="AE31" s="915">
        <v>0</v>
      </c>
      <c r="AF31" s="915">
        <v>0</v>
      </c>
      <c r="AG31" s="915">
        <v>0</v>
      </c>
      <c r="AH31" s="915">
        <v>0</v>
      </c>
      <c r="AI31" s="915">
        <v>0</v>
      </c>
      <c r="AJ31" s="915">
        <v>0</v>
      </c>
      <c r="AK31" s="915">
        <v>0</v>
      </c>
      <c r="AL31" s="915">
        <f t="shared" si="3"/>
        <v>0</v>
      </c>
      <c r="AM31" s="915">
        <v>0</v>
      </c>
      <c r="AN31" s="915">
        <v>0</v>
      </c>
      <c r="AO31" s="915">
        <v>0</v>
      </c>
      <c r="AP31" s="915">
        <v>0</v>
      </c>
      <c r="AQ31" s="915">
        <v>0</v>
      </c>
      <c r="AR31" s="915">
        <v>0</v>
      </c>
      <c r="AS31" s="915">
        <v>0</v>
      </c>
      <c r="AT31" s="915">
        <v>0</v>
      </c>
      <c r="AU31" s="915">
        <v>0</v>
      </c>
      <c r="AV31" s="915">
        <v>0</v>
      </c>
      <c r="AW31" s="915">
        <v>0</v>
      </c>
      <c r="AX31" s="915">
        <v>0</v>
      </c>
      <c r="AY31" s="915">
        <v>0</v>
      </c>
      <c r="AZ31" s="915">
        <v>0</v>
      </c>
      <c r="BA31" s="916"/>
    </row>
    <row r="32" spans="1:53" ht="22.5" x14ac:dyDescent="0.25">
      <c r="A32" s="909">
        <v>25</v>
      </c>
      <c r="B32" s="911" t="s">
        <v>145</v>
      </c>
      <c r="C32" s="912" t="s">
        <v>545</v>
      </c>
      <c r="D32" s="913">
        <f t="shared" si="1"/>
        <v>380</v>
      </c>
      <c r="E32" s="914">
        <f t="shared" si="5"/>
        <v>35</v>
      </c>
      <c r="F32" s="914">
        <f t="shared" si="5"/>
        <v>25</v>
      </c>
      <c r="G32" s="914">
        <f t="shared" si="5"/>
        <v>75</v>
      </c>
      <c r="H32" s="914">
        <f t="shared" si="5"/>
        <v>45</v>
      </c>
      <c r="I32" s="914">
        <f t="shared" si="5"/>
        <v>25</v>
      </c>
      <c r="J32" s="914">
        <f t="shared" si="5"/>
        <v>25</v>
      </c>
      <c r="K32" s="914">
        <f t="shared" si="5"/>
        <v>75</v>
      </c>
      <c r="L32" s="914">
        <f t="shared" si="5"/>
        <v>25</v>
      </c>
      <c r="M32" s="914">
        <f t="shared" si="5"/>
        <v>25</v>
      </c>
      <c r="N32" s="914">
        <f t="shared" si="5"/>
        <v>25</v>
      </c>
      <c r="O32" s="914">
        <f t="shared" si="5"/>
        <v>0</v>
      </c>
      <c r="P32" s="914">
        <f t="shared" si="5"/>
        <v>0</v>
      </c>
      <c r="Q32" s="914">
        <f t="shared" si="5"/>
        <v>0</v>
      </c>
      <c r="R32" s="914">
        <f t="shared" si="5"/>
        <v>0</v>
      </c>
      <c r="S32" s="914">
        <f t="shared" si="5"/>
        <v>0</v>
      </c>
      <c r="T32" s="914">
        <f t="shared" si="4"/>
        <v>0</v>
      </c>
      <c r="U32" s="913">
        <f t="shared" si="2"/>
        <v>380</v>
      </c>
      <c r="V32" s="915">
        <v>35</v>
      </c>
      <c r="W32" s="915">
        <v>25</v>
      </c>
      <c r="X32" s="915">
        <v>75</v>
      </c>
      <c r="Y32" s="915">
        <v>45</v>
      </c>
      <c r="Z32" s="915">
        <v>25</v>
      </c>
      <c r="AA32" s="915">
        <v>25</v>
      </c>
      <c r="AB32" s="915">
        <v>75</v>
      </c>
      <c r="AC32" s="915">
        <v>25</v>
      </c>
      <c r="AD32" s="915">
        <v>25</v>
      </c>
      <c r="AE32" s="915">
        <v>25</v>
      </c>
      <c r="AF32" s="915">
        <v>0</v>
      </c>
      <c r="AG32" s="915">
        <v>0</v>
      </c>
      <c r="AH32" s="915">
        <v>0</v>
      </c>
      <c r="AI32" s="915">
        <v>0</v>
      </c>
      <c r="AJ32" s="915">
        <v>0</v>
      </c>
      <c r="AK32" s="915">
        <v>0</v>
      </c>
      <c r="AL32" s="915">
        <f t="shared" si="3"/>
        <v>0</v>
      </c>
      <c r="AM32" s="915">
        <v>0</v>
      </c>
      <c r="AN32" s="915">
        <v>0</v>
      </c>
      <c r="AO32" s="915">
        <v>0</v>
      </c>
      <c r="AP32" s="915">
        <v>0</v>
      </c>
      <c r="AQ32" s="915">
        <v>0</v>
      </c>
      <c r="AR32" s="915">
        <v>0</v>
      </c>
      <c r="AS32" s="915">
        <v>0</v>
      </c>
      <c r="AT32" s="915">
        <v>0</v>
      </c>
      <c r="AU32" s="915">
        <v>0</v>
      </c>
      <c r="AV32" s="915">
        <v>0</v>
      </c>
      <c r="AW32" s="915">
        <v>0</v>
      </c>
      <c r="AX32" s="915">
        <v>0</v>
      </c>
      <c r="AY32" s="915">
        <v>0</v>
      </c>
      <c r="AZ32" s="915">
        <v>0</v>
      </c>
      <c r="BA32" s="916"/>
    </row>
    <row r="33" spans="1:53" x14ac:dyDescent="0.25">
      <c r="A33" s="909">
        <v>26</v>
      </c>
      <c r="B33" s="911" t="s">
        <v>274</v>
      </c>
      <c r="C33" s="912" t="s">
        <v>275</v>
      </c>
      <c r="D33" s="913">
        <f t="shared" si="1"/>
        <v>960</v>
      </c>
      <c r="E33" s="914">
        <f t="shared" si="5"/>
        <v>60</v>
      </c>
      <c r="F33" s="914">
        <f t="shared" si="5"/>
        <v>60</v>
      </c>
      <c r="G33" s="914">
        <f t="shared" si="5"/>
        <v>60</v>
      </c>
      <c r="H33" s="914">
        <f t="shared" si="5"/>
        <v>60</v>
      </c>
      <c r="I33" s="914">
        <f t="shared" si="5"/>
        <v>360</v>
      </c>
      <c r="J33" s="914">
        <f t="shared" si="5"/>
        <v>360</v>
      </c>
      <c r="K33" s="914">
        <f t="shared" si="5"/>
        <v>0</v>
      </c>
      <c r="L33" s="914">
        <f t="shared" si="5"/>
        <v>0</v>
      </c>
      <c r="M33" s="914">
        <f t="shared" si="5"/>
        <v>0</v>
      </c>
      <c r="N33" s="914">
        <f t="shared" si="5"/>
        <v>0</v>
      </c>
      <c r="O33" s="914">
        <f t="shared" si="5"/>
        <v>0</v>
      </c>
      <c r="P33" s="914">
        <f t="shared" si="5"/>
        <v>0</v>
      </c>
      <c r="Q33" s="914">
        <f t="shared" si="5"/>
        <v>0</v>
      </c>
      <c r="R33" s="914">
        <f t="shared" si="5"/>
        <v>0</v>
      </c>
      <c r="S33" s="914">
        <f t="shared" si="5"/>
        <v>0</v>
      </c>
      <c r="T33" s="914">
        <f t="shared" si="4"/>
        <v>0</v>
      </c>
      <c r="U33" s="913">
        <f t="shared" si="2"/>
        <v>960</v>
      </c>
      <c r="V33" s="915">
        <v>60</v>
      </c>
      <c r="W33" s="915">
        <v>60</v>
      </c>
      <c r="X33" s="915">
        <v>60</v>
      </c>
      <c r="Y33" s="915">
        <v>60</v>
      </c>
      <c r="Z33" s="915">
        <v>360</v>
      </c>
      <c r="AA33" s="915">
        <v>360</v>
      </c>
      <c r="AB33" s="915">
        <v>0</v>
      </c>
      <c r="AC33" s="915">
        <v>0</v>
      </c>
      <c r="AD33" s="915">
        <v>0</v>
      </c>
      <c r="AE33" s="915">
        <v>0</v>
      </c>
      <c r="AF33" s="915">
        <v>0</v>
      </c>
      <c r="AG33" s="915">
        <v>0</v>
      </c>
      <c r="AH33" s="915">
        <v>0</v>
      </c>
      <c r="AI33" s="915">
        <v>0</v>
      </c>
      <c r="AJ33" s="915">
        <v>0</v>
      </c>
      <c r="AK33" s="915">
        <v>0</v>
      </c>
      <c r="AL33" s="915">
        <f t="shared" si="3"/>
        <v>0</v>
      </c>
      <c r="AM33" s="915">
        <v>0</v>
      </c>
      <c r="AN33" s="915">
        <v>0</v>
      </c>
      <c r="AO33" s="915">
        <v>0</v>
      </c>
      <c r="AP33" s="915">
        <v>0</v>
      </c>
      <c r="AQ33" s="915">
        <v>0</v>
      </c>
      <c r="AR33" s="915">
        <v>0</v>
      </c>
      <c r="AS33" s="915">
        <v>0</v>
      </c>
      <c r="AT33" s="915">
        <v>0</v>
      </c>
      <c r="AU33" s="915">
        <v>0</v>
      </c>
      <c r="AV33" s="915">
        <v>0</v>
      </c>
      <c r="AW33" s="915">
        <v>0</v>
      </c>
      <c r="AX33" s="915">
        <v>0</v>
      </c>
      <c r="AY33" s="915">
        <v>0</v>
      </c>
      <c r="AZ33" s="915">
        <v>0</v>
      </c>
      <c r="BA33" s="916"/>
    </row>
    <row r="34" spans="1:53" x14ac:dyDescent="0.25">
      <c r="A34" s="909">
        <v>27</v>
      </c>
      <c r="B34" s="911" t="s">
        <v>260</v>
      </c>
      <c r="C34" s="912" t="s">
        <v>546</v>
      </c>
      <c r="D34" s="913">
        <f t="shared" si="1"/>
        <v>600</v>
      </c>
      <c r="E34" s="914">
        <f t="shared" si="5"/>
        <v>0</v>
      </c>
      <c r="F34" s="914">
        <f t="shared" si="5"/>
        <v>0</v>
      </c>
      <c r="G34" s="914">
        <f t="shared" si="5"/>
        <v>0</v>
      </c>
      <c r="H34" s="914">
        <f t="shared" si="5"/>
        <v>0</v>
      </c>
      <c r="I34" s="914">
        <f t="shared" si="5"/>
        <v>0</v>
      </c>
      <c r="J34" s="914">
        <f t="shared" si="5"/>
        <v>0</v>
      </c>
      <c r="K34" s="914">
        <f t="shared" si="5"/>
        <v>0</v>
      </c>
      <c r="L34" s="914">
        <f t="shared" si="5"/>
        <v>0</v>
      </c>
      <c r="M34" s="914">
        <f t="shared" si="5"/>
        <v>0</v>
      </c>
      <c r="N34" s="914">
        <f t="shared" si="5"/>
        <v>0</v>
      </c>
      <c r="O34" s="914">
        <f t="shared" si="5"/>
        <v>0</v>
      </c>
      <c r="P34" s="914">
        <f t="shared" si="5"/>
        <v>0</v>
      </c>
      <c r="Q34" s="914">
        <f t="shared" si="5"/>
        <v>300</v>
      </c>
      <c r="R34" s="914">
        <f t="shared" si="5"/>
        <v>300</v>
      </c>
      <c r="S34" s="914">
        <f t="shared" si="5"/>
        <v>0</v>
      </c>
      <c r="T34" s="914">
        <f t="shared" si="4"/>
        <v>0</v>
      </c>
      <c r="U34" s="913">
        <f t="shared" si="2"/>
        <v>600</v>
      </c>
      <c r="V34" s="915">
        <v>0</v>
      </c>
      <c r="W34" s="915">
        <v>0</v>
      </c>
      <c r="X34" s="915">
        <v>0</v>
      </c>
      <c r="Y34" s="915">
        <v>0</v>
      </c>
      <c r="Z34" s="915">
        <v>0</v>
      </c>
      <c r="AA34" s="915">
        <v>0</v>
      </c>
      <c r="AB34" s="915">
        <v>0</v>
      </c>
      <c r="AC34" s="915">
        <v>0</v>
      </c>
      <c r="AD34" s="915">
        <v>0</v>
      </c>
      <c r="AE34" s="915">
        <v>0</v>
      </c>
      <c r="AF34" s="915">
        <v>0</v>
      </c>
      <c r="AG34" s="915">
        <v>0</v>
      </c>
      <c r="AH34" s="915">
        <v>300</v>
      </c>
      <c r="AI34" s="915">
        <v>300</v>
      </c>
      <c r="AJ34" s="915">
        <v>0</v>
      </c>
      <c r="AK34" s="915">
        <v>0</v>
      </c>
      <c r="AL34" s="915">
        <f t="shared" si="3"/>
        <v>0</v>
      </c>
      <c r="AM34" s="915">
        <v>0</v>
      </c>
      <c r="AN34" s="915">
        <v>0</v>
      </c>
      <c r="AO34" s="915">
        <v>0</v>
      </c>
      <c r="AP34" s="915">
        <v>0</v>
      </c>
      <c r="AQ34" s="915">
        <v>0</v>
      </c>
      <c r="AR34" s="915">
        <v>0</v>
      </c>
      <c r="AS34" s="915">
        <v>0</v>
      </c>
      <c r="AT34" s="915">
        <v>0</v>
      </c>
      <c r="AU34" s="915">
        <v>0</v>
      </c>
      <c r="AV34" s="915">
        <v>0</v>
      </c>
      <c r="AW34" s="915">
        <v>0</v>
      </c>
      <c r="AX34" s="915">
        <v>0</v>
      </c>
      <c r="AY34" s="915">
        <v>0</v>
      </c>
      <c r="AZ34" s="915">
        <v>0</v>
      </c>
      <c r="BA34" s="916"/>
    </row>
    <row r="35" spans="1:53" x14ac:dyDescent="0.25">
      <c r="A35" s="909">
        <v>28</v>
      </c>
      <c r="B35" s="911" t="s">
        <v>262</v>
      </c>
      <c r="C35" s="912" t="s">
        <v>263</v>
      </c>
      <c r="D35" s="913">
        <f t="shared" si="1"/>
        <v>150</v>
      </c>
      <c r="E35" s="914">
        <f t="shared" si="5"/>
        <v>0</v>
      </c>
      <c r="F35" s="914">
        <f t="shared" si="5"/>
        <v>0</v>
      </c>
      <c r="G35" s="914">
        <f t="shared" si="5"/>
        <v>0</v>
      </c>
      <c r="H35" s="914">
        <f t="shared" si="5"/>
        <v>0</v>
      </c>
      <c r="I35" s="914">
        <f t="shared" si="5"/>
        <v>0</v>
      </c>
      <c r="J35" s="914">
        <f t="shared" si="5"/>
        <v>0</v>
      </c>
      <c r="K35" s="914">
        <f t="shared" si="5"/>
        <v>0</v>
      </c>
      <c r="L35" s="914">
        <f t="shared" si="5"/>
        <v>0</v>
      </c>
      <c r="M35" s="914">
        <f t="shared" si="5"/>
        <v>0</v>
      </c>
      <c r="N35" s="914">
        <f t="shared" si="5"/>
        <v>0</v>
      </c>
      <c r="O35" s="914">
        <f t="shared" si="5"/>
        <v>0</v>
      </c>
      <c r="P35" s="914">
        <f t="shared" si="5"/>
        <v>150</v>
      </c>
      <c r="Q35" s="914">
        <f t="shared" si="5"/>
        <v>0</v>
      </c>
      <c r="R35" s="914">
        <f t="shared" si="5"/>
        <v>0</v>
      </c>
      <c r="S35" s="914">
        <f t="shared" si="5"/>
        <v>0</v>
      </c>
      <c r="T35" s="914">
        <f t="shared" si="4"/>
        <v>0</v>
      </c>
      <c r="U35" s="913">
        <f t="shared" si="2"/>
        <v>150</v>
      </c>
      <c r="V35" s="915">
        <v>0</v>
      </c>
      <c r="W35" s="915">
        <v>0</v>
      </c>
      <c r="X35" s="915">
        <v>0</v>
      </c>
      <c r="Y35" s="915">
        <v>0</v>
      </c>
      <c r="Z35" s="915">
        <v>0</v>
      </c>
      <c r="AA35" s="915">
        <v>0</v>
      </c>
      <c r="AB35" s="915">
        <v>0</v>
      </c>
      <c r="AC35" s="915">
        <v>0</v>
      </c>
      <c r="AD35" s="915">
        <v>0</v>
      </c>
      <c r="AE35" s="915">
        <v>0</v>
      </c>
      <c r="AF35" s="915">
        <v>0</v>
      </c>
      <c r="AG35" s="915">
        <v>150</v>
      </c>
      <c r="AH35" s="915">
        <v>0</v>
      </c>
      <c r="AI35" s="915">
        <v>0</v>
      </c>
      <c r="AJ35" s="915">
        <v>0</v>
      </c>
      <c r="AK35" s="915">
        <v>0</v>
      </c>
      <c r="AL35" s="915">
        <f t="shared" si="3"/>
        <v>0</v>
      </c>
      <c r="AM35" s="915">
        <v>0</v>
      </c>
      <c r="AN35" s="915">
        <v>0</v>
      </c>
      <c r="AO35" s="915">
        <v>0</v>
      </c>
      <c r="AP35" s="915">
        <v>0</v>
      </c>
      <c r="AQ35" s="915">
        <v>0</v>
      </c>
      <c r="AR35" s="915">
        <v>0</v>
      </c>
      <c r="AS35" s="915">
        <v>0</v>
      </c>
      <c r="AT35" s="915">
        <v>0</v>
      </c>
      <c r="AU35" s="915">
        <v>0</v>
      </c>
      <c r="AV35" s="915">
        <v>0</v>
      </c>
      <c r="AW35" s="915">
        <v>0</v>
      </c>
      <c r="AX35" s="915">
        <v>0</v>
      </c>
      <c r="AY35" s="915">
        <v>0</v>
      </c>
      <c r="AZ35" s="915">
        <v>0</v>
      </c>
      <c r="BA35" s="916"/>
    </row>
    <row r="36" spans="1:53" x14ac:dyDescent="0.25">
      <c r="A36" s="909">
        <v>29</v>
      </c>
      <c r="B36" s="911" t="s">
        <v>185</v>
      </c>
      <c r="C36" s="912" t="s">
        <v>547</v>
      </c>
      <c r="D36" s="913">
        <f t="shared" si="1"/>
        <v>616</v>
      </c>
      <c r="E36" s="914">
        <f t="shared" si="5"/>
        <v>144</v>
      </c>
      <c r="F36" s="914">
        <f t="shared" si="5"/>
        <v>144</v>
      </c>
      <c r="G36" s="914">
        <f t="shared" si="5"/>
        <v>10</v>
      </c>
      <c r="H36" s="914">
        <f t="shared" si="5"/>
        <v>10</v>
      </c>
      <c r="I36" s="914">
        <f t="shared" si="5"/>
        <v>25</v>
      </c>
      <c r="J36" s="914">
        <f t="shared" si="5"/>
        <v>25</v>
      </c>
      <c r="K36" s="914">
        <f t="shared" si="5"/>
        <v>50</v>
      </c>
      <c r="L36" s="914">
        <f t="shared" si="5"/>
        <v>50</v>
      </c>
      <c r="M36" s="914">
        <f t="shared" si="5"/>
        <v>79</v>
      </c>
      <c r="N36" s="914">
        <f t="shared" si="5"/>
        <v>79</v>
      </c>
      <c r="O36" s="914">
        <f t="shared" si="5"/>
        <v>0</v>
      </c>
      <c r="P36" s="914">
        <f t="shared" si="5"/>
        <v>0</v>
      </c>
      <c r="Q36" s="914">
        <f t="shared" si="5"/>
        <v>0</v>
      </c>
      <c r="R36" s="914">
        <f t="shared" si="5"/>
        <v>0</v>
      </c>
      <c r="S36" s="914">
        <f t="shared" si="5"/>
        <v>0</v>
      </c>
      <c r="T36" s="914">
        <f t="shared" si="4"/>
        <v>0</v>
      </c>
      <c r="U36" s="913">
        <f t="shared" si="2"/>
        <v>616</v>
      </c>
      <c r="V36" s="915">
        <v>144</v>
      </c>
      <c r="W36" s="915">
        <v>144</v>
      </c>
      <c r="X36" s="915">
        <v>10</v>
      </c>
      <c r="Y36" s="915">
        <v>10</v>
      </c>
      <c r="Z36" s="915">
        <v>25</v>
      </c>
      <c r="AA36" s="915">
        <v>25</v>
      </c>
      <c r="AB36" s="915">
        <v>50</v>
      </c>
      <c r="AC36" s="915">
        <v>50</v>
      </c>
      <c r="AD36" s="915">
        <v>79</v>
      </c>
      <c r="AE36" s="915">
        <v>79</v>
      </c>
      <c r="AF36" s="915">
        <v>0</v>
      </c>
      <c r="AG36" s="915">
        <v>0</v>
      </c>
      <c r="AH36" s="915">
        <v>0</v>
      </c>
      <c r="AI36" s="915">
        <v>0</v>
      </c>
      <c r="AJ36" s="915">
        <v>0</v>
      </c>
      <c r="AK36" s="915">
        <v>0</v>
      </c>
      <c r="AL36" s="915">
        <f t="shared" si="3"/>
        <v>0</v>
      </c>
      <c r="AM36" s="915">
        <v>0</v>
      </c>
      <c r="AN36" s="915">
        <v>0</v>
      </c>
      <c r="AO36" s="915">
        <v>0</v>
      </c>
      <c r="AP36" s="915">
        <v>0</v>
      </c>
      <c r="AQ36" s="915">
        <v>0</v>
      </c>
      <c r="AR36" s="915">
        <v>0</v>
      </c>
      <c r="AS36" s="915">
        <v>0</v>
      </c>
      <c r="AT36" s="915">
        <v>0</v>
      </c>
      <c r="AU36" s="915">
        <v>0</v>
      </c>
      <c r="AV36" s="915">
        <v>0</v>
      </c>
      <c r="AW36" s="915">
        <v>0</v>
      </c>
      <c r="AX36" s="915">
        <v>0</v>
      </c>
      <c r="AY36" s="915">
        <v>0</v>
      </c>
      <c r="AZ36" s="915">
        <v>0</v>
      </c>
      <c r="BA36" s="916"/>
    </row>
    <row r="37" spans="1:53" ht="19.5" customHeight="1" x14ac:dyDescent="0.25">
      <c r="A37" s="909">
        <v>30</v>
      </c>
      <c r="B37" s="911" t="s">
        <v>215</v>
      </c>
      <c r="C37" s="912" t="s">
        <v>216</v>
      </c>
      <c r="D37" s="913">
        <f t="shared" si="1"/>
        <v>250</v>
      </c>
      <c r="E37" s="914">
        <f t="shared" si="5"/>
        <v>25</v>
      </c>
      <c r="F37" s="914">
        <f t="shared" si="5"/>
        <v>25</v>
      </c>
      <c r="G37" s="914">
        <f t="shared" si="5"/>
        <v>25</v>
      </c>
      <c r="H37" s="914">
        <f t="shared" si="5"/>
        <v>25</v>
      </c>
      <c r="I37" s="914">
        <f t="shared" si="5"/>
        <v>25</v>
      </c>
      <c r="J37" s="914">
        <f t="shared" si="5"/>
        <v>25</v>
      </c>
      <c r="K37" s="914">
        <f t="shared" si="5"/>
        <v>25</v>
      </c>
      <c r="L37" s="914">
        <f t="shared" si="5"/>
        <v>25</v>
      </c>
      <c r="M37" s="914">
        <f t="shared" si="5"/>
        <v>25</v>
      </c>
      <c r="N37" s="914">
        <f t="shared" si="5"/>
        <v>25</v>
      </c>
      <c r="O37" s="914">
        <f t="shared" si="5"/>
        <v>0</v>
      </c>
      <c r="P37" s="914">
        <f t="shared" si="5"/>
        <v>0</v>
      </c>
      <c r="Q37" s="914">
        <f t="shared" si="5"/>
        <v>0</v>
      </c>
      <c r="R37" s="914">
        <f t="shared" si="5"/>
        <v>0</v>
      </c>
      <c r="S37" s="914">
        <f t="shared" si="5"/>
        <v>0</v>
      </c>
      <c r="T37" s="914">
        <f t="shared" si="4"/>
        <v>0</v>
      </c>
      <c r="U37" s="913">
        <f t="shared" si="2"/>
        <v>250</v>
      </c>
      <c r="V37" s="915">
        <v>25</v>
      </c>
      <c r="W37" s="915">
        <v>25</v>
      </c>
      <c r="X37" s="915">
        <v>25</v>
      </c>
      <c r="Y37" s="915">
        <v>25</v>
      </c>
      <c r="Z37" s="915">
        <v>25</v>
      </c>
      <c r="AA37" s="915">
        <v>25</v>
      </c>
      <c r="AB37" s="915">
        <v>25</v>
      </c>
      <c r="AC37" s="915">
        <v>25</v>
      </c>
      <c r="AD37" s="915">
        <v>25</v>
      </c>
      <c r="AE37" s="915">
        <v>25</v>
      </c>
      <c r="AF37" s="915">
        <v>0</v>
      </c>
      <c r="AG37" s="915">
        <v>0</v>
      </c>
      <c r="AH37" s="915">
        <v>0</v>
      </c>
      <c r="AI37" s="915">
        <v>0</v>
      </c>
      <c r="AJ37" s="915">
        <v>0</v>
      </c>
      <c r="AK37" s="915">
        <v>0</v>
      </c>
      <c r="AL37" s="915">
        <f t="shared" si="3"/>
        <v>0</v>
      </c>
      <c r="AM37" s="915">
        <v>0</v>
      </c>
      <c r="AN37" s="915">
        <v>0</v>
      </c>
      <c r="AO37" s="915">
        <v>0</v>
      </c>
      <c r="AP37" s="915">
        <v>0</v>
      </c>
      <c r="AQ37" s="915">
        <v>0</v>
      </c>
      <c r="AR37" s="915">
        <v>0</v>
      </c>
      <c r="AS37" s="915">
        <v>0</v>
      </c>
      <c r="AT37" s="915">
        <v>0</v>
      </c>
      <c r="AU37" s="915">
        <v>0</v>
      </c>
      <c r="AV37" s="915">
        <v>0</v>
      </c>
      <c r="AW37" s="915">
        <v>0</v>
      </c>
      <c r="AX37" s="915">
        <v>0</v>
      </c>
      <c r="AY37" s="915">
        <v>0</v>
      </c>
      <c r="AZ37" s="915">
        <v>0</v>
      </c>
      <c r="BA37" s="916"/>
    </row>
    <row r="38" spans="1:53" ht="19.5" customHeight="1" x14ac:dyDescent="0.25">
      <c r="A38" s="909">
        <v>31</v>
      </c>
      <c r="B38" s="911" t="s">
        <v>101</v>
      </c>
      <c r="C38" s="912" t="s">
        <v>102</v>
      </c>
      <c r="D38" s="913">
        <f t="shared" si="1"/>
        <v>12</v>
      </c>
      <c r="E38" s="914">
        <f t="shared" si="5"/>
        <v>3</v>
      </c>
      <c r="F38" s="914">
        <f t="shared" si="5"/>
        <v>0</v>
      </c>
      <c r="G38" s="914">
        <f t="shared" si="5"/>
        <v>2</v>
      </c>
      <c r="H38" s="914">
        <f t="shared" si="5"/>
        <v>2</v>
      </c>
      <c r="I38" s="914">
        <f t="shared" si="5"/>
        <v>3</v>
      </c>
      <c r="J38" s="914">
        <f t="shared" si="5"/>
        <v>2</v>
      </c>
      <c r="K38" s="914">
        <f t="shared" si="5"/>
        <v>0</v>
      </c>
      <c r="L38" s="914">
        <f t="shared" si="5"/>
        <v>0</v>
      </c>
      <c r="M38" s="914">
        <f t="shared" si="5"/>
        <v>0</v>
      </c>
      <c r="N38" s="914">
        <f t="shared" si="5"/>
        <v>0</v>
      </c>
      <c r="O38" s="914">
        <f t="shared" si="5"/>
        <v>0</v>
      </c>
      <c r="P38" s="914">
        <f t="shared" si="5"/>
        <v>0</v>
      </c>
      <c r="Q38" s="914">
        <f t="shared" si="5"/>
        <v>0</v>
      </c>
      <c r="R38" s="914">
        <f t="shared" si="5"/>
        <v>0</v>
      </c>
      <c r="S38" s="914">
        <f t="shared" si="5"/>
        <v>0</v>
      </c>
      <c r="T38" s="914">
        <f t="shared" si="4"/>
        <v>0</v>
      </c>
      <c r="U38" s="913">
        <f t="shared" si="2"/>
        <v>12</v>
      </c>
      <c r="V38" s="915">
        <v>3</v>
      </c>
      <c r="W38" s="915">
        <v>0</v>
      </c>
      <c r="X38" s="915">
        <v>2</v>
      </c>
      <c r="Y38" s="915">
        <v>2</v>
      </c>
      <c r="Z38" s="915">
        <v>3</v>
      </c>
      <c r="AA38" s="915">
        <v>2</v>
      </c>
      <c r="AB38" s="915">
        <v>0</v>
      </c>
      <c r="AC38" s="915">
        <v>0</v>
      </c>
      <c r="AD38" s="915">
        <v>0</v>
      </c>
      <c r="AE38" s="915">
        <v>0</v>
      </c>
      <c r="AF38" s="915">
        <v>0</v>
      </c>
      <c r="AG38" s="915">
        <v>0</v>
      </c>
      <c r="AH38" s="915">
        <v>0</v>
      </c>
      <c r="AI38" s="915">
        <v>0</v>
      </c>
      <c r="AJ38" s="915">
        <v>0</v>
      </c>
      <c r="AK38" s="915">
        <v>0</v>
      </c>
      <c r="AL38" s="915">
        <f t="shared" si="3"/>
        <v>0</v>
      </c>
      <c r="AM38" s="915">
        <v>0</v>
      </c>
      <c r="AN38" s="915">
        <v>0</v>
      </c>
      <c r="AO38" s="915">
        <v>0</v>
      </c>
      <c r="AP38" s="915">
        <v>0</v>
      </c>
      <c r="AQ38" s="915">
        <v>0</v>
      </c>
      <c r="AR38" s="915">
        <v>0</v>
      </c>
      <c r="AS38" s="915">
        <v>0</v>
      </c>
      <c r="AT38" s="915">
        <v>0</v>
      </c>
      <c r="AU38" s="915">
        <v>0</v>
      </c>
      <c r="AV38" s="915">
        <v>0</v>
      </c>
      <c r="AW38" s="915">
        <v>0</v>
      </c>
      <c r="AX38" s="915">
        <v>0</v>
      </c>
      <c r="AY38" s="915">
        <v>0</v>
      </c>
      <c r="AZ38" s="915">
        <v>0</v>
      </c>
      <c r="BA38" s="916"/>
    </row>
    <row r="39" spans="1:53" ht="19.5" customHeight="1" x14ac:dyDescent="0.25">
      <c r="A39" s="909">
        <v>32</v>
      </c>
      <c r="B39" s="911" t="s">
        <v>20</v>
      </c>
      <c r="C39" s="912" t="s">
        <v>21</v>
      </c>
      <c r="D39" s="913">
        <f t="shared" si="1"/>
        <v>19</v>
      </c>
      <c r="E39" s="914">
        <f t="shared" si="5"/>
        <v>5</v>
      </c>
      <c r="F39" s="914">
        <f t="shared" si="5"/>
        <v>2</v>
      </c>
      <c r="G39" s="914">
        <f t="shared" si="5"/>
        <v>5</v>
      </c>
      <c r="H39" s="914">
        <f t="shared" si="5"/>
        <v>2</v>
      </c>
      <c r="I39" s="914">
        <f t="shared" si="5"/>
        <v>0</v>
      </c>
      <c r="J39" s="914">
        <f t="shared" si="5"/>
        <v>0</v>
      </c>
      <c r="K39" s="914">
        <f t="shared" si="5"/>
        <v>3</v>
      </c>
      <c r="L39" s="914">
        <f t="shared" si="5"/>
        <v>2</v>
      </c>
      <c r="M39" s="914">
        <f t="shared" si="5"/>
        <v>0</v>
      </c>
      <c r="N39" s="914">
        <f t="shared" si="5"/>
        <v>0</v>
      </c>
      <c r="O39" s="914">
        <f t="shared" si="5"/>
        <v>0</v>
      </c>
      <c r="P39" s="914">
        <f t="shared" si="5"/>
        <v>0</v>
      </c>
      <c r="Q39" s="914">
        <f t="shared" si="5"/>
        <v>0</v>
      </c>
      <c r="R39" s="914">
        <f t="shared" si="5"/>
        <v>0</v>
      </c>
      <c r="S39" s="914">
        <f t="shared" si="5"/>
        <v>0</v>
      </c>
      <c r="T39" s="914">
        <f t="shared" si="4"/>
        <v>0</v>
      </c>
      <c r="U39" s="913">
        <f t="shared" si="2"/>
        <v>19</v>
      </c>
      <c r="V39" s="915">
        <v>5</v>
      </c>
      <c r="W39" s="915">
        <v>2</v>
      </c>
      <c r="X39" s="915">
        <v>5</v>
      </c>
      <c r="Y39" s="915">
        <v>2</v>
      </c>
      <c r="Z39" s="915">
        <v>0</v>
      </c>
      <c r="AA39" s="915">
        <v>0</v>
      </c>
      <c r="AB39" s="915">
        <v>3</v>
      </c>
      <c r="AC39" s="915">
        <v>2</v>
      </c>
      <c r="AD39" s="915">
        <v>0</v>
      </c>
      <c r="AE39" s="915">
        <v>0</v>
      </c>
      <c r="AF39" s="915">
        <v>0</v>
      </c>
      <c r="AG39" s="915">
        <v>0</v>
      </c>
      <c r="AH39" s="915">
        <v>0</v>
      </c>
      <c r="AI39" s="915">
        <v>0</v>
      </c>
      <c r="AJ39" s="915">
        <v>0</v>
      </c>
      <c r="AK39" s="915">
        <v>0</v>
      </c>
      <c r="AL39" s="915">
        <f t="shared" si="3"/>
        <v>0</v>
      </c>
      <c r="AM39" s="915">
        <v>0</v>
      </c>
      <c r="AN39" s="915">
        <v>0</v>
      </c>
      <c r="AO39" s="915">
        <v>0</v>
      </c>
      <c r="AP39" s="915">
        <v>0</v>
      </c>
      <c r="AQ39" s="915">
        <v>0</v>
      </c>
      <c r="AR39" s="915">
        <v>0</v>
      </c>
      <c r="AS39" s="915">
        <v>0</v>
      </c>
      <c r="AT39" s="915">
        <v>0</v>
      </c>
      <c r="AU39" s="915">
        <v>0</v>
      </c>
      <c r="AV39" s="915">
        <v>0</v>
      </c>
      <c r="AW39" s="915">
        <v>0</v>
      </c>
      <c r="AX39" s="915">
        <v>0</v>
      </c>
      <c r="AY39" s="915">
        <v>0</v>
      </c>
      <c r="AZ39" s="915">
        <v>0</v>
      </c>
      <c r="BA39" s="916"/>
    </row>
    <row r="40" spans="1:53" ht="19.5" customHeight="1" x14ac:dyDescent="0.25">
      <c r="A40" s="909">
        <v>33</v>
      </c>
      <c r="B40" s="751" t="s">
        <v>87</v>
      </c>
      <c r="C40" s="752" t="s">
        <v>88</v>
      </c>
      <c r="D40" s="913">
        <f t="shared" si="1"/>
        <v>30</v>
      </c>
      <c r="E40" s="914">
        <f t="shared" si="5"/>
        <v>6</v>
      </c>
      <c r="F40" s="914">
        <f t="shared" si="5"/>
        <v>3</v>
      </c>
      <c r="G40" s="914">
        <f t="shared" si="5"/>
        <v>5</v>
      </c>
      <c r="H40" s="914">
        <f t="shared" si="5"/>
        <v>2</v>
      </c>
      <c r="I40" s="914">
        <f t="shared" si="5"/>
        <v>5</v>
      </c>
      <c r="J40" s="914">
        <f t="shared" si="5"/>
        <v>2</v>
      </c>
      <c r="K40" s="914">
        <f t="shared" si="5"/>
        <v>5</v>
      </c>
      <c r="L40" s="914">
        <f t="shared" si="5"/>
        <v>2</v>
      </c>
      <c r="M40" s="914">
        <f t="shared" si="5"/>
        <v>0</v>
      </c>
      <c r="N40" s="914">
        <f t="shared" si="5"/>
        <v>0</v>
      </c>
      <c r="O40" s="914">
        <f t="shared" si="5"/>
        <v>0</v>
      </c>
      <c r="P40" s="914">
        <f t="shared" si="5"/>
        <v>0</v>
      </c>
      <c r="Q40" s="914">
        <f t="shared" si="5"/>
        <v>0</v>
      </c>
      <c r="R40" s="914">
        <f t="shared" si="5"/>
        <v>0</v>
      </c>
      <c r="S40" s="914">
        <f t="shared" si="5"/>
        <v>0</v>
      </c>
      <c r="T40" s="914">
        <f t="shared" si="4"/>
        <v>0</v>
      </c>
      <c r="U40" s="913">
        <f t="shared" si="2"/>
        <v>30</v>
      </c>
      <c r="V40" s="915">
        <v>6</v>
      </c>
      <c r="W40" s="915">
        <v>3</v>
      </c>
      <c r="X40" s="915">
        <v>5</v>
      </c>
      <c r="Y40" s="915">
        <v>2</v>
      </c>
      <c r="Z40" s="915">
        <v>5</v>
      </c>
      <c r="AA40" s="915">
        <v>2</v>
      </c>
      <c r="AB40" s="915">
        <v>5</v>
      </c>
      <c r="AC40" s="915">
        <v>2</v>
      </c>
      <c r="AD40" s="915">
        <v>0</v>
      </c>
      <c r="AE40" s="915">
        <v>0</v>
      </c>
      <c r="AF40" s="915">
        <v>0</v>
      </c>
      <c r="AG40" s="915">
        <v>0</v>
      </c>
      <c r="AH40" s="915">
        <v>0</v>
      </c>
      <c r="AI40" s="915">
        <v>0</v>
      </c>
      <c r="AJ40" s="915">
        <v>0</v>
      </c>
      <c r="AK40" s="915">
        <v>0</v>
      </c>
      <c r="AL40" s="915">
        <f t="shared" si="3"/>
        <v>0</v>
      </c>
      <c r="AM40" s="915">
        <v>0</v>
      </c>
      <c r="AN40" s="915">
        <v>0</v>
      </c>
      <c r="AO40" s="915">
        <v>0</v>
      </c>
      <c r="AP40" s="915">
        <v>0</v>
      </c>
      <c r="AQ40" s="915">
        <v>0</v>
      </c>
      <c r="AR40" s="915">
        <v>0</v>
      </c>
      <c r="AS40" s="915">
        <v>0</v>
      </c>
      <c r="AT40" s="915">
        <v>0</v>
      </c>
      <c r="AU40" s="915">
        <v>0</v>
      </c>
      <c r="AV40" s="915">
        <v>0</v>
      </c>
      <c r="AW40" s="915">
        <v>0</v>
      </c>
      <c r="AX40" s="915">
        <v>0</v>
      </c>
      <c r="AY40" s="915">
        <v>0</v>
      </c>
      <c r="AZ40" s="915">
        <v>0</v>
      </c>
      <c r="BA40" s="916"/>
    </row>
    <row r="41" spans="1:53" ht="19.5" customHeight="1" x14ac:dyDescent="0.25">
      <c r="A41" s="909">
        <v>34</v>
      </c>
      <c r="B41" s="751" t="s">
        <v>56</v>
      </c>
      <c r="C41" s="752" t="s">
        <v>57</v>
      </c>
      <c r="D41" s="913">
        <f t="shared" si="1"/>
        <v>15</v>
      </c>
      <c r="E41" s="914">
        <f t="shared" ref="E41:S44" si="6">V41+AM41</f>
        <v>3</v>
      </c>
      <c r="F41" s="914">
        <f t="shared" si="6"/>
        <v>2</v>
      </c>
      <c r="G41" s="914">
        <f t="shared" si="6"/>
        <v>3</v>
      </c>
      <c r="H41" s="914">
        <f t="shared" si="6"/>
        <v>2</v>
      </c>
      <c r="I41" s="914">
        <f t="shared" si="6"/>
        <v>3</v>
      </c>
      <c r="J41" s="914">
        <f t="shared" si="6"/>
        <v>2</v>
      </c>
      <c r="K41" s="914">
        <f t="shared" si="6"/>
        <v>0</v>
      </c>
      <c r="L41" s="914">
        <f t="shared" si="6"/>
        <v>0</v>
      </c>
      <c r="M41" s="914">
        <f t="shared" si="6"/>
        <v>0</v>
      </c>
      <c r="N41" s="914">
        <f t="shared" si="6"/>
        <v>0</v>
      </c>
      <c r="O41" s="914">
        <f t="shared" si="6"/>
        <v>0</v>
      </c>
      <c r="P41" s="914">
        <f t="shared" si="6"/>
        <v>0</v>
      </c>
      <c r="Q41" s="914">
        <f t="shared" si="6"/>
        <v>0</v>
      </c>
      <c r="R41" s="914">
        <f t="shared" si="6"/>
        <v>0</v>
      </c>
      <c r="S41" s="914">
        <f t="shared" si="6"/>
        <v>0</v>
      </c>
      <c r="T41" s="914">
        <f t="shared" si="4"/>
        <v>0</v>
      </c>
      <c r="U41" s="913">
        <f t="shared" si="2"/>
        <v>15</v>
      </c>
      <c r="V41" s="915">
        <v>3</v>
      </c>
      <c r="W41" s="915">
        <v>2</v>
      </c>
      <c r="X41" s="915">
        <v>3</v>
      </c>
      <c r="Y41" s="915">
        <v>2</v>
      </c>
      <c r="Z41" s="915">
        <v>3</v>
      </c>
      <c r="AA41" s="915">
        <v>2</v>
      </c>
      <c r="AB41" s="915">
        <v>0</v>
      </c>
      <c r="AC41" s="915">
        <v>0</v>
      </c>
      <c r="AD41" s="915">
        <v>0</v>
      </c>
      <c r="AE41" s="915">
        <v>0</v>
      </c>
      <c r="AF41" s="915">
        <v>0</v>
      </c>
      <c r="AG41" s="915">
        <v>0</v>
      </c>
      <c r="AH41" s="915">
        <v>0</v>
      </c>
      <c r="AI41" s="915">
        <v>0</v>
      </c>
      <c r="AJ41" s="915">
        <v>0</v>
      </c>
      <c r="AK41" s="915">
        <v>0</v>
      </c>
      <c r="AL41" s="915">
        <f t="shared" si="3"/>
        <v>0</v>
      </c>
      <c r="AM41" s="915">
        <v>0</v>
      </c>
      <c r="AN41" s="915">
        <v>0</v>
      </c>
      <c r="AO41" s="915">
        <v>0</v>
      </c>
      <c r="AP41" s="915">
        <v>0</v>
      </c>
      <c r="AQ41" s="915">
        <v>0</v>
      </c>
      <c r="AR41" s="915">
        <v>0</v>
      </c>
      <c r="AS41" s="915">
        <v>0</v>
      </c>
      <c r="AT41" s="915">
        <v>0</v>
      </c>
      <c r="AU41" s="915">
        <v>0</v>
      </c>
      <c r="AV41" s="915">
        <v>0</v>
      </c>
      <c r="AW41" s="915">
        <v>0</v>
      </c>
      <c r="AX41" s="915">
        <v>0</v>
      </c>
      <c r="AY41" s="915">
        <v>0</v>
      </c>
      <c r="AZ41" s="915">
        <v>0</v>
      </c>
      <c r="BA41" s="916"/>
    </row>
    <row r="42" spans="1:53" ht="19.5" customHeight="1" x14ac:dyDescent="0.25">
      <c r="A42" s="909">
        <v>35</v>
      </c>
      <c r="B42" s="751" t="s">
        <v>93</v>
      </c>
      <c r="C42" s="752" t="s">
        <v>94</v>
      </c>
      <c r="D42" s="913">
        <f t="shared" si="1"/>
        <v>12</v>
      </c>
      <c r="E42" s="914">
        <f t="shared" si="6"/>
        <v>3</v>
      </c>
      <c r="F42" s="914">
        <f t="shared" si="6"/>
        <v>2</v>
      </c>
      <c r="G42" s="914">
        <f t="shared" si="6"/>
        <v>3</v>
      </c>
      <c r="H42" s="914">
        <f t="shared" si="6"/>
        <v>2</v>
      </c>
      <c r="I42" s="914">
        <f t="shared" si="6"/>
        <v>2</v>
      </c>
      <c r="J42" s="914">
        <f t="shared" si="6"/>
        <v>0</v>
      </c>
      <c r="K42" s="914">
        <f t="shared" si="6"/>
        <v>0</v>
      </c>
      <c r="L42" s="914">
        <f t="shared" si="6"/>
        <v>0</v>
      </c>
      <c r="M42" s="914">
        <f t="shared" si="6"/>
        <v>0</v>
      </c>
      <c r="N42" s="914">
        <f t="shared" si="6"/>
        <v>0</v>
      </c>
      <c r="O42" s="914">
        <f t="shared" si="6"/>
        <v>0</v>
      </c>
      <c r="P42" s="914">
        <f t="shared" si="6"/>
        <v>0</v>
      </c>
      <c r="Q42" s="914">
        <f t="shared" si="6"/>
        <v>0</v>
      </c>
      <c r="R42" s="914">
        <f t="shared" si="6"/>
        <v>0</v>
      </c>
      <c r="S42" s="914">
        <f t="shared" si="6"/>
        <v>0</v>
      </c>
      <c r="T42" s="914">
        <f t="shared" si="4"/>
        <v>0</v>
      </c>
      <c r="U42" s="913">
        <f t="shared" si="2"/>
        <v>12</v>
      </c>
      <c r="V42" s="915">
        <v>3</v>
      </c>
      <c r="W42" s="915">
        <v>2</v>
      </c>
      <c r="X42" s="915">
        <v>3</v>
      </c>
      <c r="Y42" s="915">
        <v>2</v>
      </c>
      <c r="Z42" s="915">
        <v>2</v>
      </c>
      <c r="AA42" s="915">
        <v>0</v>
      </c>
      <c r="AB42" s="915">
        <v>0</v>
      </c>
      <c r="AC42" s="915">
        <v>0</v>
      </c>
      <c r="AD42" s="915">
        <v>0</v>
      </c>
      <c r="AE42" s="915">
        <v>0</v>
      </c>
      <c r="AF42" s="915">
        <v>0</v>
      </c>
      <c r="AG42" s="915">
        <v>0</v>
      </c>
      <c r="AH42" s="915">
        <v>0</v>
      </c>
      <c r="AI42" s="915">
        <v>0</v>
      </c>
      <c r="AJ42" s="915">
        <v>0</v>
      </c>
      <c r="AK42" s="915">
        <v>0</v>
      </c>
      <c r="AL42" s="915">
        <f t="shared" si="3"/>
        <v>0</v>
      </c>
      <c r="AM42" s="915">
        <v>0</v>
      </c>
      <c r="AN42" s="915">
        <v>0</v>
      </c>
      <c r="AO42" s="915">
        <v>0</v>
      </c>
      <c r="AP42" s="915">
        <v>0</v>
      </c>
      <c r="AQ42" s="915">
        <v>0</v>
      </c>
      <c r="AR42" s="915">
        <v>0</v>
      </c>
      <c r="AS42" s="915">
        <v>0</v>
      </c>
      <c r="AT42" s="915">
        <v>0</v>
      </c>
      <c r="AU42" s="915">
        <v>0</v>
      </c>
      <c r="AV42" s="915">
        <v>0</v>
      </c>
      <c r="AW42" s="915">
        <v>0</v>
      </c>
      <c r="AX42" s="915">
        <v>0</v>
      </c>
      <c r="AY42" s="915">
        <v>0</v>
      </c>
      <c r="AZ42" s="915">
        <v>0</v>
      </c>
      <c r="BA42" s="916"/>
    </row>
    <row r="43" spans="1:53" ht="19.5" customHeight="1" x14ac:dyDescent="0.25">
      <c r="A43" s="909">
        <v>36</v>
      </c>
      <c r="B43" s="753" t="s">
        <v>195</v>
      </c>
      <c r="C43" s="752" t="s">
        <v>196</v>
      </c>
      <c r="D43" s="913">
        <f t="shared" si="1"/>
        <v>12</v>
      </c>
      <c r="E43" s="914">
        <f t="shared" si="6"/>
        <v>4</v>
      </c>
      <c r="F43" s="914">
        <f t="shared" si="6"/>
        <v>1</v>
      </c>
      <c r="G43" s="914">
        <f t="shared" si="6"/>
        <v>4</v>
      </c>
      <c r="H43" s="914">
        <f t="shared" si="6"/>
        <v>0</v>
      </c>
      <c r="I43" s="914">
        <f t="shared" si="6"/>
        <v>0</v>
      </c>
      <c r="J43" s="914">
        <f t="shared" si="6"/>
        <v>0</v>
      </c>
      <c r="K43" s="914">
        <f t="shared" si="6"/>
        <v>3</v>
      </c>
      <c r="L43" s="914">
        <f t="shared" si="6"/>
        <v>0</v>
      </c>
      <c r="M43" s="914">
        <f t="shared" si="6"/>
        <v>0</v>
      </c>
      <c r="N43" s="914">
        <f t="shared" si="6"/>
        <v>0</v>
      </c>
      <c r="O43" s="914">
        <f t="shared" si="6"/>
        <v>0</v>
      </c>
      <c r="P43" s="914">
        <f t="shared" si="6"/>
        <v>0</v>
      </c>
      <c r="Q43" s="914">
        <f t="shared" si="6"/>
        <v>0</v>
      </c>
      <c r="R43" s="914">
        <f t="shared" si="6"/>
        <v>0</v>
      </c>
      <c r="S43" s="914">
        <f t="shared" si="6"/>
        <v>0</v>
      </c>
      <c r="T43" s="914">
        <f t="shared" si="4"/>
        <v>0</v>
      </c>
      <c r="U43" s="913">
        <f t="shared" si="2"/>
        <v>12</v>
      </c>
      <c r="V43" s="915">
        <v>4</v>
      </c>
      <c r="W43" s="915">
        <v>1</v>
      </c>
      <c r="X43" s="915">
        <v>4</v>
      </c>
      <c r="Y43" s="915">
        <v>0</v>
      </c>
      <c r="Z43" s="915">
        <v>0</v>
      </c>
      <c r="AA43" s="915">
        <v>0</v>
      </c>
      <c r="AB43" s="915">
        <v>3</v>
      </c>
      <c r="AC43" s="915">
        <v>0</v>
      </c>
      <c r="AD43" s="915">
        <v>0</v>
      </c>
      <c r="AE43" s="915">
        <v>0</v>
      </c>
      <c r="AF43" s="915">
        <v>0</v>
      </c>
      <c r="AG43" s="915">
        <v>0</v>
      </c>
      <c r="AH43" s="915">
        <v>0</v>
      </c>
      <c r="AI43" s="915">
        <v>0</v>
      </c>
      <c r="AJ43" s="915">
        <v>0</v>
      </c>
      <c r="AK43" s="915">
        <v>0</v>
      </c>
      <c r="AL43" s="915">
        <f t="shared" si="3"/>
        <v>0</v>
      </c>
      <c r="AM43" s="915">
        <v>0</v>
      </c>
      <c r="AN43" s="915">
        <v>0</v>
      </c>
      <c r="AO43" s="915">
        <v>0</v>
      </c>
      <c r="AP43" s="915">
        <v>0</v>
      </c>
      <c r="AQ43" s="915">
        <v>0</v>
      </c>
      <c r="AR43" s="915">
        <v>0</v>
      </c>
      <c r="AS43" s="915">
        <v>0</v>
      </c>
      <c r="AT43" s="915">
        <v>0</v>
      </c>
      <c r="AU43" s="915">
        <v>0</v>
      </c>
      <c r="AV43" s="915">
        <v>0</v>
      </c>
      <c r="AW43" s="915">
        <v>0</v>
      </c>
      <c r="AX43" s="915">
        <v>0</v>
      </c>
      <c r="AY43" s="915">
        <v>0</v>
      </c>
      <c r="AZ43" s="915">
        <v>0</v>
      </c>
      <c r="BA43" s="916"/>
    </row>
    <row r="44" spans="1:53" x14ac:dyDescent="0.25">
      <c r="A44" s="909">
        <v>37</v>
      </c>
      <c r="B44" s="912"/>
      <c r="C44" s="912" t="s">
        <v>548</v>
      </c>
      <c r="D44" s="913">
        <f t="shared" si="1"/>
        <v>3</v>
      </c>
      <c r="E44" s="914">
        <f t="shared" si="6"/>
        <v>0</v>
      </c>
      <c r="F44" s="914">
        <f t="shared" si="6"/>
        <v>0</v>
      </c>
      <c r="G44" s="914">
        <f t="shared" si="6"/>
        <v>0</v>
      </c>
      <c r="H44" s="914">
        <f t="shared" si="6"/>
        <v>0</v>
      </c>
      <c r="I44" s="914">
        <f t="shared" si="6"/>
        <v>0</v>
      </c>
      <c r="J44" s="914">
        <f t="shared" si="6"/>
        <v>0</v>
      </c>
      <c r="K44" s="914">
        <f t="shared" si="6"/>
        <v>0</v>
      </c>
      <c r="L44" s="914">
        <f t="shared" si="6"/>
        <v>0</v>
      </c>
      <c r="M44" s="914">
        <f t="shared" si="6"/>
        <v>0</v>
      </c>
      <c r="N44" s="914">
        <f t="shared" si="6"/>
        <v>3</v>
      </c>
      <c r="O44" s="914">
        <f t="shared" si="6"/>
        <v>0</v>
      </c>
      <c r="P44" s="914">
        <f t="shared" si="6"/>
        <v>0</v>
      </c>
      <c r="Q44" s="914">
        <f t="shared" si="6"/>
        <v>0</v>
      </c>
      <c r="R44" s="914">
        <f t="shared" si="6"/>
        <v>0</v>
      </c>
      <c r="S44" s="914">
        <f t="shared" si="6"/>
        <v>0</v>
      </c>
      <c r="T44" s="914">
        <f t="shared" si="4"/>
        <v>0</v>
      </c>
      <c r="U44" s="913">
        <f t="shared" si="2"/>
        <v>0</v>
      </c>
      <c r="V44" s="915">
        <v>0</v>
      </c>
      <c r="W44" s="915">
        <v>0</v>
      </c>
      <c r="X44" s="915">
        <v>0</v>
      </c>
      <c r="Y44" s="915">
        <v>0</v>
      </c>
      <c r="Z44" s="915">
        <v>0</v>
      </c>
      <c r="AA44" s="915">
        <v>0</v>
      </c>
      <c r="AB44" s="915">
        <v>0</v>
      </c>
      <c r="AC44" s="915">
        <v>0</v>
      </c>
      <c r="AD44" s="915">
        <v>0</v>
      </c>
      <c r="AE44" s="915">
        <v>0</v>
      </c>
      <c r="AF44" s="915">
        <v>0</v>
      </c>
      <c r="AG44" s="915">
        <v>0</v>
      </c>
      <c r="AH44" s="915">
        <v>0</v>
      </c>
      <c r="AI44" s="915">
        <v>0</v>
      </c>
      <c r="AJ44" s="915">
        <v>0</v>
      </c>
      <c r="AK44" s="915">
        <v>0</v>
      </c>
      <c r="AL44" s="915">
        <f t="shared" si="3"/>
        <v>3</v>
      </c>
      <c r="AM44" s="915">
        <v>0</v>
      </c>
      <c r="AN44" s="915">
        <v>0</v>
      </c>
      <c r="AO44" s="915">
        <v>0</v>
      </c>
      <c r="AP44" s="915">
        <v>0</v>
      </c>
      <c r="AQ44" s="915">
        <v>0</v>
      </c>
      <c r="AR44" s="915">
        <v>0</v>
      </c>
      <c r="AS44" s="915">
        <v>0</v>
      </c>
      <c r="AT44" s="915">
        <v>0</v>
      </c>
      <c r="AU44" s="915">
        <v>0</v>
      </c>
      <c r="AV44" s="915">
        <v>3</v>
      </c>
      <c r="AW44" s="915">
        <v>0</v>
      </c>
      <c r="AX44" s="915">
        <v>0</v>
      </c>
      <c r="AY44" s="915">
        <v>0</v>
      </c>
      <c r="AZ44" s="915">
        <v>0</v>
      </c>
      <c r="BA44" s="916"/>
    </row>
    <row r="45" spans="1:53" ht="14.25" customHeight="1" x14ac:dyDescent="0.25">
      <c r="A45" s="917"/>
      <c r="B45" s="918"/>
      <c r="C45" s="918" t="s">
        <v>469</v>
      </c>
      <c r="D45" s="919">
        <f>SUM(D8:D44)</f>
        <v>13175</v>
      </c>
      <c r="E45" s="919">
        <f t="shared" ref="E45:AZ45" si="7">SUM(E8:E44)</f>
        <v>2069</v>
      </c>
      <c r="F45" s="919">
        <f t="shared" si="7"/>
        <v>661</v>
      </c>
      <c r="G45" s="919">
        <f t="shared" si="7"/>
        <v>1380</v>
      </c>
      <c r="H45" s="919">
        <f t="shared" si="7"/>
        <v>581</v>
      </c>
      <c r="I45" s="919">
        <f t="shared" si="7"/>
        <v>3773</v>
      </c>
      <c r="J45" s="919">
        <f t="shared" si="7"/>
        <v>1900</v>
      </c>
      <c r="K45" s="919">
        <f t="shared" si="7"/>
        <v>506</v>
      </c>
      <c r="L45" s="919">
        <f t="shared" si="7"/>
        <v>294</v>
      </c>
      <c r="M45" s="919">
        <f t="shared" si="7"/>
        <v>608</v>
      </c>
      <c r="N45" s="919">
        <f t="shared" si="7"/>
        <v>382</v>
      </c>
      <c r="O45" s="919">
        <f t="shared" si="7"/>
        <v>75</v>
      </c>
      <c r="P45" s="919">
        <f t="shared" si="7"/>
        <v>256</v>
      </c>
      <c r="Q45" s="919">
        <f t="shared" si="7"/>
        <v>310</v>
      </c>
      <c r="R45" s="919">
        <f t="shared" si="7"/>
        <v>305</v>
      </c>
      <c r="S45" s="919">
        <f t="shared" si="7"/>
        <v>60</v>
      </c>
      <c r="T45" s="919">
        <f t="shared" si="7"/>
        <v>15</v>
      </c>
      <c r="U45" s="919">
        <f t="shared" si="7"/>
        <v>10211</v>
      </c>
      <c r="V45" s="919">
        <f t="shared" si="7"/>
        <v>753</v>
      </c>
      <c r="W45" s="919">
        <f t="shared" si="7"/>
        <v>576</v>
      </c>
      <c r="X45" s="919">
        <f t="shared" si="7"/>
        <v>1275</v>
      </c>
      <c r="Y45" s="919">
        <f t="shared" si="7"/>
        <v>551</v>
      </c>
      <c r="Z45" s="919">
        <f t="shared" si="7"/>
        <v>2805</v>
      </c>
      <c r="AA45" s="919">
        <f t="shared" si="7"/>
        <v>1782</v>
      </c>
      <c r="AB45" s="919">
        <f t="shared" si="7"/>
        <v>506</v>
      </c>
      <c r="AC45" s="919">
        <f t="shared" si="7"/>
        <v>294</v>
      </c>
      <c r="AD45" s="919">
        <f t="shared" si="7"/>
        <v>320</v>
      </c>
      <c r="AE45" s="919">
        <f t="shared" si="7"/>
        <v>343</v>
      </c>
      <c r="AF45" s="919">
        <f t="shared" si="7"/>
        <v>75</v>
      </c>
      <c r="AG45" s="919">
        <f t="shared" si="7"/>
        <v>256</v>
      </c>
      <c r="AH45" s="919">
        <f t="shared" si="7"/>
        <v>300</v>
      </c>
      <c r="AI45" s="919">
        <f t="shared" si="7"/>
        <v>300</v>
      </c>
      <c r="AJ45" s="919">
        <f t="shared" si="7"/>
        <v>60</v>
      </c>
      <c r="AK45" s="919">
        <f t="shared" si="7"/>
        <v>15</v>
      </c>
      <c r="AL45" s="919">
        <f t="shared" si="7"/>
        <v>2964</v>
      </c>
      <c r="AM45" s="919">
        <f t="shared" si="7"/>
        <v>1316</v>
      </c>
      <c r="AN45" s="919">
        <f t="shared" si="7"/>
        <v>85</v>
      </c>
      <c r="AO45" s="919">
        <f t="shared" si="7"/>
        <v>105</v>
      </c>
      <c r="AP45" s="919">
        <f t="shared" si="7"/>
        <v>30</v>
      </c>
      <c r="AQ45" s="919">
        <f t="shared" si="7"/>
        <v>968</v>
      </c>
      <c r="AR45" s="919">
        <f t="shared" si="7"/>
        <v>118</v>
      </c>
      <c r="AS45" s="919">
        <f t="shared" si="7"/>
        <v>0</v>
      </c>
      <c r="AT45" s="919">
        <f t="shared" si="7"/>
        <v>0</v>
      </c>
      <c r="AU45" s="919">
        <f t="shared" si="7"/>
        <v>288</v>
      </c>
      <c r="AV45" s="919">
        <f t="shared" si="7"/>
        <v>39</v>
      </c>
      <c r="AW45" s="919">
        <f t="shared" si="7"/>
        <v>0</v>
      </c>
      <c r="AX45" s="919">
        <f t="shared" si="7"/>
        <v>0</v>
      </c>
      <c r="AY45" s="919">
        <f t="shared" si="7"/>
        <v>10</v>
      </c>
      <c r="AZ45" s="919">
        <f t="shared" si="7"/>
        <v>5</v>
      </c>
      <c r="BA45" s="916"/>
    </row>
  </sheetData>
  <mergeCells count="33">
    <mergeCell ref="AY5:AZ5"/>
    <mergeCell ref="AM5:AN5"/>
    <mergeCell ref="AO5:AP5"/>
    <mergeCell ref="AQ5:AR5"/>
    <mergeCell ref="AS5:AT5"/>
    <mergeCell ref="AU5:AV5"/>
    <mergeCell ref="AW5:AX5"/>
    <mergeCell ref="AB5:AC5"/>
    <mergeCell ref="AD5:AE5"/>
    <mergeCell ref="AF5:AG5"/>
    <mergeCell ref="AH5:AI5"/>
    <mergeCell ref="AJ5:AK5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2:R2"/>
    <mergeCell ref="A4:A6"/>
    <mergeCell ref="B4:B6"/>
    <mergeCell ref="C4:C6"/>
    <mergeCell ref="D4:T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80" customWidth="1"/>
    <col min="2" max="2" width="10.140625" style="80" customWidth="1"/>
    <col min="3" max="3" width="55.5703125" style="95" customWidth="1"/>
    <col min="4" max="4" width="16.28515625" style="80" customWidth="1"/>
    <col min="5" max="5" width="13.7109375" style="80" customWidth="1"/>
    <col min="6" max="16384" width="9.140625" style="80"/>
  </cols>
  <sheetData>
    <row r="1" spans="1:7" ht="36.75" customHeight="1" x14ac:dyDescent="0.25">
      <c r="A1" s="1229" t="s">
        <v>592</v>
      </c>
      <c r="B1" s="1230"/>
      <c r="C1" s="1230"/>
      <c r="D1" s="1230"/>
      <c r="E1" s="1230"/>
      <c r="F1" s="79"/>
      <c r="G1" s="79"/>
    </row>
    <row r="3" spans="1:7" ht="31.5" customHeight="1" x14ac:dyDescent="0.25">
      <c r="A3" s="81" t="s">
        <v>0</v>
      </c>
      <c r="B3" s="81" t="s">
        <v>302</v>
      </c>
      <c r="C3" s="81" t="s">
        <v>292</v>
      </c>
      <c r="D3" s="81" t="s">
        <v>593</v>
      </c>
      <c r="E3" s="81" t="s">
        <v>594</v>
      </c>
    </row>
    <row r="4" spans="1:7" x14ac:dyDescent="0.25">
      <c r="A4" s="82">
        <v>1</v>
      </c>
      <c r="B4" s="82">
        <v>2</v>
      </c>
      <c r="C4" s="82">
        <v>3</v>
      </c>
      <c r="D4" s="82">
        <v>4</v>
      </c>
      <c r="E4" s="82">
        <v>5</v>
      </c>
    </row>
    <row r="5" spans="1:7" ht="27" customHeight="1" x14ac:dyDescent="0.25">
      <c r="A5" s="1231" t="s">
        <v>595</v>
      </c>
      <c r="B5" s="1231"/>
      <c r="C5" s="1231"/>
      <c r="D5" s="83">
        <v>3881</v>
      </c>
      <c r="E5" s="84"/>
    </row>
    <row r="6" spans="1:7" ht="15" customHeight="1" x14ac:dyDescent="0.25">
      <c r="A6" s="85">
        <v>1</v>
      </c>
      <c r="B6" s="81">
        <v>29110</v>
      </c>
      <c r="C6" s="86" t="s">
        <v>247</v>
      </c>
      <c r="D6" s="87">
        <v>2440</v>
      </c>
      <c r="E6" s="85"/>
    </row>
    <row r="7" spans="1:7" ht="15" customHeight="1" x14ac:dyDescent="0.25">
      <c r="A7" s="85">
        <v>2</v>
      </c>
      <c r="B7" s="88">
        <v>20233</v>
      </c>
      <c r="C7" s="89" t="s">
        <v>249</v>
      </c>
      <c r="D7" s="87">
        <v>1441</v>
      </c>
      <c r="E7" s="85"/>
    </row>
    <row r="8" spans="1:7" ht="18" customHeight="1" x14ac:dyDescent="0.25">
      <c r="A8" s="1231" t="s">
        <v>596</v>
      </c>
      <c r="B8" s="1231"/>
      <c r="C8" s="1231"/>
      <c r="D8" s="82"/>
      <c r="E8" s="90">
        <v>363</v>
      </c>
    </row>
    <row r="9" spans="1:7" ht="16.5" customHeight="1" x14ac:dyDescent="0.25">
      <c r="A9" s="1232">
        <v>1</v>
      </c>
      <c r="B9" s="1233">
        <v>22134</v>
      </c>
      <c r="C9" s="89" t="s">
        <v>285</v>
      </c>
      <c r="D9" s="91"/>
      <c r="E9" s="85"/>
    </row>
    <row r="10" spans="1:7" ht="16.5" customHeight="1" x14ac:dyDescent="0.25">
      <c r="A10" s="1232"/>
      <c r="B10" s="1233"/>
      <c r="C10" s="92" t="s">
        <v>597</v>
      </c>
      <c r="D10" s="82"/>
      <c r="E10" s="82">
        <v>57</v>
      </c>
    </row>
    <row r="11" spans="1:7" ht="16.5" customHeight="1" x14ac:dyDescent="0.25">
      <c r="A11" s="1232"/>
      <c r="B11" s="1233"/>
      <c r="C11" s="92" t="s">
        <v>598</v>
      </c>
      <c r="D11" s="82"/>
      <c r="E11" s="82">
        <v>306</v>
      </c>
    </row>
    <row r="12" spans="1:7" x14ac:dyDescent="0.2">
      <c r="A12" s="93"/>
      <c r="B12" s="94"/>
      <c r="C12" s="94"/>
      <c r="D12" s="94"/>
      <c r="E12" s="94"/>
    </row>
    <row r="13" spans="1:7" x14ac:dyDescent="0.25">
      <c r="D13" s="96"/>
      <c r="E13" s="96"/>
    </row>
    <row r="14" spans="1:7" x14ac:dyDescent="0.25">
      <c r="D14" s="96"/>
      <c r="E14" s="96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292"/>
  <sheetViews>
    <sheetView zoomScale="90" zoomScaleNormal="90" workbookViewId="0">
      <pane xSplit="3" ySplit="9" topLeftCell="D87" activePane="bottomRight" state="frozen"/>
      <selection pane="topRight" activeCell="D1" sqref="D1"/>
      <selection pane="bottomLeft" activeCell="A10" sqref="A10"/>
      <selection pane="bottomRight" activeCell="C90" sqref="C90"/>
    </sheetView>
  </sheetViews>
  <sheetFormatPr defaultRowHeight="12.75" x14ac:dyDescent="0.2"/>
  <cols>
    <col min="1" max="1" width="6.7109375" style="4" customWidth="1"/>
    <col min="2" max="2" width="8.28515625" style="4" customWidth="1"/>
    <col min="3" max="3" width="30.140625" style="4" customWidth="1"/>
    <col min="4" max="4" width="16.140625" style="488" customWidth="1"/>
    <col min="5" max="5" width="14.7109375" style="488" customWidth="1"/>
    <col min="6" max="6" width="11.140625" style="488" customWidth="1"/>
    <col min="7" max="7" width="10.7109375" style="488" customWidth="1"/>
    <col min="8" max="8" width="11.5703125" style="488" customWidth="1"/>
    <col min="9" max="9" width="10.7109375" style="488" customWidth="1"/>
    <col min="10" max="16384" width="9.140625" style="4"/>
  </cols>
  <sheetData>
    <row r="1" spans="1:21" ht="15.75" x14ac:dyDescent="0.25">
      <c r="A1" s="1234" t="s">
        <v>599</v>
      </c>
      <c r="B1" s="1235"/>
      <c r="C1" s="1235"/>
      <c r="D1" s="1235"/>
      <c r="E1" s="1235"/>
      <c r="F1" s="1235"/>
      <c r="G1" s="1235"/>
      <c r="H1" s="1235"/>
      <c r="I1" s="1235"/>
    </row>
    <row r="2" spans="1:21" ht="13.5" thickBot="1" x14ac:dyDescent="0.25"/>
    <row r="3" spans="1:21" ht="38.25" customHeight="1" x14ac:dyDescent="0.2">
      <c r="A3" s="1236" t="s">
        <v>0</v>
      </c>
      <c r="B3" s="1238" t="s">
        <v>600</v>
      </c>
      <c r="C3" s="1240" t="s">
        <v>292</v>
      </c>
      <c r="D3" s="1242" t="s">
        <v>601</v>
      </c>
      <c r="E3" s="1243"/>
      <c r="F3" s="1244" t="s">
        <v>602</v>
      </c>
      <c r="G3" s="1245"/>
      <c r="H3" s="1244" t="s">
        <v>603</v>
      </c>
      <c r="I3" s="1245"/>
    </row>
    <row r="4" spans="1:21" ht="42.75" customHeight="1" x14ac:dyDescent="0.2">
      <c r="A4" s="1237"/>
      <c r="B4" s="1239"/>
      <c r="C4" s="1241"/>
      <c r="D4" s="489" t="s">
        <v>289</v>
      </c>
      <c r="E4" s="490" t="s">
        <v>604</v>
      </c>
      <c r="F4" s="491" t="s">
        <v>605</v>
      </c>
      <c r="G4" s="492" t="s">
        <v>606</v>
      </c>
      <c r="H4" s="493" t="s">
        <v>607</v>
      </c>
      <c r="I4" s="492" t="s">
        <v>608</v>
      </c>
    </row>
    <row r="5" spans="1:21" ht="13.5" thickBot="1" x14ac:dyDescent="0.25">
      <c r="A5" s="494">
        <v>1</v>
      </c>
      <c r="B5" s="495">
        <v>2</v>
      </c>
      <c r="C5" s="496">
        <v>3</v>
      </c>
      <c r="D5" s="497">
        <v>4</v>
      </c>
      <c r="E5" s="498">
        <v>5</v>
      </c>
      <c r="F5" s="499">
        <v>6</v>
      </c>
      <c r="G5" s="500">
        <v>7</v>
      </c>
      <c r="H5" s="501">
        <v>8</v>
      </c>
      <c r="I5" s="500">
        <v>9</v>
      </c>
    </row>
    <row r="6" spans="1:21" x14ac:dyDescent="0.2">
      <c r="A6" s="1246" t="s">
        <v>6</v>
      </c>
      <c r="B6" s="1247"/>
      <c r="C6" s="1248"/>
      <c r="D6" s="502">
        <f>SUM(D7:D9)</f>
        <v>301334</v>
      </c>
      <c r="E6" s="503">
        <f t="shared" ref="E6:I6" si="0">SUM(E7:E9)</f>
        <v>9338</v>
      </c>
      <c r="F6" s="504">
        <f t="shared" si="0"/>
        <v>1859</v>
      </c>
      <c r="G6" s="503">
        <f t="shared" si="0"/>
        <v>27880</v>
      </c>
      <c r="H6" s="504">
        <f t="shared" si="0"/>
        <v>676</v>
      </c>
      <c r="I6" s="503">
        <f t="shared" si="0"/>
        <v>7440</v>
      </c>
      <c r="P6" s="20"/>
      <c r="Q6" s="20"/>
      <c r="R6" s="20"/>
      <c r="S6" s="20"/>
      <c r="T6" s="20"/>
      <c r="U6" s="20"/>
    </row>
    <row r="7" spans="1:21" x14ac:dyDescent="0.2">
      <c r="A7" s="1249" t="s">
        <v>14</v>
      </c>
      <c r="B7" s="1250"/>
      <c r="C7" s="1251"/>
      <c r="D7" s="763"/>
      <c r="E7" s="505"/>
      <c r="F7" s="506"/>
      <c r="G7" s="507"/>
      <c r="H7" s="508"/>
      <c r="I7" s="507"/>
      <c r="P7" s="20"/>
      <c r="Q7" s="20"/>
      <c r="R7" s="20"/>
      <c r="S7" s="20"/>
      <c r="T7" s="20"/>
      <c r="U7" s="20"/>
    </row>
    <row r="8" spans="1:21" x14ac:dyDescent="0.2">
      <c r="A8" s="1249" t="s">
        <v>444</v>
      </c>
      <c r="B8" s="1250"/>
      <c r="C8" s="1251"/>
      <c r="D8" s="763"/>
      <c r="E8" s="505"/>
      <c r="F8" s="506"/>
      <c r="G8" s="507"/>
      <c r="H8" s="508"/>
      <c r="I8" s="507"/>
      <c r="P8" s="20"/>
      <c r="Q8" s="20"/>
      <c r="R8" s="20"/>
      <c r="S8" s="20"/>
      <c r="T8" s="20"/>
      <c r="U8" s="20"/>
    </row>
    <row r="9" spans="1:21" s="515" customFormat="1" x14ac:dyDescent="0.2">
      <c r="A9" s="1249" t="s">
        <v>15</v>
      </c>
      <c r="B9" s="1250"/>
      <c r="C9" s="1251"/>
      <c r="D9" s="509">
        <f>SUM(D10:D152)</f>
        <v>301334</v>
      </c>
      <c r="E9" s="510">
        <f t="shared" ref="E9:I9" si="1">SUM(E10:E152)</f>
        <v>9338</v>
      </c>
      <c r="F9" s="511">
        <f t="shared" si="1"/>
        <v>1859</v>
      </c>
      <c r="G9" s="512">
        <f t="shared" si="1"/>
        <v>27880</v>
      </c>
      <c r="H9" s="513">
        <f t="shared" si="1"/>
        <v>676</v>
      </c>
      <c r="I9" s="514">
        <f t="shared" si="1"/>
        <v>7440</v>
      </c>
      <c r="P9" s="20"/>
      <c r="Q9" s="20"/>
      <c r="R9" s="20"/>
      <c r="S9" s="20"/>
      <c r="T9" s="20"/>
      <c r="U9" s="20"/>
    </row>
    <row r="10" spans="1:21" x14ac:dyDescent="0.2">
      <c r="A10" s="755">
        <v>1</v>
      </c>
      <c r="B10" s="516" t="s">
        <v>16</v>
      </c>
      <c r="C10" s="517" t="s">
        <v>17</v>
      </c>
      <c r="D10" s="765">
        <v>1628</v>
      </c>
      <c r="E10" s="518"/>
      <c r="F10" s="519"/>
      <c r="G10" s="518"/>
      <c r="H10" s="520"/>
      <c r="I10" s="518"/>
      <c r="P10" s="20"/>
      <c r="Q10" s="20"/>
      <c r="R10" s="20"/>
      <c r="S10" s="20"/>
      <c r="T10" s="20"/>
      <c r="U10" s="20"/>
    </row>
    <row r="11" spans="1:21" x14ac:dyDescent="0.2">
      <c r="A11" s="755">
        <v>2</v>
      </c>
      <c r="B11" s="516" t="s">
        <v>18</v>
      </c>
      <c r="C11" s="517" t="s">
        <v>19</v>
      </c>
      <c r="D11" s="531">
        <f>2377+23</f>
        <v>2400</v>
      </c>
      <c r="E11" s="518"/>
      <c r="F11" s="519"/>
      <c r="G11" s="518"/>
      <c r="H11" s="520"/>
      <c r="I11" s="518"/>
      <c r="P11" s="20"/>
      <c r="Q11" s="20"/>
      <c r="R11" s="20"/>
      <c r="S11" s="20"/>
      <c r="T11" s="20"/>
      <c r="U11" s="20"/>
    </row>
    <row r="12" spans="1:21" x14ac:dyDescent="0.2">
      <c r="A12" s="755">
        <v>3</v>
      </c>
      <c r="B12" s="521" t="s">
        <v>20</v>
      </c>
      <c r="C12" s="522" t="s">
        <v>21</v>
      </c>
      <c r="D12" s="531">
        <f>6217-1500</f>
        <v>4717</v>
      </c>
      <c r="E12" s="518"/>
      <c r="F12" s="519"/>
      <c r="G12" s="518"/>
      <c r="H12" s="520"/>
      <c r="I12" s="518"/>
      <c r="P12" s="20"/>
      <c r="Q12" s="20"/>
      <c r="R12" s="20"/>
      <c r="S12" s="20"/>
      <c r="T12" s="20"/>
      <c r="U12" s="20"/>
    </row>
    <row r="13" spans="1:21" x14ac:dyDescent="0.2">
      <c r="A13" s="755">
        <v>4</v>
      </c>
      <c r="B13" s="516" t="s">
        <v>22</v>
      </c>
      <c r="C13" s="517" t="s">
        <v>23</v>
      </c>
      <c r="D13" s="531">
        <f>1855+45</f>
        <v>1900</v>
      </c>
      <c r="E13" s="518"/>
      <c r="F13" s="519"/>
      <c r="G13" s="518"/>
      <c r="H13" s="520"/>
      <c r="I13" s="518"/>
      <c r="P13" s="20"/>
      <c r="Q13" s="20"/>
      <c r="R13" s="20"/>
      <c r="S13" s="20"/>
      <c r="T13" s="20"/>
      <c r="U13" s="20"/>
    </row>
    <row r="14" spans="1:21" ht="12" customHeight="1" x14ac:dyDescent="0.2">
      <c r="A14" s="755">
        <v>5</v>
      </c>
      <c r="B14" s="516" t="s">
        <v>24</v>
      </c>
      <c r="C14" s="517" t="s">
        <v>25</v>
      </c>
      <c r="D14" s="531">
        <f>1507+23</f>
        <v>1530</v>
      </c>
      <c r="E14" s="518"/>
      <c r="F14" s="519"/>
      <c r="G14" s="518"/>
      <c r="H14" s="520"/>
      <c r="I14" s="518"/>
      <c r="P14" s="20"/>
      <c r="Q14" s="20"/>
      <c r="R14" s="20"/>
      <c r="S14" s="20"/>
      <c r="T14" s="20"/>
      <c r="U14" s="20"/>
    </row>
    <row r="15" spans="1:21" x14ac:dyDescent="0.2">
      <c r="A15" s="755">
        <v>6</v>
      </c>
      <c r="B15" s="521" t="s">
        <v>26</v>
      </c>
      <c r="C15" s="522" t="s">
        <v>27</v>
      </c>
      <c r="D15" s="531">
        <f>17142-6209+23</f>
        <v>10956</v>
      </c>
      <c r="E15" s="518">
        <v>81</v>
      </c>
      <c r="F15" s="519"/>
      <c r="G15" s="518"/>
      <c r="H15" s="523">
        <v>282</v>
      </c>
      <c r="I15" s="518">
        <v>3100</v>
      </c>
      <c r="P15" s="20"/>
      <c r="Q15" s="20"/>
      <c r="R15" s="20"/>
      <c r="S15" s="20"/>
      <c r="T15" s="20"/>
      <c r="U15" s="20"/>
    </row>
    <row r="16" spans="1:21" x14ac:dyDescent="0.2">
      <c r="A16" s="755">
        <v>7</v>
      </c>
      <c r="B16" s="764" t="s">
        <v>28</v>
      </c>
      <c r="C16" s="524" t="s">
        <v>29</v>
      </c>
      <c r="D16" s="531">
        <f>3329+1148+23</f>
        <v>4500</v>
      </c>
      <c r="E16" s="518"/>
      <c r="F16" s="519"/>
      <c r="G16" s="518"/>
      <c r="H16" s="523"/>
      <c r="I16" s="518"/>
      <c r="P16" s="20"/>
      <c r="Q16" s="20"/>
      <c r="R16" s="20"/>
      <c r="S16" s="20"/>
      <c r="T16" s="20"/>
      <c r="U16" s="20"/>
    </row>
    <row r="17" spans="1:21" x14ac:dyDescent="0.2">
      <c r="A17" s="755">
        <v>8</v>
      </c>
      <c r="B17" s="521" t="s">
        <v>30</v>
      </c>
      <c r="C17" s="522" t="s">
        <v>31</v>
      </c>
      <c r="D17" s="531">
        <v>1926</v>
      </c>
      <c r="E17" s="518"/>
      <c r="F17" s="519"/>
      <c r="G17" s="518"/>
      <c r="H17" s="523"/>
      <c r="I17" s="518"/>
      <c r="P17" s="20"/>
      <c r="Q17" s="20"/>
      <c r="R17" s="20"/>
      <c r="S17" s="20"/>
      <c r="T17" s="20"/>
      <c r="U17" s="20"/>
    </row>
    <row r="18" spans="1:21" x14ac:dyDescent="0.2">
      <c r="A18" s="755">
        <v>9</v>
      </c>
      <c r="B18" s="521" t="s">
        <v>32</v>
      </c>
      <c r="C18" s="522" t="s">
        <v>33</v>
      </c>
      <c r="D18" s="531">
        <f>2324+45</f>
        <v>2369</v>
      </c>
      <c r="E18" s="518"/>
      <c r="F18" s="519"/>
      <c r="G18" s="518"/>
      <c r="H18" s="523"/>
      <c r="I18" s="518"/>
      <c r="P18" s="20"/>
      <c r="Q18" s="20"/>
      <c r="R18" s="20"/>
      <c r="S18" s="20"/>
      <c r="T18" s="20"/>
      <c r="U18" s="20"/>
    </row>
    <row r="19" spans="1:21" x14ac:dyDescent="0.2">
      <c r="A19" s="755">
        <v>10</v>
      </c>
      <c r="B19" s="521" t="s">
        <v>34</v>
      </c>
      <c r="C19" s="522" t="s">
        <v>35</v>
      </c>
      <c r="D19" s="531">
        <f>1644+700</f>
        <v>2344</v>
      </c>
      <c r="E19" s="518"/>
      <c r="F19" s="519"/>
      <c r="G19" s="518"/>
      <c r="H19" s="523"/>
      <c r="I19" s="518"/>
      <c r="P19" s="20"/>
      <c r="Q19" s="20"/>
      <c r="R19" s="20"/>
      <c r="S19" s="20"/>
      <c r="T19" s="20"/>
      <c r="U19" s="20"/>
    </row>
    <row r="20" spans="1:21" x14ac:dyDescent="0.2">
      <c r="A20" s="755">
        <v>11</v>
      </c>
      <c r="B20" s="521" t="s">
        <v>36</v>
      </c>
      <c r="C20" s="522" t="s">
        <v>37</v>
      </c>
      <c r="D20" s="531">
        <v>1675</v>
      </c>
      <c r="E20" s="518"/>
      <c r="F20" s="519"/>
      <c r="G20" s="518"/>
      <c r="H20" s="523"/>
      <c r="I20" s="518"/>
      <c r="P20" s="20"/>
      <c r="Q20" s="20"/>
      <c r="R20" s="20"/>
      <c r="S20" s="20"/>
      <c r="T20" s="20"/>
      <c r="U20" s="20"/>
    </row>
    <row r="21" spans="1:21" x14ac:dyDescent="0.2">
      <c r="A21" s="755">
        <v>12</v>
      </c>
      <c r="B21" s="521" t="s">
        <v>38</v>
      </c>
      <c r="C21" s="522" t="s">
        <v>39</v>
      </c>
      <c r="D21" s="531">
        <f>2618+565</f>
        <v>3183</v>
      </c>
      <c r="E21" s="518"/>
      <c r="F21" s="519"/>
      <c r="G21" s="518"/>
      <c r="H21" s="523"/>
      <c r="I21" s="518"/>
      <c r="P21" s="20"/>
      <c r="Q21" s="20"/>
      <c r="R21" s="20"/>
      <c r="S21" s="20"/>
      <c r="T21" s="20"/>
      <c r="U21" s="20"/>
    </row>
    <row r="22" spans="1:21" x14ac:dyDescent="0.2">
      <c r="A22" s="755">
        <v>13</v>
      </c>
      <c r="B22" s="525" t="s">
        <v>40</v>
      </c>
      <c r="C22" s="526" t="s">
        <v>41</v>
      </c>
      <c r="D22" s="531"/>
      <c r="E22" s="518"/>
      <c r="F22" s="519"/>
      <c r="G22" s="518"/>
      <c r="H22" s="523"/>
      <c r="I22" s="518"/>
      <c r="P22" s="20"/>
      <c r="Q22" s="20"/>
      <c r="R22" s="20"/>
      <c r="S22" s="20"/>
      <c r="T22" s="20"/>
      <c r="U22" s="20"/>
    </row>
    <row r="23" spans="1:21" x14ac:dyDescent="0.2">
      <c r="A23" s="755">
        <v>14</v>
      </c>
      <c r="B23" s="527" t="s">
        <v>42</v>
      </c>
      <c r="C23" s="528" t="s">
        <v>43</v>
      </c>
      <c r="D23" s="531"/>
      <c r="E23" s="518"/>
      <c r="F23" s="519"/>
      <c r="G23" s="518"/>
      <c r="H23" s="523"/>
      <c r="I23" s="518"/>
      <c r="P23" s="20"/>
      <c r="Q23" s="20"/>
      <c r="R23" s="20"/>
      <c r="S23" s="20"/>
      <c r="T23" s="20"/>
      <c r="U23" s="20"/>
    </row>
    <row r="24" spans="1:21" x14ac:dyDescent="0.2">
      <c r="A24" s="755">
        <v>15</v>
      </c>
      <c r="B24" s="521" t="s">
        <v>44</v>
      </c>
      <c r="C24" s="522" t="s">
        <v>45</v>
      </c>
      <c r="D24" s="531">
        <f>2732+23</f>
        <v>2755</v>
      </c>
      <c r="E24" s="518"/>
      <c r="F24" s="519"/>
      <c r="G24" s="518"/>
      <c r="H24" s="523"/>
      <c r="I24" s="518"/>
      <c r="P24" s="20"/>
      <c r="Q24" s="20"/>
      <c r="R24" s="20"/>
      <c r="S24" s="20"/>
      <c r="T24" s="20"/>
      <c r="U24" s="20"/>
    </row>
    <row r="25" spans="1:21" x14ac:dyDescent="0.2">
      <c r="A25" s="755">
        <v>16</v>
      </c>
      <c r="B25" s="521" t="s">
        <v>46</v>
      </c>
      <c r="C25" s="522" t="s">
        <v>47</v>
      </c>
      <c r="D25" s="531">
        <f>4410+45</f>
        <v>4455</v>
      </c>
      <c r="E25" s="518"/>
      <c r="F25" s="519"/>
      <c r="G25" s="518"/>
      <c r="H25" s="523"/>
      <c r="I25" s="518"/>
      <c r="P25" s="20"/>
      <c r="Q25" s="20"/>
      <c r="R25" s="20"/>
      <c r="S25" s="20"/>
      <c r="T25" s="20"/>
      <c r="U25" s="20"/>
    </row>
    <row r="26" spans="1:21" x14ac:dyDescent="0.2">
      <c r="A26" s="755">
        <v>17</v>
      </c>
      <c r="B26" s="521" t="s">
        <v>48</v>
      </c>
      <c r="C26" s="522" t="s">
        <v>49</v>
      </c>
      <c r="D26" s="531">
        <f>4445-200</f>
        <v>4245</v>
      </c>
      <c r="E26" s="518"/>
      <c r="F26" s="519"/>
      <c r="G26" s="518"/>
      <c r="H26" s="523"/>
      <c r="I26" s="518"/>
      <c r="P26" s="20"/>
      <c r="Q26" s="20"/>
      <c r="R26" s="20"/>
      <c r="S26" s="20"/>
      <c r="T26" s="20"/>
      <c r="U26" s="20"/>
    </row>
    <row r="27" spans="1:21" x14ac:dyDescent="0.2">
      <c r="A27" s="755">
        <v>18</v>
      </c>
      <c r="B27" s="521" t="s">
        <v>50</v>
      </c>
      <c r="C27" s="522" t="s">
        <v>51</v>
      </c>
      <c r="D27" s="531">
        <f>10090+24</f>
        <v>10114</v>
      </c>
      <c r="E27" s="518">
        <v>81</v>
      </c>
      <c r="F27" s="519"/>
      <c r="G27" s="518"/>
      <c r="H27" s="523">
        <v>113</v>
      </c>
      <c r="I27" s="518">
        <v>1240</v>
      </c>
      <c r="P27" s="20"/>
      <c r="Q27" s="20"/>
      <c r="R27" s="20"/>
      <c r="S27" s="20"/>
      <c r="T27" s="20"/>
      <c r="U27" s="20"/>
    </row>
    <row r="28" spans="1:21" x14ac:dyDescent="0.2">
      <c r="A28" s="755">
        <v>19</v>
      </c>
      <c r="B28" s="516" t="s">
        <v>52</v>
      </c>
      <c r="C28" s="517" t="s">
        <v>53</v>
      </c>
      <c r="D28" s="531">
        <v>1051</v>
      </c>
      <c r="E28" s="518"/>
      <c r="F28" s="519"/>
      <c r="G28" s="518"/>
      <c r="H28" s="523"/>
      <c r="I28" s="518"/>
      <c r="P28" s="20"/>
      <c r="Q28" s="20"/>
      <c r="R28" s="20"/>
      <c r="S28" s="20"/>
      <c r="T28" s="20"/>
      <c r="U28" s="20"/>
    </row>
    <row r="29" spans="1:21" x14ac:dyDescent="0.2">
      <c r="A29" s="755">
        <v>20</v>
      </c>
      <c r="B29" s="516" t="s">
        <v>54</v>
      </c>
      <c r="C29" s="517" t="s">
        <v>55</v>
      </c>
      <c r="D29" s="531">
        <v>1970</v>
      </c>
      <c r="E29" s="518"/>
      <c r="F29" s="519"/>
      <c r="G29" s="518"/>
      <c r="H29" s="523"/>
      <c r="I29" s="518"/>
      <c r="P29" s="20"/>
      <c r="Q29" s="20"/>
      <c r="R29" s="20"/>
      <c r="S29" s="20"/>
      <c r="T29" s="20"/>
      <c r="U29" s="20"/>
    </row>
    <row r="30" spans="1:21" x14ac:dyDescent="0.2">
      <c r="A30" s="755">
        <v>21</v>
      </c>
      <c r="B30" s="516" t="s">
        <v>56</v>
      </c>
      <c r="C30" s="517" t="s">
        <v>57</v>
      </c>
      <c r="D30" s="531">
        <v>6944</v>
      </c>
      <c r="E30" s="518"/>
      <c r="F30" s="519"/>
      <c r="G30" s="518"/>
      <c r="H30" s="523">
        <v>28</v>
      </c>
      <c r="I30" s="518">
        <v>310</v>
      </c>
      <c r="P30" s="20"/>
      <c r="Q30" s="20"/>
      <c r="R30" s="20"/>
      <c r="S30" s="20"/>
      <c r="T30" s="20"/>
      <c r="U30" s="20"/>
    </row>
    <row r="31" spans="1:21" x14ac:dyDescent="0.2">
      <c r="A31" s="755">
        <v>22</v>
      </c>
      <c r="B31" s="516" t="s">
        <v>58</v>
      </c>
      <c r="C31" s="517" t="s">
        <v>59</v>
      </c>
      <c r="D31" s="531">
        <f>2892+1500+200</f>
        <v>4592</v>
      </c>
      <c r="E31" s="518">
        <v>81</v>
      </c>
      <c r="F31" s="519"/>
      <c r="G31" s="518"/>
      <c r="H31" s="523"/>
      <c r="I31" s="518"/>
      <c r="P31" s="20"/>
      <c r="Q31" s="20"/>
      <c r="R31" s="20"/>
      <c r="S31" s="20"/>
      <c r="T31" s="20"/>
      <c r="U31" s="20"/>
    </row>
    <row r="32" spans="1:21" x14ac:dyDescent="0.2">
      <c r="A32" s="755">
        <v>23</v>
      </c>
      <c r="B32" s="521" t="s">
        <v>60</v>
      </c>
      <c r="C32" s="522" t="s">
        <v>61</v>
      </c>
      <c r="D32" s="531"/>
      <c r="E32" s="518"/>
      <c r="F32" s="519"/>
      <c r="G32" s="518"/>
      <c r="H32" s="520"/>
      <c r="I32" s="518"/>
      <c r="P32" s="20"/>
      <c r="Q32" s="20"/>
      <c r="R32" s="20"/>
      <c r="S32" s="20"/>
      <c r="T32" s="20"/>
      <c r="U32" s="20"/>
    </row>
    <row r="33" spans="1:21" x14ac:dyDescent="0.2">
      <c r="A33" s="755">
        <v>24</v>
      </c>
      <c r="B33" s="521" t="s">
        <v>62</v>
      </c>
      <c r="C33" s="522" t="s">
        <v>63</v>
      </c>
      <c r="D33" s="531"/>
      <c r="E33" s="518"/>
      <c r="F33" s="519"/>
      <c r="G33" s="518"/>
      <c r="H33" s="520"/>
      <c r="I33" s="518"/>
      <c r="P33" s="20"/>
      <c r="Q33" s="20"/>
      <c r="R33" s="20"/>
      <c r="S33" s="20"/>
      <c r="T33" s="20"/>
      <c r="U33" s="20"/>
    </row>
    <row r="34" spans="1:21" ht="25.5" x14ac:dyDescent="0.2">
      <c r="A34" s="755">
        <v>25</v>
      </c>
      <c r="B34" s="521" t="s">
        <v>64</v>
      </c>
      <c r="C34" s="522" t="s">
        <v>65</v>
      </c>
      <c r="D34" s="531"/>
      <c r="E34" s="518"/>
      <c r="F34" s="519"/>
      <c r="G34" s="518"/>
      <c r="H34" s="520"/>
      <c r="I34" s="518"/>
      <c r="P34" s="20"/>
      <c r="Q34" s="20"/>
      <c r="R34" s="20"/>
      <c r="S34" s="20"/>
      <c r="T34" s="20"/>
      <c r="U34" s="20"/>
    </row>
    <row r="35" spans="1:21" x14ac:dyDescent="0.2">
      <c r="A35" s="755">
        <v>26</v>
      </c>
      <c r="B35" s="516" t="s">
        <v>66</v>
      </c>
      <c r="C35" s="524" t="s">
        <v>67</v>
      </c>
      <c r="D35" s="531">
        <f>0+3800+293</f>
        <v>4093</v>
      </c>
      <c r="E35" s="518"/>
      <c r="F35" s="519"/>
      <c r="G35" s="518"/>
      <c r="H35" s="520"/>
      <c r="I35" s="518"/>
      <c r="P35" s="20"/>
      <c r="Q35" s="20"/>
      <c r="R35" s="20"/>
      <c r="S35" s="20"/>
      <c r="T35" s="20"/>
      <c r="U35" s="20"/>
    </row>
    <row r="36" spans="1:21" x14ac:dyDescent="0.2">
      <c r="A36" s="755">
        <v>27</v>
      </c>
      <c r="B36" s="521" t="s">
        <v>68</v>
      </c>
      <c r="C36" s="522" t="s">
        <v>69</v>
      </c>
      <c r="D36" s="531">
        <f>6514-3800-293</f>
        <v>2421</v>
      </c>
      <c r="E36" s="518"/>
      <c r="F36" s="519"/>
      <c r="G36" s="518"/>
      <c r="H36" s="520"/>
      <c r="I36" s="518"/>
      <c r="P36" s="20"/>
      <c r="Q36" s="20"/>
      <c r="R36" s="20"/>
      <c r="S36" s="20"/>
      <c r="T36" s="20"/>
      <c r="U36" s="20"/>
    </row>
    <row r="37" spans="1:21" x14ac:dyDescent="0.2">
      <c r="A37" s="755">
        <v>28</v>
      </c>
      <c r="B37" s="521" t="s">
        <v>70</v>
      </c>
      <c r="C37" s="522" t="s">
        <v>71</v>
      </c>
      <c r="D37" s="531"/>
      <c r="E37" s="518"/>
      <c r="F37" s="519"/>
      <c r="G37" s="518"/>
      <c r="H37" s="520"/>
      <c r="I37" s="518"/>
      <c r="P37" s="20"/>
      <c r="Q37" s="20"/>
      <c r="R37" s="20"/>
      <c r="S37" s="20"/>
      <c r="T37" s="20"/>
      <c r="U37" s="20"/>
    </row>
    <row r="38" spans="1:21" x14ac:dyDescent="0.2">
      <c r="A38" s="755">
        <v>29</v>
      </c>
      <c r="B38" s="516" t="s">
        <v>72</v>
      </c>
      <c r="C38" s="517" t="s">
        <v>73</v>
      </c>
      <c r="D38" s="531"/>
      <c r="E38" s="518"/>
      <c r="F38" s="519"/>
      <c r="G38" s="518"/>
      <c r="H38" s="520"/>
      <c r="I38" s="518"/>
      <c r="P38" s="20"/>
      <c r="Q38" s="20"/>
      <c r="R38" s="20"/>
      <c r="S38" s="20"/>
      <c r="T38" s="20"/>
      <c r="U38" s="20"/>
    </row>
    <row r="39" spans="1:21" ht="38.25" x14ac:dyDescent="0.2">
      <c r="A39" s="755">
        <v>30</v>
      </c>
      <c r="B39" s="516" t="s">
        <v>74</v>
      </c>
      <c r="C39" s="524" t="s">
        <v>377</v>
      </c>
      <c r="D39" s="531"/>
      <c r="E39" s="518"/>
      <c r="F39" s="519"/>
      <c r="G39" s="518"/>
      <c r="H39" s="520"/>
      <c r="I39" s="518"/>
      <c r="P39" s="20"/>
      <c r="Q39" s="20"/>
      <c r="R39" s="20"/>
      <c r="S39" s="20"/>
      <c r="T39" s="20"/>
      <c r="U39" s="20"/>
    </row>
    <row r="40" spans="1:21" ht="25.5" x14ac:dyDescent="0.2">
      <c r="A40" s="755">
        <v>31</v>
      </c>
      <c r="B40" s="516" t="s">
        <v>75</v>
      </c>
      <c r="C40" s="517" t="s">
        <v>76</v>
      </c>
      <c r="D40" s="531"/>
      <c r="E40" s="518"/>
      <c r="F40" s="519"/>
      <c r="G40" s="518"/>
      <c r="H40" s="520"/>
      <c r="I40" s="518"/>
      <c r="P40" s="20"/>
      <c r="Q40" s="20"/>
      <c r="R40" s="20"/>
      <c r="S40" s="20"/>
      <c r="T40" s="20"/>
      <c r="U40" s="20"/>
    </row>
    <row r="41" spans="1:21" x14ac:dyDescent="0.2">
      <c r="A41" s="755">
        <v>32</v>
      </c>
      <c r="B41" s="521" t="s">
        <v>77</v>
      </c>
      <c r="C41" s="522" t="s">
        <v>78</v>
      </c>
      <c r="D41" s="531">
        <f>5382+943</f>
        <v>6325</v>
      </c>
      <c r="E41" s="518">
        <v>81</v>
      </c>
      <c r="F41" s="519"/>
      <c r="G41" s="518"/>
      <c r="H41" s="520"/>
      <c r="I41" s="518"/>
      <c r="P41" s="20"/>
      <c r="Q41" s="20"/>
      <c r="R41" s="20"/>
      <c r="S41" s="20"/>
      <c r="T41" s="20"/>
      <c r="U41" s="20"/>
    </row>
    <row r="42" spans="1:21" x14ac:dyDescent="0.2">
      <c r="A42" s="755">
        <v>33</v>
      </c>
      <c r="B42" s="516" t="s">
        <v>79</v>
      </c>
      <c r="C42" s="517" t="s">
        <v>80</v>
      </c>
      <c r="D42" s="531"/>
      <c r="E42" s="518"/>
      <c r="F42" s="519"/>
      <c r="G42" s="518"/>
      <c r="H42" s="520"/>
      <c r="I42" s="518"/>
      <c r="P42" s="20"/>
      <c r="Q42" s="20"/>
      <c r="R42" s="20"/>
      <c r="S42" s="20"/>
      <c r="T42" s="20"/>
      <c r="U42" s="20"/>
    </row>
    <row r="43" spans="1:21" x14ac:dyDescent="0.2">
      <c r="A43" s="755">
        <v>34</v>
      </c>
      <c r="B43" s="764" t="s">
        <v>81</v>
      </c>
      <c r="C43" s="524" t="s">
        <v>82</v>
      </c>
      <c r="D43" s="531">
        <f>2843+23</f>
        <v>2866</v>
      </c>
      <c r="E43" s="518"/>
      <c r="F43" s="519"/>
      <c r="G43" s="518"/>
      <c r="H43" s="520"/>
      <c r="I43" s="518"/>
      <c r="P43" s="20"/>
      <c r="Q43" s="20"/>
      <c r="R43" s="20"/>
      <c r="S43" s="20"/>
      <c r="T43" s="20"/>
      <c r="U43" s="20"/>
    </row>
    <row r="44" spans="1:21" x14ac:dyDescent="0.2">
      <c r="A44" s="755">
        <v>35</v>
      </c>
      <c r="B44" s="516" t="s">
        <v>83</v>
      </c>
      <c r="C44" s="517" t="s">
        <v>84</v>
      </c>
      <c r="D44" s="531">
        <f>7988+23</f>
        <v>8011</v>
      </c>
      <c r="E44" s="518"/>
      <c r="F44" s="519"/>
      <c r="G44" s="518"/>
      <c r="H44" s="520"/>
      <c r="I44" s="518"/>
      <c r="P44" s="20"/>
      <c r="Q44" s="20"/>
      <c r="R44" s="20"/>
      <c r="S44" s="20"/>
      <c r="T44" s="20"/>
      <c r="U44" s="20"/>
    </row>
    <row r="45" spans="1:21" x14ac:dyDescent="0.2">
      <c r="A45" s="755">
        <v>36</v>
      </c>
      <c r="B45" s="516" t="s">
        <v>85</v>
      </c>
      <c r="C45" s="517" t="s">
        <v>86</v>
      </c>
      <c r="D45" s="531">
        <f>2039+500</f>
        <v>2539</v>
      </c>
      <c r="E45" s="518"/>
      <c r="F45" s="519"/>
      <c r="G45" s="518"/>
      <c r="H45" s="520"/>
      <c r="I45" s="518"/>
      <c r="P45" s="20"/>
      <c r="Q45" s="20"/>
      <c r="R45" s="20"/>
      <c r="S45" s="20"/>
      <c r="T45" s="20"/>
      <c r="U45" s="20"/>
    </row>
    <row r="46" spans="1:21" x14ac:dyDescent="0.2">
      <c r="A46" s="755">
        <v>37</v>
      </c>
      <c r="B46" s="521" t="s">
        <v>87</v>
      </c>
      <c r="C46" s="522" t="s">
        <v>88</v>
      </c>
      <c r="D46" s="531">
        <f>5677+292</f>
        <v>5969</v>
      </c>
      <c r="E46" s="518"/>
      <c r="F46" s="519"/>
      <c r="G46" s="518"/>
      <c r="H46" s="520"/>
      <c r="I46" s="518"/>
      <c r="P46" s="20"/>
      <c r="Q46" s="20"/>
      <c r="R46" s="20"/>
      <c r="S46" s="20"/>
      <c r="T46" s="20"/>
      <c r="U46" s="20"/>
    </row>
    <row r="47" spans="1:21" x14ac:dyDescent="0.2">
      <c r="A47" s="755">
        <v>38</v>
      </c>
      <c r="B47" s="516" t="s">
        <v>89</v>
      </c>
      <c r="C47" s="517" t="s">
        <v>90</v>
      </c>
      <c r="D47" s="531">
        <f>2496+45</f>
        <v>2541</v>
      </c>
      <c r="E47" s="518"/>
      <c r="F47" s="519"/>
      <c r="G47" s="518"/>
      <c r="H47" s="520"/>
      <c r="I47" s="518"/>
      <c r="P47" s="20"/>
      <c r="Q47" s="20"/>
      <c r="R47" s="20"/>
      <c r="S47" s="20"/>
      <c r="T47" s="20"/>
      <c r="U47" s="20"/>
    </row>
    <row r="48" spans="1:21" x14ac:dyDescent="0.2">
      <c r="A48" s="755">
        <v>39</v>
      </c>
      <c r="B48" s="516" t="s">
        <v>91</v>
      </c>
      <c r="C48" s="517" t="s">
        <v>92</v>
      </c>
      <c r="D48" s="531">
        <f>1268+23</f>
        <v>1291</v>
      </c>
      <c r="E48" s="518"/>
      <c r="F48" s="519"/>
      <c r="G48" s="518"/>
      <c r="H48" s="520"/>
      <c r="I48" s="518"/>
      <c r="P48" s="20"/>
      <c r="Q48" s="20"/>
      <c r="R48" s="20"/>
      <c r="S48" s="20"/>
      <c r="T48" s="20"/>
      <c r="U48" s="20"/>
    </row>
    <row r="49" spans="1:21" x14ac:dyDescent="0.2">
      <c r="A49" s="755">
        <v>40</v>
      </c>
      <c r="B49" s="529" t="s">
        <v>93</v>
      </c>
      <c r="C49" s="530" t="s">
        <v>94</v>
      </c>
      <c r="D49" s="531">
        <f>2226+45</f>
        <v>2271</v>
      </c>
      <c r="E49" s="518"/>
      <c r="F49" s="519"/>
      <c r="G49" s="518"/>
      <c r="H49" s="520"/>
      <c r="I49" s="518"/>
      <c r="P49" s="20"/>
      <c r="Q49" s="20"/>
      <c r="R49" s="20"/>
      <c r="S49" s="20"/>
      <c r="T49" s="20"/>
      <c r="U49" s="20"/>
    </row>
    <row r="50" spans="1:21" x14ac:dyDescent="0.2">
      <c r="A50" s="755">
        <v>41</v>
      </c>
      <c r="B50" s="516" t="s">
        <v>95</v>
      </c>
      <c r="C50" s="517" t="s">
        <v>96</v>
      </c>
      <c r="D50" s="531">
        <f>2042+23</f>
        <v>2065</v>
      </c>
      <c r="E50" s="518"/>
      <c r="F50" s="519"/>
      <c r="G50" s="518"/>
      <c r="H50" s="520"/>
      <c r="I50" s="518"/>
      <c r="P50" s="20"/>
      <c r="Q50" s="20"/>
      <c r="R50" s="20"/>
      <c r="S50" s="20"/>
      <c r="T50" s="20"/>
      <c r="U50" s="20"/>
    </row>
    <row r="51" spans="1:21" x14ac:dyDescent="0.2">
      <c r="A51" s="755">
        <v>42</v>
      </c>
      <c r="B51" s="764" t="s">
        <v>97</v>
      </c>
      <c r="C51" s="524" t="s">
        <v>98</v>
      </c>
      <c r="D51" s="531"/>
      <c r="E51" s="518"/>
      <c r="F51" s="519"/>
      <c r="G51" s="518"/>
      <c r="H51" s="520"/>
      <c r="I51" s="518"/>
      <c r="P51" s="20"/>
      <c r="Q51" s="20"/>
      <c r="R51" s="20"/>
      <c r="S51" s="20"/>
      <c r="T51" s="20"/>
      <c r="U51" s="20"/>
    </row>
    <row r="52" spans="1:21" x14ac:dyDescent="0.2">
      <c r="A52" s="755">
        <v>43</v>
      </c>
      <c r="B52" s="521" t="s">
        <v>99</v>
      </c>
      <c r="C52" s="522" t="s">
        <v>100</v>
      </c>
      <c r="D52" s="531">
        <f>8474+23</f>
        <v>8497</v>
      </c>
      <c r="E52" s="518">
        <v>81</v>
      </c>
      <c r="F52" s="519"/>
      <c r="G52" s="518"/>
      <c r="H52" s="520"/>
      <c r="I52" s="518"/>
      <c r="P52" s="20"/>
      <c r="Q52" s="20"/>
      <c r="R52" s="20"/>
      <c r="S52" s="20"/>
      <c r="T52" s="20"/>
      <c r="U52" s="20"/>
    </row>
    <row r="53" spans="1:21" x14ac:dyDescent="0.2">
      <c r="A53" s="755">
        <v>44</v>
      </c>
      <c r="B53" s="516" t="s">
        <v>101</v>
      </c>
      <c r="C53" s="517" t="s">
        <v>102</v>
      </c>
      <c r="D53" s="531">
        <f>2678+23</f>
        <v>2701</v>
      </c>
      <c r="E53" s="518"/>
      <c r="F53" s="519"/>
      <c r="G53" s="518"/>
      <c r="H53" s="520"/>
      <c r="I53" s="518"/>
      <c r="P53" s="20"/>
      <c r="Q53" s="20"/>
      <c r="R53" s="20"/>
      <c r="S53" s="20"/>
      <c r="T53" s="20"/>
      <c r="U53" s="20"/>
    </row>
    <row r="54" spans="1:21" ht="11.25" customHeight="1" x14ac:dyDescent="0.2">
      <c r="A54" s="755">
        <v>45</v>
      </c>
      <c r="B54" s="521" t="s">
        <v>103</v>
      </c>
      <c r="C54" s="522" t="s">
        <v>104</v>
      </c>
      <c r="D54" s="531">
        <f>7412+23</f>
        <v>7435</v>
      </c>
      <c r="E54" s="518"/>
      <c r="F54" s="519"/>
      <c r="G54" s="518"/>
      <c r="H54" s="523">
        <v>56</v>
      </c>
      <c r="I54" s="518">
        <v>620</v>
      </c>
      <c r="P54" s="20"/>
      <c r="Q54" s="20"/>
      <c r="R54" s="20"/>
      <c r="S54" s="20"/>
      <c r="T54" s="20"/>
      <c r="U54" s="20"/>
    </row>
    <row r="55" spans="1:21" x14ac:dyDescent="0.2">
      <c r="A55" s="755">
        <v>46</v>
      </c>
      <c r="B55" s="516" t="s">
        <v>105</v>
      </c>
      <c r="C55" s="517" t="s">
        <v>106</v>
      </c>
      <c r="D55" s="531">
        <f>2271+45</f>
        <v>2316</v>
      </c>
      <c r="E55" s="518"/>
      <c r="F55" s="519"/>
      <c r="G55" s="518"/>
      <c r="H55" s="520"/>
      <c r="I55" s="518"/>
      <c r="P55" s="20"/>
      <c r="Q55" s="20"/>
      <c r="R55" s="20"/>
      <c r="S55" s="20"/>
      <c r="T55" s="20"/>
      <c r="U55" s="20"/>
    </row>
    <row r="56" spans="1:21" x14ac:dyDescent="0.2">
      <c r="A56" s="755">
        <v>47</v>
      </c>
      <c r="B56" s="516" t="s">
        <v>107</v>
      </c>
      <c r="C56" s="517" t="s">
        <v>108</v>
      </c>
      <c r="D56" s="531">
        <f>2491+45</f>
        <v>2536</v>
      </c>
      <c r="E56" s="518"/>
      <c r="F56" s="519"/>
      <c r="G56" s="518"/>
      <c r="H56" s="520"/>
      <c r="I56" s="518"/>
      <c r="P56" s="20"/>
      <c r="Q56" s="20"/>
      <c r="R56" s="20"/>
      <c r="S56" s="20"/>
      <c r="T56" s="20"/>
      <c r="U56" s="20"/>
    </row>
    <row r="57" spans="1:21" x14ac:dyDescent="0.2">
      <c r="A57" s="755">
        <v>48</v>
      </c>
      <c r="B57" s="521" t="s">
        <v>109</v>
      </c>
      <c r="C57" s="522" t="s">
        <v>110</v>
      </c>
      <c r="D57" s="531">
        <f>4282-2000</f>
        <v>2282</v>
      </c>
      <c r="E57" s="518"/>
      <c r="F57" s="519"/>
      <c r="G57" s="518"/>
      <c r="H57" s="520"/>
      <c r="I57" s="518"/>
      <c r="P57" s="20"/>
      <c r="Q57" s="20"/>
      <c r="R57" s="20"/>
      <c r="S57" s="20"/>
      <c r="T57" s="20"/>
      <c r="U57" s="20"/>
    </row>
    <row r="58" spans="1:21" x14ac:dyDescent="0.2">
      <c r="A58" s="755">
        <v>49</v>
      </c>
      <c r="B58" s="521" t="s">
        <v>111</v>
      </c>
      <c r="C58" s="522" t="s">
        <v>112</v>
      </c>
      <c r="D58" s="531">
        <v>1260</v>
      </c>
      <c r="E58" s="518"/>
      <c r="F58" s="519"/>
      <c r="G58" s="518"/>
      <c r="H58" s="520"/>
      <c r="I58" s="518"/>
      <c r="P58" s="20"/>
      <c r="Q58" s="20"/>
      <c r="R58" s="20"/>
      <c r="S58" s="20"/>
      <c r="T58" s="20"/>
      <c r="U58" s="20"/>
    </row>
    <row r="59" spans="1:21" x14ac:dyDescent="0.2">
      <c r="A59" s="755">
        <v>50</v>
      </c>
      <c r="B59" s="516" t="s">
        <v>113</v>
      </c>
      <c r="C59" s="517" t="s">
        <v>114</v>
      </c>
      <c r="D59" s="531">
        <f>2499+45</f>
        <v>2544</v>
      </c>
      <c r="E59" s="518"/>
      <c r="F59" s="519"/>
      <c r="G59" s="518"/>
      <c r="H59" s="520"/>
      <c r="I59" s="518"/>
      <c r="P59" s="20"/>
      <c r="Q59" s="20"/>
      <c r="R59" s="20"/>
      <c r="S59" s="20"/>
      <c r="T59" s="20"/>
      <c r="U59" s="20"/>
    </row>
    <row r="60" spans="1:21" x14ac:dyDescent="0.2">
      <c r="A60" s="755">
        <v>51</v>
      </c>
      <c r="B60" s="521" t="s">
        <v>115</v>
      </c>
      <c r="C60" s="522" t="s">
        <v>116</v>
      </c>
      <c r="D60" s="531">
        <f>2776+23</f>
        <v>2799</v>
      </c>
      <c r="E60" s="518"/>
      <c r="F60" s="519"/>
      <c r="G60" s="518"/>
      <c r="H60" s="520"/>
      <c r="I60" s="518"/>
      <c r="P60" s="20"/>
      <c r="Q60" s="20"/>
      <c r="R60" s="20"/>
      <c r="S60" s="20"/>
      <c r="T60" s="20"/>
      <c r="U60" s="20"/>
    </row>
    <row r="61" spans="1:21" x14ac:dyDescent="0.2">
      <c r="A61" s="755">
        <v>52</v>
      </c>
      <c r="B61" s="516" t="s">
        <v>117</v>
      </c>
      <c r="C61" s="517" t="s">
        <v>118</v>
      </c>
      <c r="D61" s="531">
        <v>10783</v>
      </c>
      <c r="E61" s="518"/>
      <c r="F61" s="519"/>
      <c r="G61" s="518"/>
      <c r="H61" s="520"/>
      <c r="I61" s="518"/>
      <c r="P61" s="20"/>
      <c r="Q61" s="20"/>
      <c r="R61" s="20"/>
      <c r="S61" s="20"/>
      <c r="T61" s="20"/>
      <c r="U61" s="20"/>
    </row>
    <row r="62" spans="1:21" x14ac:dyDescent="0.2">
      <c r="A62" s="755">
        <v>53</v>
      </c>
      <c r="B62" s="521" t="s">
        <v>119</v>
      </c>
      <c r="C62" s="522" t="s">
        <v>120</v>
      </c>
      <c r="D62" s="531">
        <v>2097</v>
      </c>
      <c r="E62" s="518"/>
      <c r="F62" s="519"/>
      <c r="G62" s="518"/>
      <c r="H62" s="520"/>
      <c r="I62" s="518"/>
      <c r="P62" s="20"/>
      <c r="Q62" s="20"/>
      <c r="R62" s="20"/>
      <c r="S62" s="20"/>
      <c r="T62" s="20"/>
      <c r="U62" s="20"/>
    </row>
    <row r="63" spans="1:21" x14ac:dyDescent="0.2">
      <c r="A63" s="755">
        <v>54</v>
      </c>
      <c r="B63" s="521" t="s">
        <v>121</v>
      </c>
      <c r="C63" s="522" t="s">
        <v>122</v>
      </c>
      <c r="D63" s="531"/>
      <c r="E63" s="518"/>
      <c r="F63" s="519"/>
      <c r="G63" s="518"/>
      <c r="H63" s="520"/>
      <c r="I63" s="518"/>
      <c r="P63" s="20"/>
      <c r="Q63" s="20"/>
      <c r="R63" s="20"/>
      <c r="S63" s="20"/>
      <c r="T63" s="20"/>
      <c r="U63" s="20"/>
    </row>
    <row r="64" spans="1:21" x14ac:dyDescent="0.2">
      <c r="A64" s="755">
        <v>55</v>
      </c>
      <c r="B64" s="521" t="s">
        <v>123</v>
      </c>
      <c r="C64" s="522" t="s">
        <v>124</v>
      </c>
      <c r="D64" s="531"/>
      <c r="E64" s="518"/>
      <c r="F64" s="519"/>
      <c r="G64" s="518"/>
      <c r="H64" s="520"/>
      <c r="I64" s="518"/>
      <c r="P64" s="20"/>
      <c r="Q64" s="20"/>
      <c r="R64" s="20"/>
      <c r="S64" s="20"/>
      <c r="T64" s="20"/>
      <c r="U64" s="20"/>
    </row>
    <row r="65" spans="1:21" ht="25.5" x14ac:dyDescent="0.2">
      <c r="A65" s="755">
        <v>56</v>
      </c>
      <c r="B65" s="756" t="s">
        <v>125</v>
      </c>
      <c r="C65" s="532" t="s">
        <v>126</v>
      </c>
      <c r="D65" s="531"/>
      <c r="E65" s="518"/>
      <c r="F65" s="519"/>
      <c r="G65" s="518"/>
      <c r="H65" s="520"/>
      <c r="I65" s="518"/>
      <c r="P65" s="20"/>
      <c r="Q65" s="20"/>
      <c r="R65" s="20"/>
      <c r="S65" s="20"/>
      <c r="T65" s="20"/>
      <c r="U65" s="20"/>
    </row>
    <row r="66" spans="1:21" ht="25.5" x14ac:dyDescent="0.2">
      <c r="A66" s="755">
        <v>57</v>
      </c>
      <c r="B66" s="521" t="s">
        <v>127</v>
      </c>
      <c r="C66" s="522" t="s">
        <v>128</v>
      </c>
      <c r="D66" s="531"/>
      <c r="E66" s="518"/>
      <c r="F66" s="519"/>
      <c r="G66" s="518"/>
      <c r="H66" s="520"/>
      <c r="I66" s="518"/>
      <c r="P66" s="20"/>
      <c r="Q66" s="20"/>
      <c r="R66" s="20"/>
      <c r="S66" s="20"/>
      <c r="T66" s="20"/>
      <c r="U66" s="20"/>
    </row>
    <row r="67" spans="1:21" ht="25.5" x14ac:dyDescent="0.2">
      <c r="A67" s="755">
        <v>58</v>
      </c>
      <c r="B67" s="521" t="s">
        <v>129</v>
      </c>
      <c r="C67" s="522" t="s">
        <v>459</v>
      </c>
      <c r="D67" s="531"/>
      <c r="E67" s="518"/>
      <c r="F67" s="519"/>
      <c r="G67" s="518"/>
      <c r="H67" s="520"/>
      <c r="I67" s="518"/>
      <c r="P67" s="20"/>
      <c r="Q67" s="20"/>
      <c r="R67" s="20"/>
      <c r="S67" s="20"/>
      <c r="T67" s="20"/>
      <c r="U67" s="20"/>
    </row>
    <row r="68" spans="1:21" ht="25.5" x14ac:dyDescent="0.2">
      <c r="A68" s="755">
        <v>59</v>
      </c>
      <c r="B68" s="521" t="s">
        <v>131</v>
      </c>
      <c r="C68" s="522" t="s">
        <v>132</v>
      </c>
      <c r="D68" s="531"/>
      <c r="E68" s="518"/>
      <c r="F68" s="519"/>
      <c r="G68" s="518"/>
      <c r="H68" s="520"/>
      <c r="I68" s="518"/>
      <c r="P68" s="20"/>
      <c r="Q68" s="20"/>
      <c r="R68" s="20"/>
      <c r="S68" s="20"/>
      <c r="T68" s="20"/>
      <c r="U68" s="20"/>
    </row>
    <row r="69" spans="1:21" ht="25.5" x14ac:dyDescent="0.2">
      <c r="A69" s="755">
        <v>60</v>
      </c>
      <c r="B69" s="516" t="s">
        <v>133</v>
      </c>
      <c r="C69" s="522" t="s">
        <v>299</v>
      </c>
      <c r="D69" s="531"/>
      <c r="E69" s="518"/>
      <c r="F69" s="519"/>
      <c r="G69" s="518"/>
      <c r="H69" s="520"/>
      <c r="I69" s="518"/>
      <c r="P69" s="20"/>
      <c r="Q69" s="20"/>
      <c r="R69" s="20"/>
      <c r="S69" s="20"/>
      <c r="T69" s="20"/>
      <c r="U69" s="20"/>
    </row>
    <row r="70" spans="1:21" ht="25.5" x14ac:dyDescent="0.2">
      <c r="A70" s="755">
        <v>61</v>
      </c>
      <c r="B70" s="764" t="s">
        <v>135</v>
      </c>
      <c r="C70" s="522" t="s">
        <v>461</v>
      </c>
      <c r="D70" s="531"/>
      <c r="E70" s="518"/>
      <c r="F70" s="519"/>
      <c r="G70" s="518"/>
      <c r="H70" s="520"/>
      <c r="I70" s="518"/>
      <c r="P70" s="20"/>
      <c r="Q70" s="20"/>
      <c r="R70" s="20"/>
      <c r="S70" s="20"/>
      <c r="T70" s="20"/>
      <c r="U70" s="20"/>
    </row>
    <row r="71" spans="1:21" ht="38.25" x14ac:dyDescent="0.2">
      <c r="A71" s="755">
        <v>62</v>
      </c>
      <c r="B71" s="516" t="s">
        <v>137</v>
      </c>
      <c r="C71" s="522" t="s">
        <v>639</v>
      </c>
      <c r="D71" s="531"/>
      <c r="E71" s="518"/>
      <c r="F71" s="519"/>
      <c r="G71" s="518"/>
      <c r="H71" s="520"/>
      <c r="I71" s="518"/>
      <c r="P71" s="20"/>
      <c r="Q71" s="20"/>
      <c r="R71" s="20"/>
      <c r="S71" s="20"/>
      <c r="T71" s="20"/>
      <c r="U71" s="20"/>
    </row>
    <row r="72" spans="1:21" ht="38.25" x14ac:dyDescent="0.2">
      <c r="A72" s="755">
        <v>63</v>
      </c>
      <c r="B72" s="521" t="s">
        <v>139</v>
      </c>
      <c r="C72" s="522" t="s">
        <v>640</v>
      </c>
      <c r="D72" s="531"/>
      <c r="E72" s="518"/>
      <c r="F72" s="519"/>
      <c r="G72" s="518"/>
      <c r="H72" s="520"/>
      <c r="I72" s="518"/>
      <c r="P72" s="20"/>
      <c r="Q72" s="20"/>
      <c r="R72" s="20"/>
      <c r="S72" s="20"/>
      <c r="T72" s="20"/>
      <c r="U72" s="20"/>
    </row>
    <row r="73" spans="1:21" x14ac:dyDescent="0.2">
      <c r="A73" s="755">
        <v>64</v>
      </c>
      <c r="B73" s="516" t="s">
        <v>141</v>
      </c>
      <c r="C73" s="522" t="s">
        <v>456</v>
      </c>
      <c r="D73" s="531"/>
      <c r="E73" s="518"/>
      <c r="F73" s="519"/>
      <c r="G73" s="518"/>
      <c r="H73" s="520"/>
      <c r="I73" s="518"/>
      <c r="P73" s="20"/>
      <c r="Q73" s="20"/>
      <c r="R73" s="20"/>
      <c r="S73" s="20"/>
      <c r="T73" s="20"/>
      <c r="U73" s="20"/>
    </row>
    <row r="74" spans="1:21" x14ac:dyDescent="0.2">
      <c r="A74" s="755">
        <v>65</v>
      </c>
      <c r="B74" s="516" t="s">
        <v>143</v>
      </c>
      <c r="C74" s="522" t="s">
        <v>144</v>
      </c>
      <c r="D74" s="531"/>
      <c r="E74" s="518"/>
      <c r="F74" s="519"/>
      <c r="G74" s="518"/>
      <c r="H74" s="520"/>
      <c r="I74" s="518"/>
      <c r="P74" s="20"/>
      <c r="Q74" s="20"/>
      <c r="R74" s="20"/>
      <c r="S74" s="20"/>
      <c r="T74" s="20"/>
      <c r="U74" s="20"/>
    </row>
    <row r="75" spans="1:21" x14ac:dyDescent="0.2">
      <c r="A75" s="755">
        <v>66</v>
      </c>
      <c r="B75" s="516" t="s">
        <v>145</v>
      </c>
      <c r="C75" s="522" t="s">
        <v>457</v>
      </c>
      <c r="D75" s="531"/>
      <c r="E75" s="518"/>
      <c r="F75" s="519"/>
      <c r="G75" s="518"/>
      <c r="H75" s="520"/>
      <c r="I75" s="518"/>
      <c r="P75" s="20"/>
      <c r="Q75" s="20"/>
      <c r="R75" s="20"/>
      <c r="S75" s="20"/>
      <c r="T75" s="20"/>
      <c r="U75" s="20"/>
    </row>
    <row r="76" spans="1:21" ht="25.5" x14ac:dyDescent="0.2">
      <c r="A76" s="755">
        <v>67</v>
      </c>
      <c r="B76" s="516" t="s">
        <v>147</v>
      </c>
      <c r="C76" s="522" t="s">
        <v>641</v>
      </c>
      <c r="D76" s="531"/>
      <c r="E76" s="518"/>
      <c r="F76" s="519"/>
      <c r="G76" s="518"/>
      <c r="H76" s="520"/>
      <c r="I76" s="518"/>
      <c r="P76" s="20"/>
      <c r="Q76" s="20"/>
      <c r="R76" s="20"/>
      <c r="S76" s="20"/>
      <c r="T76" s="20"/>
      <c r="U76" s="20"/>
    </row>
    <row r="77" spans="1:21" ht="25.5" x14ac:dyDescent="0.2">
      <c r="A77" s="755">
        <v>68</v>
      </c>
      <c r="B77" s="516" t="s">
        <v>149</v>
      </c>
      <c r="C77" s="522" t="s">
        <v>463</v>
      </c>
      <c r="D77" s="531"/>
      <c r="E77" s="518"/>
      <c r="F77" s="519"/>
      <c r="G77" s="518"/>
      <c r="H77" s="520"/>
      <c r="I77" s="518"/>
      <c r="P77" s="20"/>
      <c r="Q77" s="20"/>
      <c r="R77" s="20"/>
      <c r="S77" s="20"/>
      <c r="T77" s="20"/>
      <c r="U77" s="20"/>
    </row>
    <row r="78" spans="1:21" ht="25.5" x14ac:dyDescent="0.2">
      <c r="A78" s="755">
        <v>69</v>
      </c>
      <c r="B78" s="516" t="s">
        <v>151</v>
      </c>
      <c r="C78" s="522" t="s">
        <v>642</v>
      </c>
      <c r="D78" s="531"/>
      <c r="E78" s="518"/>
      <c r="F78" s="519"/>
      <c r="G78" s="518"/>
      <c r="H78" s="520"/>
      <c r="I78" s="518"/>
      <c r="P78" s="20"/>
      <c r="Q78" s="20"/>
      <c r="R78" s="20"/>
      <c r="S78" s="20"/>
      <c r="T78" s="20"/>
      <c r="U78" s="20"/>
    </row>
    <row r="79" spans="1:21" ht="25.5" x14ac:dyDescent="0.2">
      <c r="A79" s="755">
        <v>70</v>
      </c>
      <c r="B79" s="516" t="s">
        <v>153</v>
      </c>
      <c r="C79" s="522" t="s">
        <v>643</v>
      </c>
      <c r="D79" s="531"/>
      <c r="E79" s="518"/>
      <c r="F79" s="519"/>
      <c r="G79" s="518"/>
      <c r="H79" s="520"/>
      <c r="I79" s="518"/>
      <c r="P79" s="20"/>
      <c r="Q79" s="20"/>
      <c r="R79" s="20"/>
      <c r="S79" s="20"/>
      <c r="T79" s="20"/>
      <c r="U79" s="20"/>
    </row>
    <row r="80" spans="1:21" ht="25.5" x14ac:dyDescent="0.2">
      <c r="A80" s="755">
        <v>71</v>
      </c>
      <c r="B80" s="521" t="s">
        <v>155</v>
      </c>
      <c r="C80" s="522" t="s">
        <v>644</v>
      </c>
      <c r="D80" s="531"/>
      <c r="E80" s="518"/>
      <c r="F80" s="519"/>
      <c r="G80" s="518"/>
      <c r="H80" s="520"/>
      <c r="I80" s="518"/>
      <c r="P80" s="20"/>
      <c r="Q80" s="20"/>
      <c r="R80" s="20"/>
      <c r="S80" s="20"/>
      <c r="T80" s="20"/>
      <c r="U80" s="20"/>
    </row>
    <row r="81" spans="1:21" ht="25.5" x14ac:dyDescent="0.2">
      <c r="A81" s="755">
        <v>72</v>
      </c>
      <c r="B81" s="516" t="s">
        <v>157</v>
      </c>
      <c r="C81" s="517" t="s">
        <v>645</v>
      </c>
      <c r="D81" s="531"/>
      <c r="E81" s="518"/>
      <c r="F81" s="519"/>
      <c r="G81" s="518"/>
      <c r="H81" s="520"/>
      <c r="I81" s="518"/>
      <c r="P81" s="20"/>
      <c r="Q81" s="20"/>
      <c r="R81" s="20"/>
      <c r="S81" s="20"/>
      <c r="T81" s="20"/>
      <c r="U81" s="20"/>
    </row>
    <row r="82" spans="1:21" ht="25.5" x14ac:dyDescent="0.2">
      <c r="A82" s="755">
        <v>73</v>
      </c>
      <c r="B82" s="521" t="s">
        <v>159</v>
      </c>
      <c r="C82" s="522" t="s">
        <v>646</v>
      </c>
      <c r="D82" s="531"/>
      <c r="E82" s="518"/>
      <c r="F82" s="519"/>
      <c r="G82" s="518"/>
      <c r="H82" s="520"/>
      <c r="I82" s="518"/>
      <c r="P82" s="20"/>
      <c r="Q82" s="20"/>
      <c r="R82" s="20"/>
      <c r="S82" s="20"/>
      <c r="T82" s="20"/>
      <c r="U82" s="20"/>
    </row>
    <row r="83" spans="1:21" ht="25.5" x14ac:dyDescent="0.2">
      <c r="A83" s="755">
        <v>74</v>
      </c>
      <c r="B83" s="516" t="s">
        <v>161</v>
      </c>
      <c r="C83" s="522" t="s">
        <v>162</v>
      </c>
      <c r="D83" s="531"/>
      <c r="E83" s="518"/>
      <c r="F83" s="519"/>
      <c r="G83" s="518"/>
      <c r="H83" s="520"/>
      <c r="I83" s="518"/>
      <c r="P83" s="20"/>
      <c r="Q83" s="20"/>
      <c r="R83" s="20"/>
      <c r="S83" s="20"/>
      <c r="T83" s="20"/>
      <c r="U83" s="20"/>
    </row>
    <row r="84" spans="1:21" x14ac:dyDescent="0.2">
      <c r="A84" s="755">
        <v>75</v>
      </c>
      <c r="B84" s="521" t="s">
        <v>163</v>
      </c>
      <c r="C84" s="522" t="s">
        <v>458</v>
      </c>
      <c r="D84" s="531"/>
      <c r="E84" s="518"/>
      <c r="F84" s="519"/>
      <c r="G84" s="518"/>
      <c r="H84" s="520"/>
      <c r="I84" s="518"/>
      <c r="P84" s="20"/>
      <c r="Q84" s="20"/>
      <c r="R84" s="20"/>
      <c r="S84" s="20"/>
      <c r="T84" s="20"/>
      <c r="U84" s="20"/>
    </row>
    <row r="85" spans="1:21" x14ac:dyDescent="0.2">
      <c r="A85" s="755">
        <v>76</v>
      </c>
      <c r="B85" s="521" t="s">
        <v>165</v>
      </c>
      <c r="C85" s="522" t="s">
        <v>166</v>
      </c>
      <c r="D85" s="531"/>
      <c r="E85" s="518"/>
      <c r="F85" s="519"/>
      <c r="G85" s="518"/>
      <c r="H85" s="520"/>
      <c r="I85" s="518"/>
      <c r="P85" s="20"/>
      <c r="Q85" s="20"/>
      <c r="R85" s="20"/>
      <c r="S85" s="20"/>
      <c r="T85" s="20"/>
      <c r="U85" s="20"/>
    </row>
    <row r="86" spans="1:21" x14ac:dyDescent="0.2">
      <c r="A86" s="755">
        <v>77</v>
      </c>
      <c r="B86" s="516" t="s">
        <v>167</v>
      </c>
      <c r="C86" s="522" t="s">
        <v>168</v>
      </c>
      <c r="D86" s="531"/>
      <c r="E86" s="518"/>
      <c r="F86" s="519"/>
      <c r="G86" s="518"/>
      <c r="H86" s="520"/>
      <c r="I86" s="518"/>
      <c r="P86" s="20"/>
      <c r="Q86" s="20"/>
      <c r="R86" s="20"/>
      <c r="S86" s="20"/>
      <c r="T86" s="20"/>
      <c r="U86" s="20"/>
    </row>
    <row r="87" spans="1:21" x14ac:dyDescent="0.2">
      <c r="A87" s="755">
        <v>78</v>
      </c>
      <c r="B87" s="516" t="s">
        <v>169</v>
      </c>
      <c r="C87" s="522" t="s">
        <v>170</v>
      </c>
      <c r="D87" s="531"/>
      <c r="E87" s="518"/>
      <c r="F87" s="519"/>
      <c r="G87" s="518"/>
      <c r="H87" s="520"/>
      <c r="I87" s="518"/>
      <c r="P87" s="20"/>
      <c r="Q87" s="20"/>
      <c r="R87" s="20"/>
      <c r="S87" s="20"/>
      <c r="T87" s="20"/>
      <c r="U87" s="20"/>
    </row>
    <row r="88" spans="1:21" x14ac:dyDescent="0.2">
      <c r="A88" s="755">
        <v>79</v>
      </c>
      <c r="B88" s="516" t="s">
        <v>171</v>
      </c>
      <c r="C88" s="522" t="s">
        <v>172</v>
      </c>
      <c r="D88" s="531"/>
      <c r="E88" s="518"/>
      <c r="F88" s="519"/>
      <c r="G88" s="518"/>
      <c r="H88" s="520"/>
      <c r="I88" s="518"/>
      <c r="P88" s="20"/>
      <c r="Q88" s="20"/>
      <c r="R88" s="20"/>
      <c r="S88" s="20"/>
      <c r="T88" s="20"/>
      <c r="U88" s="20"/>
    </row>
    <row r="89" spans="1:21" x14ac:dyDescent="0.2">
      <c r="A89" s="755">
        <v>80</v>
      </c>
      <c r="B89" s="516" t="s">
        <v>173</v>
      </c>
      <c r="C89" s="522" t="s">
        <v>616</v>
      </c>
      <c r="D89" s="531"/>
      <c r="E89" s="518"/>
      <c r="F89" s="519"/>
      <c r="G89" s="518"/>
      <c r="H89" s="520"/>
      <c r="I89" s="518"/>
      <c r="P89" s="20"/>
      <c r="Q89" s="20"/>
      <c r="R89" s="20"/>
      <c r="S89" s="20"/>
      <c r="T89" s="20"/>
      <c r="U89" s="20"/>
    </row>
    <row r="90" spans="1:21" x14ac:dyDescent="0.2">
      <c r="A90" s="755">
        <v>81</v>
      </c>
      <c r="B90" s="516" t="s">
        <v>175</v>
      </c>
      <c r="C90" s="115" t="s">
        <v>746</v>
      </c>
      <c r="D90" s="531"/>
      <c r="E90" s="518"/>
      <c r="F90" s="519"/>
      <c r="G90" s="518"/>
      <c r="H90" s="520"/>
      <c r="I90" s="518"/>
      <c r="P90" s="20"/>
      <c r="Q90" s="20"/>
      <c r="R90" s="20"/>
      <c r="S90" s="20"/>
      <c r="T90" s="20"/>
      <c r="U90" s="20"/>
    </row>
    <row r="91" spans="1:21" x14ac:dyDescent="0.2">
      <c r="A91" s="755">
        <v>82</v>
      </c>
      <c r="B91" s="533" t="s">
        <v>177</v>
      </c>
      <c r="C91" s="532" t="s">
        <v>749</v>
      </c>
      <c r="D91" s="531"/>
      <c r="E91" s="518"/>
      <c r="F91" s="519"/>
      <c r="G91" s="518"/>
      <c r="H91" s="520"/>
      <c r="I91" s="518"/>
      <c r="P91" s="20"/>
      <c r="Q91" s="20"/>
      <c r="R91" s="20"/>
      <c r="S91" s="20"/>
      <c r="T91" s="20"/>
      <c r="U91" s="20"/>
    </row>
    <row r="92" spans="1:21" ht="25.5" x14ac:dyDescent="0.2">
      <c r="A92" s="1252">
        <v>83</v>
      </c>
      <c r="B92" s="1253" t="s">
        <v>178</v>
      </c>
      <c r="C92" s="534" t="s">
        <v>750</v>
      </c>
      <c r="D92" s="531"/>
      <c r="E92" s="518"/>
      <c r="F92" s="519"/>
      <c r="G92" s="518"/>
      <c r="H92" s="520"/>
      <c r="I92" s="518"/>
      <c r="P92" s="20"/>
      <c r="Q92" s="20"/>
      <c r="R92" s="20"/>
      <c r="S92" s="20"/>
      <c r="T92" s="20"/>
      <c r="U92" s="20"/>
    </row>
    <row r="93" spans="1:21" ht="25.5" x14ac:dyDescent="0.2">
      <c r="A93" s="1252"/>
      <c r="B93" s="1253"/>
      <c r="C93" s="532" t="s">
        <v>179</v>
      </c>
      <c r="D93" s="531"/>
      <c r="E93" s="518"/>
      <c r="F93" s="519"/>
      <c r="G93" s="518"/>
      <c r="H93" s="520"/>
      <c r="I93" s="518"/>
      <c r="P93" s="20"/>
      <c r="Q93" s="20"/>
      <c r="R93" s="20"/>
      <c r="S93" s="20"/>
      <c r="T93" s="20"/>
      <c r="U93" s="20"/>
    </row>
    <row r="94" spans="1:21" ht="25.5" x14ac:dyDescent="0.2">
      <c r="A94" s="1252"/>
      <c r="B94" s="1253"/>
      <c r="C94" s="532" t="s">
        <v>180</v>
      </c>
      <c r="D94" s="531"/>
      <c r="E94" s="518"/>
      <c r="F94" s="519"/>
      <c r="G94" s="518"/>
      <c r="H94" s="520"/>
      <c r="I94" s="518"/>
      <c r="P94" s="20"/>
      <c r="Q94" s="20"/>
      <c r="R94" s="20"/>
      <c r="S94" s="20"/>
      <c r="T94" s="20"/>
      <c r="U94" s="20"/>
    </row>
    <row r="95" spans="1:21" ht="51" x14ac:dyDescent="0.2">
      <c r="A95" s="1252"/>
      <c r="B95" s="1253"/>
      <c r="C95" s="535" t="s">
        <v>509</v>
      </c>
      <c r="D95" s="531"/>
      <c r="E95" s="518"/>
      <c r="F95" s="519"/>
      <c r="G95" s="518"/>
      <c r="H95" s="520"/>
      <c r="I95" s="518"/>
      <c r="P95" s="20"/>
      <c r="Q95" s="20"/>
      <c r="R95" s="20"/>
      <c r="S95" s="20"/>
      <c r="T95" s="20"/>
      <c r="U95" s="20"/>
    </row>
    <row r="96" spans="1:21" ht="25.5" x14ac:dyDescent="0.2">
      <c r="A96" s="755">
        <v>84</v>
      </c>
      <c r="B96" s="521" t="s">
        <v>181</v>
      </c>
      <c r="C96" s="522" t="s">
        <v>182</v>
      </c>
      <c r="D96" s="531"/>
      <c r="E96" s="518"/>
      <c r="F96" s="519"/>
      <c r="G96" s="518"/>
      <c r="H96" s="520"/>
      <c r="I96" s="518"/>
      <c r="P96" s="20"/>
      <c r="Q96" s="20"/>
      <c r="R96" s="20"/>
      <c r="S96" s="20"/>
      <c r="T96" s="20"/>
      <c r="U96" s="20"/>
    </row>
    <row r="97" spans="1:21" x14ac:dyDescent="0.2">
      <c r="A97" s="755">
        <v>85</v>
      </c>
      <c r="B97" s="516" t="s">
        <v>183</v>
      </c>
      <c r="C97" s="522" t="s">
        <v>184</v>
      </c>
      <c r="D97" s="531"/>
      <c r="E97" s="518"/>
      <c r="F97" s="519"/>
      <c r="G97" s="518"/>
      <c r="H97" s="520"/>
      <c r="I97" s="518"/>
      <c r="P97" s="20"/>
      <c r="Q97" s="20"/>
      <c r="R97" s="20"/>
      <c r="S97" s="20"/>
      <c r="T97" s="20"/>
      <c r="U97" s="20"/>
    </row>
    <row r="98" spans="1:21" x14ac:dyDescent="0.2">
      <c r="A98" s="755">
        <v>86</v>
      </c>
      <c r="B98" s="521" t="s">
        <v>185</v>
      </c>
      <c r="C98" s="522" t="s">
        <v>186</v>
      </c>
      <c r="D98" s="531"/>
      <c r="E98" s="518"/>
      <c r="F98" s="519"/>
      <c r="G98" s="518"/>
      <c r="H98" s="520"/>
      <c r="I98" s="518"/>
      <c r="P98" s="20"/>
      <c r="Q98" s="20"/>
      <c r="R98" s="20"/>
      <c r="S98" s="20"/>
      <c r="T98" s="20"/>
      <c r="U98" s="20"/>
    </row>
    <row r="99" spans="1:21" x14ac:dyDescent="0.2">
      <c r="A99" s="755">
        <v>87</v>
      </c>
      <c r="B99" s="764" t="s">
        <v>187</v>
      </c>
      <c r="C99" s="524" t="s">
        <v>188</v>
      </c>
      <c r="D99" s="531">
        <f>1608+45</f>
        <v>1653</v>
      </c>
      <c r="E99" s="518"/>
      <c r="F99" s="519"/>
      <c r="G99" s="518"/>
      <c r="H99" s="520"/>
      <c r="I99" s="518"/>
      <c r="P99" s="20"/>
      <c r="Q99" s="20"/>
      <c r="R99" s="20"/>
      <c r="S99" s="20"/>
      <c r="T99" s="20"/>
      <c r="U99" s="20"/>
    </row>
    <row r="100" spans="1:21" x14ac:dyDescent="0.2">
      <c r="A100" s="755">
        <v>88</v>
      </c>
      <c r="B100" s="516" t="s">
        <v>189</v>
      </c>
      <c r="C100" s="522" t="s">
        <v>190</v>
      </c>
      <c r="D100" s="531">
        <f>2085+45</f>
        <v>2130</v>
      </c>
      <c r="E100" s="518"/>
      <c r="F100" s="519"/>
      <c r="G100" s="518"/>
      <c r="H100" s="520"/>
      <c r="I100" s="518"/>
      <c r="P100" s="20"/>
      <c r="Q100" s="20"/>
      <c r="R100" s="20"/>
      <c r="S100" s="20"/>
      <c r="T100" s="20"/>
      <c r="U100" s="20"/>
    </row>
    <row r="101" spans="1:21" x14ac:dyDescent="0.2">
      <c r="A101" s="755">
        <v>89</v>
      </c>
      <c r="B101" s="516" t="s">
        <v>191</v>
      </c>
      <c r="C101" s="522" t="s">
        <v>192</v>
      </c>
      <c r="D101" s="531">
        <f>3666+45</f>
        <v>3711</v>
      </c>
      <c r="E101" s="518"/>
      <c r="F101" s="519"/>
      <c r="G101" s="518"/>
      <c r="H101" s="520"/>
      <c r="I101" s="518"/>
      <c r="P101" s="20"/>
      <c r="Q101" s="20"/>
      <c r="R101" s="20"/>
      <c r="S101" s="20"/>
      <c r="T101" s="20"/>
      <c r="U101" s="20"/>
    </row>
    <row r="102" spans="1:21" x14ac:dyDescent="0.2">
      <c r="A102" s="755">
        <v>90</v>
      </c>
      <c r="B102" s="764" t="s">
        <v>193</v>
      </c>
      <c r="C102" s="524" t="s">
        <v>194</v>
      </c>
      <c r="D102" s="531">
        <f>1136+508</f>
        <v>1644</v>
      </c>
      <c r="E102" s="518"/>
      <c r="F102" s="519"/>
      <c r="G102" s="518"/>
      <c r="H102" s="520"/>
      <c r="I102" s="518"/>
      <c r="P102" s="20"/>
      <c r="Q102" s="20"/>
      <c r="R102" s="20"/>
      <c r="S102" s="20"/>
      <c r="T102" s="20"/>
      <c r="U102" s="20"/>
    </row>
    <row r="103" spans="1:21" x14ac:dyDescent="0.2">
      <c r="A103" s="755">
        <v>91</v>
      </c>
      <c r="B103" s="516" t="s">
        <v>195</v>
      </c>
      <c r="C103" s="522" t="s">
        <v>196</v>
      </c>
      <c r="D103" s="531">
        <f>2395+45</f>
        <v>2440</v>
      </c>
      <c r="E103" s="518"/>
      <c r="F103" s="519"/>
      <c r="G103" s="518"/>
      <c r="H103" s="520"/>
      <c r="I103" s="518"/>
      <c r="P103" s="20"/>
      <c r="Q103" s="20"/>
      <c r="R103" s="20"/>
      <c r="S103" s="20"/>
      <c r="T103" s="20"/>
      <c r="U103" s="20"/>
    </row>
    <row r="104" spans="1:21" x14ac:dyDescent="0.2">
      <c r="A104" s="755">
        <v>92</v>
      </c>
      <c r="B104" s="764" t="s">
        <v>197</v>
      </c>
      <c r="C104" s="524" t="s">
        <v>198</v>
      </c>
      <c r="D104" s="531">
        <f>4211+801+23</f>
        <v>5035</v>
      </c>
      <c r="E104" s="518"/>
      <c r="F104" s="519"/>
      <c r="G104" s="518"/>
      <c r="H104" s="520"/>
      <c r="I104" s="518"/>
      <c r="P104" s="20"/>
      <c r="Q104" s="20"/>
      <c r="R104" s="20"/>
      <c r="S104" s="20"/>
      <c r="T104" s="20"/>
      <c r="U104" s="20"/>
    </row>
    <row r="105" spans="1:21" x14ac:dyDescent="0.2">
      <c r="A105" s="755">
        <v>93</v>
      </c>
      <c r="B105" s="516" t="s">
        <v>199</v>
      </c>
      <c r="C105" s="522" t="s">
        <v>200</v>
      </c>
      <c r="D105" s="531">
        <f>2741+870</f>
        <v>3611</v>
      </c>
      <c r="E105" s="518"/>
      <c r="F105" s="519"/>
      <c r="G105" s="518"/>
      <c r="H105" s="520"/>
      <c r="I105" s="518"/>
      <c r="P105" s="20"/>
      <c r="Q105" s="20"/>
      <c r="R105" s="20"/>
      <c r="S105" s="20"/>
      <c r="T105" s="20"/>
      <c r="U105" s="20"/>
    </row>
    <row r="106" spans="1:21" x14ac:dyDescent="0.2">
      <c r="A106" s="755">
        <v>94</v>
      </c>
      <c r="B106" s="521" t="s">
        <v>201</v>
      </c>
      <c r="C106" s="522" t="s">
        <v>202</v>
      </c>
      <c r="D106" s="531">
        <f>1628+23</f>
        <v>1651</v>
      </c>
      <c r="E106" s="518"/>
      <c r="F106" s="519"/>
      <c r="G106" s="518"/>
      <c r="H106" s="520"/>
      <c r="I106" s="518"/>
      <c r="P106" s="20"/>
      <c r="Q106" s="20"/>
      <c r="R106" s="20"/>
      <c r="S106" s="20"/>
      <c r="T106" s="20"/>
      <c r="U106" s="20"/>
    </row>
    <row r="107" spans="1:21" x14ac:dyDescent="0.2">
      <c r="A107" s="755">
        <v>95</v>
      </c>
      <c r="B107" s="516" t="s">
        <v>203</v>
      </c>
      <c r="C107" s="517" t="s">
        <v>204</v>
      </c>
      <c r="D107" s="531">
        <v>2232</v>
      </c>
      <c r="E107" s="518"/>
      <c r="F107" s="519"/>
      <c r="G107" s="518"/>
      <c r="H107" s="520"/>
      <c r="I107" s="518"/>
      <c r="P107" s="20"/>
      <c r="Q107" s="20"/>
      <c r="R107" s="20"/>
      <c r="S107" s="20"/>
      <c r="T107" s="20"/>
      <c r="U107" s="20"/>
    </row>
    <row r="108" spans="1:21" x14ac:dyDescent="0.2">
      <c r="A108" s="755">
        <v>96</v>
      </c>
      <c r="B108" s="516" t="s">
        <v>205</v>
      </c>
      <c r="C108" s="524" t="s">
        <v>206</v>
      </c>
      <c r="D108" s="531">
        <f>1320+382</f>
        <v>1702</v>
      </c>
      <c r="E108" s="518"/>
      <c r="F108" s="519"/>
      <c r="G108" s="518"/>
      <c r="H108" s="520"/>
      <c r="I108" s="518"/>
      <c r="P108" s="20"/>
      <c r="Q108" s="20"/>
      <c r="R108" s="20"/>
      <c r="S108" s="20"/>
      <c r="T108" s="20"/>
      <c r="U108" s="20"/>
    </row>
    <row r="109" spans="1:21" x14ac:dyDescent="0.2">
      <c r="A109" s="755">
        <v>97</v>
      </c>
      <c r="B109" s="521" t="s">
        <v>207</v>
      </c>
      <c r="C109" s="522" t="s">
        <v>208</v>
      </c>
      <c r="D109" s="531">
        <f>2611+45</f>
        <v>2656</v>
      </c>
      <c r="E109" s="518">
        <v>81</v>
      </c>
      <c r="F109" s="519"/>
      <c r="G109" s="518"/>
      <c r="H109" s="520"/>
      <c r="I109" s="518"/>
      <c r="P109" s="20"/>
      <c r="Q109" s="20"/>
      <c r="R109" s="20"/>
      <c r="S109" s="20"/>
      <c r="T109" s="20"/>
      <c r="U109" s="20"/>
    </row>
    <row r="110" spans="1:21" x14ac:dyDescent="0.2">
      <c r="A110" s="755">
        <v>98</v>
      </c>
      <c r="B110" s="516" t="s">
        <v>209</v>
      </c>
      <c r="C110" s="517" t="s">
        <v>210</v>
      </c>
      <c r="D110" s="531">
        <v>4619</v>
      </c>
      <c r="E110" s="518"/>
      <c r="F110" s="519"/>
      <c r="G110" s="518"/>
      <c r="H110" s="520"/>
      <c r="I110" s="518"/>
      <c r="P110" s="20"/>
      <c r="Q110" s="20"/>
      <c r="R110" s="20"/>
      <c r="S110" s="20"/>
      <c r="T110" s="20"/>
      <c r="U110" s="20"/>
    </row>
    <row r="111" spans="1:21" x14ac:dyDescent="0.2">
      <c r="A111" s="755">
        <v>99</v>
      </c>
      <c r="B111" s="521" t="s">
        <v>211</v>
      </c>
      <c r="C111" s="522" t="s">
        <v>212</v>
      </c>
      <c r="D111" s="531">
        <f>2053+23</f>
        <v>2076</v>
      </c>
      <c r="E111" s="518"/>
      <c r="F111" s="519"/>
      <c r="G111" s="518"/>
      <c r="H111" s="520"/>
      <c r="I111" s="518"/>
      <c r="P111" s="20"/>
      <c r="Q111" s="20"/>
      <c r="R111" s="20"/>
      <c r="S111" s="20"/>
      <c r="T111" s="20"/>
      <c r="U111" s="20"/>
    </row>
    <row r="112" spans="1:21" x14ac:dyDescent="0.2">
      <c r="A112" s="755">
        <v>100</v>
      </c>
      <c r="B112" s="521" t="s">
        <v>213</v>
      </c>
      <c r="C112" s="522" t="s">
        <v>214</v>
      </c>
      <c r="D112" s="531">
        <f>4655+23</f>
        <v>4678</v>
      </c>
      <c r="E112" s="518"/>
      <c r="F112" s="519"/>
      <c r="G112" s="518"/>
      <c r="H112" s="520"/>
      <c r="I112" s="518"/>
      <c r="P112" s="20"/>
      <c r="Q112" s="20"/>
      <c r="R112" s="20"/>
      <c r="S112" s="20"/>
      <c r="T112" s="20"/>
      <c r="U112" s="20"/>
    </row>
    <row r="113" spans="1:21" x14ac:dyDescent="0.2">
      <c r="A113" s="755">
        <v>101</v>
      </c>
      <c r="B113" s="516" t="s">
        <v>215</v>
      </c>
      <c r="C113" s="524" t="s">
        <v>216</v>
      </c>
      <c r="D113" s="531">
        <f>1553+300</f>
        <v>1853</v>
      </c>
      <c r="E113" s="518"/>
      <c r="F113" s="519"/>
      <c r="G113" s="518"/>
      <c r="H113" s="520"/>
      <c r="I113" s="518"/>
      <c r="P113" s="20"/>
      <c r="Q113" s="20"/>
      <c r="R113" s="20"/>
      <c r="S113" s="20"/>
      <c r="T113" s="20"/>
      <c r="U113" s="20"/>
    </row>
    <row r="114" spans="1:21" x14ac:dyDescent="0.2">
      <c r="A114" s="755">
        <v>102</v>
      </c>
      <c r="B114" s="516" t="s">
        <v>217</v>
      </c>
      <c r="C114" s="517" t="s">
        <v>218</v>
      </c>
      <c r="D114" s="531"/>
      <c r="E114" s="518"/>
      <c r="F114" s="519"/>
      <c r="G114" s="518"/>
      <c r="H114" s="520"/>
      <c r="I114" s="518"/>
      <c r="P114" s="20"/>
      <c r="Q114" s="20"/>
      <c r="R114" s="20"/>
      <c r="S114" s="20"/>
      <c r="T114" s="20"/>
      <c r="U114" s="20"/>
    </row>
    <row r="115" spans="1:21" x14ac:dyDescent="0.2">
      <c r="A115" s="755">
        <v>103</v>
      </c>
      <c r="B115" s="516" t="s">
        <v>219</v>
      </c>
      <c r="C115" s="517" t="s">
        <v>220</v>
      </c>
      <c r="D115" s="531"/>
      <c r="E115" s="518"/>
      <c r="F115" s="519"/>
      <c r="G115" s="518"/>
      <c r="H115" s="520"/>
      <c r="I115" s="518"/>
      <c r="P115" s="20"/>
      <c r="Q115" s="20"/>
      <c r="R115" s="20"/>
      <c r="S115" s="20"/>
      <c r="T115" s="20"/>
      <c r="U115" s="20"/>
    </row>
    <row r="116" spans="1:21" x14ac:dyDescent="0.2">
      <c r="A116" s="755">
        <v>104</v>
      </c>
      <c r="B116" s="516" t="s">
        <v>221</v>
      </c>
      <c r="C116" s="517" t="s">
        <v>222</v>
      </c>
      <c r="D116" s="531"/>
      <c r="E116" s="518"/>
      <c r="F116" s="519"/>
      <c r="G116" s="518"/>
      <c r="H116" s="520"/>
      <c r="I116" s="518"/>
      <c r="P116" s="20"/>
      <c r="Q116" s="20"/>
      <c r="R116" s="20"/>
      <c r="S116" s="20"/>
      <c r="T116" s="20"/>
      <c r="U116" s="20"/>
    </row>
    <row r="117" spans="1:21" x14ac:dyDescent="0.2">
      <c r="A117" s="755">
        <v>105</v>
      </c>
      <c r="B117" s="521" t="s">
        <v>223</v>
      </c>
      <c r="C117" s="522" t="s">
        <v>224</v>
      </c>
      <c r="D117" s="531"/>
      <c r="E117" s="518"/>
      <c r="F117" s="519"/>
      <c r="G117" s="518"/>
      <c r="H117" s="520"/>
      <c r="I117" s="518"/>
      <c r="P117" s="20"/>
      <c r="Q117" s="20"/>
      <c r="R117" s="20"/>
      <c r="S117" s="20"/>
      <c r="T117" s="20"/>
      <c r="U117" s="20"/>
    </row>
    <row r="118" spans="1:21" x14ac:dyDescent="0.2">
      <c r="A118" s="755">
        <v>106</v>
      </c>
      <c r="B118" s="764" t="s">
        <v>225</v>
      </c>
      <c r="C118" s="524" t="s">
        <v>226</v>
      </c>
      <c r="D118" s="531"/>
      <c r="E118" s="518"/>
      <c r="F118" s="519"/>
      <c r="G118" s="518"/>
      <c r="H118" s="520"/>
      <c r="I118" s="518"/>
      <c r="P118" s="20"/>
      <c r="Q118" s="20"/>
      <c r="R118" s="20"/>
      <c r="S118" s="20"/>
      <c r="T118" s="20"/>
      <c r="U118" s="20"/>
    </row>
    <row r="119" spans="1:21" ht="25.5" x14ac:dyDescent="0.2">
      <c r="A119" s="755">
        <v>107</v>
      </c>
      <c r="B119" s="516" t="s">
        <v>227</v>
      </c>
      <c r="C119" s="517" t="s">
        <v>228</v>
      </c>
      <c r="D119" s="531"/>
      <c r="E119" s="518"/>
      <c r="F119" s="519"/>
      <c r="G119" s="518"/>
      <c r="H119" s="520"/>
      <c r="I119" s="518"/>
      <c r="P119" s="20"/>
      <c r="Q119" s="20"/>
      <c r="R119" s="20"/>
      <c r="S119" s="20"/>
      <c r="T119" s="20"/>
      <c r="U119" s="20"/>
    </row>
    <row r="120" spans="1:21" x14ac:dyDescent="0.2">
      <c r="A120" s="755">
        <v>108</v>
      </c>
      <c r="B120" s="516" t="s">
        <v>229</v>
      </c>
      <c r="C120" s="517" t="s">
        <v>230</v>
      </c>
      <c r="D120" s="531"/>
      <c r="E120" s="518"/>
      <c r="F120" s="519"/>
      <c r="G120" s="518"/>
      <c r="H120" s="520"/>
      <c r="I120" s="518"/>
      <c r="P120" s="20"/>
      <c r="Q120" s="20"/>
      <c r="R120" s="20"/>
      <c r="S120" s="20"/>
      <c r="T120" s="20"/>
      <c r="U120" s="20"/>
    </row>
    <row r="121" spans="1:21" x14ac:dyDescent="0.2">
      <c r="A121" s="755">
        <v>109</v>
      </c>
      <c r="B121" s="521" t="s">
        <v>231</v>
      </c>
      <c r="C121" s="522" t="s">
        <v>232</v>
      </c>
      <c r="D121" s="531"/>
      <c r="E121" s="518"/>
      <c r="F121" s="519"/>
      <c r="G121" s="518"/>
      <c r="H121" s="520"/>
      <c r="I121" s="518"/>
      <c r="P121" s="20"/>
      <c r="Q121" s="20"/>
      <c r="R121" s="20"/>
      <c r="S121" s="20"/>
      <c r="T121" s="20"/>
      <c r="U121" s="20"/>
    </row>
    <row r="122" spans="1:21" x14ac:dyDescent="0.2">
      <c r="A122" s="755">
        <v>110</v>
      </c>
      <c r="B122" s="521" t="s">
        <v>233</v>
      </c>
      <c r="C122" s="522" t="s">
        <v>234</v>
      </c>
      <c r="D122" s="531"/>
      <c r="E122" s="518"/>
      <c r="F122" s="519"/>
      <c r="G122" s="518"/>
      <c r="H122" s="520"/>
      <c r="I122" s="518"/>
      <c r="P122" s="20"/>
      <c r="Q122" s="20"/>
      <c r="R122" s="20"/>
      <c r="S122" s="20"/>
      <c r="T122" s="20"/>
      <c r="U122" s="20"/>
    </row>
    <row r="123" spans="1:21" x14ac:dyDescent="0.2">
      <c r="A123" s="755">
        <v>111</v>
      </c>
      <c r="B123" s="536" t="s">
        <v>235</v>
      </c>
      <c r="C123" s="517" t="s">
        <v>236</v>
      </c>
      <c r="D123" s="531"/>
      <c r="E123" s="518"/>
      <c r="F123" s="519"/>
      <c r="G123" s="518"/>
      <c r="H123" s="520"/>
      <c r="I123" s="518"/>
      <c r="P123" s="20"/>
      <c r="Q123" s="20"/>
      <c r="R123" s="20"/>
      <c r="S123" s="20"/>
      <c r="T123" s="20"/>
      <c r="U123" s="20"/>
    </row>
    <row r="124" spans="1:21" x14ac:dyDescent="0.2">
      <c r="A124" s="755">
        <v>112</v>
      </c>
      <c r="B124" s="516" t="s">
        <v>237</v>
      </c>
      <c r="C124" s="517" t="s">
        <v>238</v>
      </c>
      <c r="D124" s="531"/>
      <c r="E124" s="518"/>
      <c r="F124" s="519"/>
      <c r="G124" s="518"/>
      <c r="H124" s="520"/>
      <c r="I124" s="518"/>
      <c r="P124" s="20"/>
      <c r="Q124" s="20"/>
      <c r="R124" s="20"/>
      <c r="S124" s="20"/>
      <c r="T124" s="20"/>
      <c r="U124" s="20"/>
    </row>
    <row r="125" spans="1:21" x14ac:dyDescent="0.2">
      <c r="A125" s="755">
        <v>113</v>
      </c>
      <c r="B125" s="516" t="s">
        <v>239</v>
      </c>
      <c r="C125" s="522" t="s">
        <v>240</v>
      </c>
      <c r="D125" s="531"/>
      <c r="E125" s="518"/>
      <c r="F125" s="519"/>
      <c r="G125" s="518"/>
      <c r="H125" s="520"/>
      <c r="I125" s="518"/>
      <c r="P125" s="20"/>
      <c r="Q125" s="20"/>
      <c r="R125" s="20"/>
      <c r="S125" s="20"/>
      <c r="T125" s="20"/>
      <c r="U125" s="20"/>
    </row>
    <row r="126" spans="1:21" ht="25.5" x14ac:dyDescent="0.2">
      <c r="A126" s="755">
        <v>114</v>
      </c>
      <c r="B126" s="516" t="s">
        <v>241</v>
      </c>
      <c r="C126" s="517" t="s">
        <v>242</v>
      </c>
      <c r="D126" s="531"/>
      <c r="E126" s="518"/>
      <c r="F126" s="519"/>
      <c r="G126" s="518"/>
      <c r="H126" s="520"/>
      <c r="I126" s="518"/>
      <c r="P126" s="20"/>
      <c r="Q126" s="20"/>
      <c r="R126" s="20"/>
      <c r="S126" s="20"/>
      <c r="T126" s="20"/>
      <c r="U126" s="20"/>
    </row>
    <row r="127" spans="1:21" x14ac:dyDescent="0.2">
      <c r="A127" s="755">
        <v>115</v>
      </c>
      <c r="B127" s="756" t="s">
        <v>243</v>
      </c>
      <c r="C127" s="532" t="s">
        <v>385</v>
      </c>
      <c r="D127" s="531"/>
      <c r="E127" s="518"/>
      <c r="F127" s="519"/>
      <c r="G127" s="518"/>
      <c r="H127" s="520"/>
      <c r="I127" s="518"/>
      <c r="P127" s="20"/>
      <c r="Q127" s="20"/>
      <c r="R127" s="20"/>
      <c r="S127" s="20"/>
      <c r="T127" s="20"/>
      <c r="U127" s="20"/>
    </row>
    <row r="128" spans="1:21" x14ac:dyDescent="0.2">
      <c r="A128" s="755">
        <v>116</v>
      </c>
      <c r="B128" s="521" t="s">
        <v>244</v>
      </c>
      <c r="C128" s="522" t="s">
        <v>648</v>
      </c>
      <c r="D128" s="531"/>
      <c r="E128" s="518"/>
      <c r="F128" s="519"/>
      <c r="G128" s="518"/>
      <c r="H128" s="520"/>
      <c r="I128" s="518"/>
      <c r="P128" s="20"/>
      <c r="Q128" s="20"/>
      <c r="R128" s="20"/>
      <c r="S128" s="20"/>
      <c r="T128" s="20"/>
      <c r="U128" s="20"/>
    </row>
    <row r="129" spans="1:21" x14ac:dyDescent="0.2">
      <c r="A129" s="755">
        <v>117</v>
      </c>
      <c r="B129" s="521" t="s">
        <v>246</v>
      </c>
      <c r="C129" s="522" t="s">
        <v>247</v>
      </c>
      <c r="D129" s="531"/>
      <c r="E129" s="518"/>
      <c r="F129" s="519"/>
      <c r="G129" s="518"/>
      <c r="H129" s="520"/>
      <c r="I129" s="518"/>
      <c r="P129" s="20"/>
      <c r="Q129" s="20"/>
      <c r="R129" s="20"/>
      <c r="S129" s="20"/>
      <c r="T129" s="20"/>
      <c r="U129" s="20"/>
    </row>
    <row r="130" spans="1:21" x14ac:dyDescent="0.2">
      <c r="A130" s="755">
        <v>118</v>
      </c>
      <c r="B130" s="521" t="s">
        <v>248</v>
      </c>
      <c r="C130" s="522" t="s">
        <v>249</v>
      </c>
      <c r="D130" s="531"/>
      <c r="E130" s="518"/>
      <c r="F130" s="519"/>
      <c r="G130" s="518"/>
      <c r="H130" s="520"/>
      <c r="I130" s="518"/>
      <c r="P130" s="20"/>
      <c r="Q130" s="20"/>
      <c r="R130" s="20"/>
      <c r="S130" s="20"/>
      <c r="T130" s="20"/>
      <c r="U130" s="20"/>
    </row>
    <row r="131" spans="1:21" x14ac:dyDescent="0.2">
      <c r="A131" s="755">
        <v>119</v>
      </c>
      <c r="B131" s="521" t="s">
        <v>250</v>
      </c>
      <c r="C131" s="522" t="s">
        <v>251</v>
      </c>
      <c r="D131" s="531"/>
      <c r="E131" s="518"/>
      <c r="F131" s="519"/>
      <c r="G131" s="518"/>
      <c r="H131" s="520"/>
      <c r="I131" s="518"/>
      <c r="P131" s="20"/>
      <c r="Q131" s="20"/>
      <c r="R131" s="20"/>
      <c r="S131" s="20"/>
      <c r="T131" s="20"/>
      <c r="U131" s="20"/>
    </row>
    <row r="132" spans="1:21" x14ac:dyDescent="0.2">
      <c r="A132" s="755">
        <v>120</v>
      </c>
      <c r="B132" s="537" t="s">
        <v>252</v>
      </c>
      <c r="C132" s="538" t="s">
        <v>253</v>
      </c>
      <c r="D132" s="531"/>
      <c r="E132" s="518"/>
      <c r="F132" s="519"/>
      <c r="G132" s="518"/>
      <c r="H132" s="520"/>
      <c r="I132" s="518"/>
      <c r="P132" s="20"/>
      <c r="Q132" s="20"/>
      <c r="R132" s="20"/>
      <c r="S132" s="20"/>
      <c r="T132" s="20"/>
      <c r="U132" s="20"/>
    </row>
    <row r="133" spans="1:21" x14ac:dyDescent="0.2">
      <c r="A133" s="755">
        <v>121</v>
      </c>
      <c r="B133" s="516" t="s">
        <v>254</v>
      </c>
      <c r="C133" s="517" t="s">
        <v>255</v>
      </c>
      <c r="D133" s="531"/>
      <c r="E133" s="518"/>
      <c r="F133" s="519"/>
      <c r="G133" s="518"/>
      <c r="H133" s="520"/>
      <c r="I133" s="518"/>
      <c r="P133" s="20"/>
      <c r="Q133" s="20"/>
      <c r="R133" s="20"/>
      <c r="S133" s="20"/>
      <c r="T133" s="20"/>
      <c r="U133" s="20"/>
    </row>
    <row r="134" spans="1:21" x14ac:dyDescent="0.2">
      <c r="A134" s="755">
        <v>122</v>
      </c>
      <c r="B134" s="521" t="s">
        <v>256</v>
      </c>
      <c r="C134" s="522" t="s">
        <v>257</v>
      </c>
      <c r="D134" s="531"/>
      <c r="E134" s="518"/>
      <c r="F134" s="519"/>
      <c r="G134" s="518"/>
      <c r="H134" s="520"/>
      <c r="I134" s="518"/>
      <c r="P134" s="20"/>
      <c r="Q134" s="20"/>
      <c r="R134" s="20"/>
      <c r="S134" s="20"/>
      <c r="T134" s="20"/>
      <c r="U134" s="20"/>
    </row>
    <row r="135" spans="1:21" x14ac:dyDescent="0.2">
      <c r="A135" s="755">
        <v>123</v>
      </c>
      <c r="B135" s="516" t="s">
        <v>258</v>
      </c>
      <c r="C135" s="522" t="s">
        <v>259</v>
      </c>
      <c r="D135" s="531"/>
      <c r="E135" s="518"/>
      <c r="F135" s="519"/>
      <c r="G135" s="518"/>
      <c r="H135" s="520"/>
      <c r="I135" s="518"/>
      <c r="P135" s="20"/>
      <c r="Q135" s="20"/>
      <c r="R135" s="20"/>
      <c r="S135" s="20"/>
      <c r="T135" s="20"/>
      <c r="U135" s="20"/>
    </row>
    <row r="136" spans="1:21" x14ac:dyDescent="0.2">
      <c r="A136" s="755">
        <v>124</v>
      </c>
      <c r="B136" s="521" t="s">
        <v>260</v>
      </c>
      <c r="C136" s="522" t="s">
        <v>261</v>
      </c>
      <c r="D136" s="531"/>
      <c r="E136" s="518"/>
      <c r="F136" s="519"/>
      <c r="G136" s="518"/>
      <c r="H136" s="520"/>
      <c r="I136" s="518"/>
      <c r="P136" s="20"/>
      <c r="Q136" s="20"/>
      <c r="R136" s="20"/>
      <c r="S136" s="20"/>
      <c r="T136" s="20"/>
      <c r="U136" s="20"/>
    </row>
    <row r="137" spans="1:21" x14ac:dyDescent="0.2">
      <c r="A137" s="755">
        <v>125</v>
      </c>
      <c r="B137" s="521" t="s">
        <v>262</v>
      </c>
      <c r="C137" s="522" t="s">
        <v>263</v>
      </c>
      <c r="D137" s="531"/>
      <c r="E137" s="518"/>
      <c r="F137" s="519"/>
      <c r="G137" s="518"/>
      <c r="H137" s="520"/>
      <c r="I137" s="518"/>
      <c r="P137" s="20"/>
      <c r="Q137" s="20"/>
      <c r="R137" s="20"/>
      <c r="S137" s="20"/>
      <c r="T137" s="20"/>
      <c r="U137" s="20"/>
    </row>
    <row r="138" spans="1:21" x14ac:dyDescent="0.2">
      <c r="A138" s="755">
        <v>126</v>
      </c>
      <c r="B138" s="516" t="s">
        <v>264</v>
      </c>
      <c r="C138" s="522" t="s">
        <v>265</v>
      </c>
      <c r="D138" s="531"/>
      <c r="E138" s="518"/>
      <c r="F138" s="519"/>
      <c r="G138" s="518"/>
      <c r="H138" s="520"/>
      <c r="I138" s="518"/>
      <c r="P138" s="20"/>
      <c r="Q138" s="20"/>
      <c r="R138" s="20"/>
      <c r="S138" s="20"/>
      <c r="T138" s="20"/>
      <c r="U138" s="20"/>
    </row>
    <row r="139" spans="1:21" x14ac:dyDescent="0.2">
      <c r="A139" s="755">
        <v>127</v>
      </c>
      <c r="B139" s="521" t="s">
        <v>266</v>
      </c>
      <c r="C139" s="522" t="s">
        <v>267</v>
      </c>
      <c r="D139" s="531">
        <v>93850</v>
      </c>
      <c r="E139" s="518">
        <v>8852</v>
      </c>
      <c r="F139" s="519">
        <v>1859</v>
      </c>
      <c r="G139" s="518">
        <v>27880</v>
      </c>
      <c r="H139" s="523">
        <v>197</v>
      </c>
      <c r="I139" s="518">
        <v>2170</v>
      </c>
      <c r="P139" s="20"/>
      <c r="Q139" s="20"/>
      <c r="R139" s="20"/>
      <c r="S139" s="20"/>
      <c r="T139" s="20"/>
      <c r="U139" s="20"/>
    </row>
    <row r="140" spans="1:21" x14ac:dyDescent="0.2">
      <c r="A140" s="755">
        <v>128</v>
      </c>
      <c r="B140" s="516" t="s">
        <v>268</v>
      </c>
      <c r="C140" s="517" t="s">
        <v>269</v>
      </c>
      <c r="D140" s="531"/>
      <c r="E140" s="518"/>
      <c r="F140" s="519"/>
      <c r="G140" s="518"/>
      <c r="H140" s="520"/>
      <c r="I140" s="518"/>
      <c r="P140" s="20"/>
      <c r="Q140" s="20"/>
      <c r="R140" s="20"/>
      <c r="S140" s="20"/>
      <c r="T140" s="20"/>
      <c r="U140" s="20"/>
    </row>
    <row r="141" spans="1:21" x14ac:dyDescent="0.2">
      <c r="A141" s="755">
        <v>129</v>
      </c>
      <c r="B141" s="516" t="s">
        <v>270</v>
      </c>
      <c r="C141" s="517" t="s">
        <v>271</v>
      </c>
      <c r="D141" s="531"/>
      <c r="E141" s="518"/>
      <c r="F141" s="519"/>
      <c r="G141" s="518"/>
      <c r="H141" s="520"/>
      <c r="I141" s="518"/>
      <c r="P141" s="20"/>
      <c r="Q141" s="20"/>
      <c r="R141" s="20"/>
      <c r="S141" s="20"/>
      <c r="T141" s="20"/>
      <c r="U141" s="20"/>
    </row>
    <row r="142" spans="1:21" x14ac:dyDescent="0.2">
      <c r="A142" s="755">
        <v>130</v>
      </c>
      <c r="B142" s="521" t="s">
        <v>272</v>
      </c>
      <c r="C142" s="522" t="s">
        <v>273</v>
      </c>
      <c r="D142" s="531"/>
      <c r="E142" s="518"/>
      <c r="F142" s="519"/>
      <c r="G142" s="518"/>
      <c r="H142" s="520"/>
      <c r="I142" s="518"/>
      <c r="P142" s="20"/>
      <c r="Q142" s="20"/>
      <c r="R142" s="20"/>
      <c r="S142" s="20"/>
      <c r="T142" s="20"/>
      <c r="U142" s="20"/>
    </row>
    <row r="143" spans="1:21" x14ac:dyDescent="0.2">
      <c r="A143" s="755">
        <v>131</v>
      </c>
      <c r="B143" s="521" t="s">
        <v>274</v>
      </c>
      <c r="C143" s="522" t="s">
        <v>275</v>
      </c>
      <c r="D143" s="531"/>
      <c r="E143" s="518"/>
      <c r="F143" s="519"/>
      <c r="G143" s="518"/>
      <c r="H143" s="520"/>
      <c r="I143" s="518"/>
      <c r="P143" s="20"/>
      <c r="Q143" s="20"/>
      <c r="R143" s="20"/>
      <c r="S143" s="20"/>
      <c r="T143" s="20"/>
      <c r="U143" s="20"/>
    </row>
    <row r="144" spans="1:21" x14ac:dyDescent="0.2">
      <c r="A144" s="755">
        <v>132</v>
      </c>
      <c r="B144" s="521" t="s">
        <v>276</v>
      </c>
      <c r="C144" s="522" t="s">
        <v>277</v>
      </c>
      <c r="D144" s="531"/>
      <c r="E144" s="518"/>
      <c r="F144" s="519"/>
      <c r="G144" s="518"/>
      <c r="H144" s="520"/>
      <c r="I144" s="518"/>
      <c r="P144" s="20"/>
      <c r="Q144" s="20"/>
      <c r="R144" s="20"/>
      <c r="S144" s="20"/>
      <c r="T144" s="20"/>
      <c r="U144" s="20"/>
    </row>
    <row r="145" spans="1:21" x14ac:dyDescent="0.2">
      <c r="A145" s="755">
        <v>133</v>
      </c>
      <c r="B145" s="521" t="s">
        <v>278</v>
      </c>
      <c r="C145" s="522" t="s">
        <v>279</v>
      </c>
      <c r="D145" s="531">
        <f>4697+200</f>
        <v>4897</v>
      </c>
      <c r="E145" s="518"/>
      <c r="F145" s="519"/>
      <c r="G145" s="518"/>
      <c r="H145" s="520"/>
      <c r="I145" s="518"/>
      <c r="P145" s="20"/>
      <c r="Q145" s="20"/>
      <c r="R145" s="20"/>
      <c r="S145" s="20"/>
      <c r="T145" s="20"/>
      <c r="U145" s="20"/>
    </row>
    <row r="146" spans="1:21" x14ac:dyDescent="0.2">
      <c r="A146" s="755">
        <v>134</v>
      </c>
      <c r="B146" s="521" t="s">
        <v>280</v>
      </c>
      <c r="C146" s="522" t="s">
        <v>281</v>
      </c>
      <c r="D146" s="531"/>
      <c r="E146" s="518"/>
      <c r="F146" s="519"/>
      <c r="G146" s="518"/>
      <c r="H146" s="520"/>
      <c r="I146" s="518"/>
      <c r="P146" s="20"/>
      <c r="Q146" s="20"/>
      <c r="R146" s="20"/>
      <c r="S146" s="20"/>
      <c r="T146" s="20"/>
      <c r="U146" s="20"/>
    </row>
    <row r="147" spans="1:21" x14ac:dyDescent="0.2">
      <c r="A147" s="755">
        <v>135</v>
      </c>
      <c r="B147" s="516" t="s">
        <v>282</v>
      </c>
      <c r="C147" s="517" t="s">
        <v>283</v>
      </c>
      <c r="D147" s="531"/>
      <c r="E147" s="518"/>
      <c r="F147" s="519"/>
      <c r="G147" s="518"/>
      <c r="H147" s="520"/>
      <c r="I147" s="518"/>
      <c r="P147" s="20"/>
      <c r="Q147" s="20"/>
      <c r="R147" s="20"/>
      <c r="S147" s="20"/>
      <c r="T147" s="20"/>
      <c r="U147" s="20"/>
    </row>
    <row r="148" spans="1:21" x14ac:dyDescent="0.2">
      <c r="A148" s="755">
        <v>136</v>
      </c>
      <c r="B148" s="521" t="s">
        <v>284</v>
      </c>
      <c r="C148" s="522" t="s">
        <v>285</v>
      </c>
      <c r="D148" s="531"/>
      <c r="E148" s="518"/>
      <c r="F148" s="519"/>
      <c r="G148" s="518"/>
      <c r="H148" s="520"/>
      <c r="I148" s="518"/>
      <c r="P148" s="20"/>
      <c r="Q148" s="20"/>
      <c r="R148" s="20"/>
      <c r="S148" s="20"/>
      <c r="T148" s="20"/>
      <c r="U148" s="20"/>
    </row>
    <row r="149" spans="1:21" x14ac:dyDescent="0.2">
      <c r="A149" s="755">
        <v>137</v>
      </c>
      <c r="B149" s="539" t="s">
        <v>387</v>
      </c>
      <c r="C149" s="530" t="s">
        <v>388</v>
      </c>
      <c r="D149" s="531"/>
      <c r="E149" s="518"/>
      <c r="F149" s="519"/>
      <c r="G149" s="518"/>
      <c r="H149" s="520"/>
      <c r="I149" s="518"/>
      <c r="P149" s="20"/>
      <c r="Q149" s="20"/>
      <c r="R149" s="20"/>
      <c r="S149" s="20"/>
      <c r="T149" s="20"/>
      <c r="U149" s="20"/>
    </row>
    <row r="150" spans="1:21" x14ac:dyDescent="0.2">
      <c r="A150" s="755">
        <v>138</v>
      </c>
      <c r="B150" s="540" t="s">
        <v>389</v>
      </c>
      <c r="C150" s="541" t="s">
        <v>390</v>
      </c>
      <c r="D150" s="531"/>
      <c r="E150" s="518"/>
      <c r="F150" s="519"/>
      <c r="G150" s="518"/>
      <c r="H150" s="520"/>
      <c r="I150" s="518"/>
      <c r="P150" s="20"/>
      <c r="Q150" s="20"/>
      <c r="R150" s="20"/>
      <c r="S150" s="20"/>
      <c r="T150" s="20"/>
      <c r="U150" s="20"/>
    </row>
    <row r="151" spans="1:21" x14ac:dyDescent="0.2">
      <c r="A151" s="755">
        <v>139</v>
      </c>
      <c r="B151" s="539" t="s">
        <v>391</v>
      </c>
      <c r="C151" s="530" t="s">
        <v>392</v>
      </c>
      <c r="D151" s="531"/>
      <c r="E151" s="518"/>
      <c r="F151" s="519"/>
      <c r="G151" s="518"/>
      <c r="H151" s="520"/>
      <c r="I151" s="518"/>
      <c r="P151" s="20"/>
      <c r="Q151" s="20"/>
      <c r="R151" s="20"/>
      <c r="S151" s="20"/>
      <c r="T151" s="20"/>
      <c r="U151" s="20"/>
    </row>
    <row r="152" spans="1:21" x14ac:dyDescent="0.2">
      <c r="A152" s="755">
        <v>140</v>
      </c>
      <c r="B152" s="754" t="s">
        <v>393</v>
      </c>
      <c r="C152" s="766" t="s">
        <v>394</v>
      </c>
      <c r="D152" s="531"/>
      <c r="E152" s="518"/>
      <c r="F152" s="519"/>
      <c r="G152" s="518"/>
      <c r="H152" s="520"/>
      <c r="I152" s="518"/>
      <c r="P152" s="20"/>
      <c r="Q152" s="20"/>
      <c r="R152" s="20"/>
      <c r="S152" s="20"/>
      <c r="T152" s="20"/>
      <c r="U152" s="20"/>
    </row>
    <row r="153" spans="1:21" x14ac:dyDescent="0.2">
      <c r="A153" s="645">
        <v>141</v>
      </c>
      <c r="B153" s="767" t="s">
        <v>801</v>
      </c>
      <c r="C153" s="768" t="s">
        <v>800</v>
      </c>
      <c r="D153" s="531"/>
      <c r="E153" s="518"/>
      <c r="F153" s="519"/>
      <c r="G153" s="518"/>
      <c r="H153" s="520"/>
      <c r="I153" s="518"/>
      <c r="P153" s="20"/>
      <c r="Q153" s="20"/>
      <c r="R153" s="20"/>
      <c r="S153" s="20"/>
      <c r="T153" s="20"/>
      <c r="U153" s="20"/>
    </row>
    <row r="154" spans="1:21" ht="13.5" thickBot="1" x14ac:dyDescent="0.25">
      <c r="A154" s="769">
        <v>142</v>
      </c>
      <c r="B154" s="770" t="s">
        <v>810</v>
      </c>
      <c r="C154" s="771" t="s">
        <v>811</v>
      </c>
      <c r="D154" s="542"/>
      <c r="E154" s="543"/>
      <c r="F154" s="544"/>
      <c r="G154" s="543"/>
      <c r="H154" s="545"/>
      <c r="I154" s="543"/>
      <c r="P154" s="20"/>
      <c r="Q154" s="20"/>
      <c r="R154" s="20"/>
      <c r="S154" s="20"/>
      <c r="T154" s="20"/>
      <c r="U154" s="20"/>
    </row>
    <row r="155" spans="1:21" x14ac:dyDescent="0.2">
      <c r="P155" s="20"/>
      <c r="Q155" s="20"/>
      <c r="R155" s="20"/>
      <c r="S155" s="20"/>
      <c r="T155" s="20"/>
      <c r="U155" s="20"/>
    </row>
    <row r="156" spans="1:21" x14ac:dyDescent="0.2">
      <c r="P156" s="20"/>
      <c r="Q156" s="20"/>
      <c r="R156" s="20"/>
      <c r="S156" s="20"/>
      <c r="T156" s="20"/>
      <c r="U156" s="20"/>
    </row>
    <row r="157" spans="1:21" x14ac:dyDescent="0.2">
      <c r="P157" s="20"/>
      <c r="Q157" s="20"/>
      <c r="R157" s="20"/>
      <c r="S157" s="20"/>
      <c r="T157" s="20"/>
      <c r="U157" s="20"/>
    </row>
    <row r="158" spans="1:21" x14ac:dyDescent="0.2">
      <c r="P158" s="20"/>
      <c r="Q158" s="20"/>
      <c r="R158" s="20"/>
      <c r="S158" s="20"/>
      <c r="T158" s="20"/>
      <c r="U158" s="20"/>
    </row>
    <row r="159" spans="1:21" x14ac:dyDescent="0.2">
      <c r="P159" s="20"/>
      <c r="Q159" s="20"/>
      <c r="R159" s="20"/>
      <c r="S159" s="20"/>
      <c r="T159" s="20"/>
      <c r="U159" s="20"/>
    </row>
    <row r="160" spans="1:21" x14ac:dyDescent="0.2">
      <c r="P160" s="20"/>
      <c r="Q160" s="20"/>
      <c r="R160" s="20"/>
      <c r="S160" s="20"/>
      <c r="T160" s="20"/>
      <c r="U160" s="20"/>
    </row>
    <row r="161" spans="16:21" x14ac:dyDescent="0.2">
      <c r="P161" s="20"/>
      <c r="Q161" s="20"/>
      <c r="R161" s="20"/>
      <c r="S161" s="20"/>
      <c r="T161" s="20"/>
      <c r="U161" s="20"/>
    </row>
    <row r="162" spans="16:21" x14ac:dyDescent="0.2">
      <c r="P162" s="20"/>
      <c r="Q162" s="20"/>
      <c r="R162" s="20"/>
      <c r="S162" s="20"/>
      <c r="T162" s="20"/>
      <c r="U162" s="20"/>
    </row>
    <row r="163" spans="16:21" x14ac:dyDescent="0.2">
      <c r="P163" s="20"/>
      <c r="Q163" s="20"/>
      <c r="R163" s="20"/>
      <c r="S163" s="20"/>
      <c r="T163" s="20"/>
      <c r="U163" s="20"/>
    </row>
    <row r="164" spans="16:21" x14ac:dyDescent="0.2">
      <c r="P164" s="20"/>
      <c r="Q164" s="20"/>
      <c r="R164" s="20"/>
      <c r="S164" s="20"/>
      <c r="T164" s="20"/>
      <c r="U164" s="20"/>
    </row>
    <row r="165" spans="16:21" x14ac:dyDescent="0.2">
      <c r="P165" s="20"/>
      <c r="Q165" s="20"/>
      <c r="R165" s="20"/>
      <c r="S165" s="20"/>
      <c r="T165" s="20"/>
      <c r="U165" s="20"/>
    </row>
    <row r="166" spans="16:21" x14ac:dyDescent="0.2">
      <c r="P166" s="20"/>
      <c r="Q166" s="20"/>
      <c r="R166" s="20"/>
      <c r="S166" s="20"/>
      <c r="T166" s="20"/>
      <c r="U166" s="20"/>
    </row>
    <row r="167" spans="16:21" x14ac:dyDescent="0.2">
      <c r="P167" s="20"/>
      <c r="Q167" s="20"/>
      <c r="R167" s="20"/>
      <c r="S167" s="20"/>
      <c r="T167" s="20"/>
      <c r="U167" s="20"/>
    </row>
    <row r="168" spans="16:21" x14ac:dyDescent="0.2">
      <c r="P168" s="20"/>
      <c r="Q168" s="20"/>
      <c r="R168" s="20"/>
      <c r="S168" s="20"/>
      <c r="T168" s="20"/>
      <c r="U168" s="20"/>
    </row>
    <row r="169" spans="16:21" x14ac:dyDescent="0.2">
      <c r="P169" s="20"/>
      <c r="Q169" s="20"/>
      <c r="R169" s="20"/>
      <c r="S169" s="20"/>
      <c r="T169" s="20"/>
      <c r="U169" s="20"/>
    </row>
    <row r="170" spans="16:21" x14ac:dyDescent="0.2">
      <c r="P170" s="20"/>
      <c r="Q170" s="20"/>
      <c r="R170" s="20"/>
      <c r="S170" s="20"/>
      <c r="T170" s="20"/>
      <c r="U170" s="20"/>
    </row>
    <row r="171" spans="16:21" x14ac:dyDescent="0.2">
      <c r="P171" s="20"/>
      <c r="Q171" s="20"/>
      <c r="R171" s="20"/>
      <c r="S171" s="20"/>
      <c r="T171" s="20"/>
      <c r="U171" s="20"/>
    </row>
    <row r="172" spans="16:21" x14ac:dyDescent="0.2">
      <c r="P172" s="20"/>
      <c r="Q172" s="20"/>
      <c r="R172" s="20"/>
      <c r="S172" s="20"/>
      <c r="T172" s="20"/>
      <c r="U172" s="20"/>
    </row>
    <row r="173" spans="16:21" x14ac:dyDescent="0.2">
      <c r="P173" s="20"/>
      <c r="Q173" s="20"/>
      <c r="R173" s="20"/>
      <c r="S173" s="20"/>
      <c r="T173" s="20"/>
      <c r="U173" s="20"/>
    </row>
    <row r="174" spans="16:21" x14ac:dyDescent="0.2">
      <c r="P174" s="20"/>
      <c r="Q174" s="20"/>
      <c r="R174" s="20"/>
      <c r="S174" s="20"/>
      <c r="T174" s="20"/>
      <c r="U174" s="20"/>
    </row>
    <row r="175" spans="16:21" x14ac:dyDescent="0.2">
      <c r="P175" s="20"/>
      <c r="Q175" s="20"/>
      <c r="R175" s="20"/>
      <c r="S175" s="20"/>
      <c r="T175" s="20"/>
      <c r="U175" s="20"/>
    </row>
    <row r="176" spans="16:21" x14ac:dyDescent="0.2">
      <c r="P176" s="20"/>
      <c r="Q176" s="20"/>
      <c r="R176" s="20"/>
      <c r="S176" s="20"/>
      <c r="T176" s="20"/>
      <c r="U176" s="20"/>
    </row>
    <row r="177" spans="16:21" x14ac:dyDescent="0.2">
      <c r="P177" s="20"/>
      <c r="Q177" s="20"/>
      <c r="R177" s="20"/>
      <c r="S177" s="20"/>
      <c r="T177" s="20"/>
      <c r="U177" s="20"/>
    </row>
    <row r="178" spans="16:21" x14ac:dyDescent="0.2">
      <c r="P178" s="20"/>
      <c r="Q178" s="20"/>
      <c r="R178" s="20"/>
      <c r="S178" s="20"/>
      <c r="T178" s="20"/>
      <c r="U178" s="20"/>
    </row>
    <row r="179" spans="16:21" x14ac:dyDescent="0.2">
      <c r="P179" s="20"/>
      <c r="Q179" s="20"/>
      <c r="R179" s="20"/>
      <c r="S179" s="20"/>
      <c r="T179" s="20"/>
      <c r="U179" s="20"/>
    </row>
    <row r="180" spans="16:21" x14ac:dyDescent="0.2">
      <c r="P180" s="20"/>
      <c r="Q180" s="20"/>
      <c r="R180" s="20"/>
      <c r="S180" s="20"/>
      <c r="T180" s="20"/>
      <c r="U180" s="20"/>
    </row>
    <row r="181" spans="16:21" x14ac:dyDescent="0.2">
      <c r="P181" s="20"/>
      <c r="Q181" s="20"/>
      <c r="R181" s="20"/>
      <c r="S181" s="20"/>
      <c r="T181" s="20"/>
      <c r="U181" s="20"/>
    </row>
    <row r="182" spans="16:21" x14ac:dyDescent="0.2">
      <c r="P182" s="20"/>
      <c r="Q182" s="20"/>
      <c r="R182" s="20"/>
      <c r="S182" s="20"/>
      <c r="T182" s="20"/>
      <c r="U182" s="20"/>
    </row>
    <row r="183" spans="16:21" x14ac:dyDescent="0.2">
      <c r="P183" s="20"/>
      <c r="Q183" s="20"/>
      <c r="R183" s="20"/>
      <c r="S183" s="20"/>
      <c r="T183" s="20"/>
      <c r="U183" s="20"/>
    </row>
    <row r="184" spans="16:21" x14ac:dyDescent="0.2">
      <c r="P184" s="20"/>
      <c r="Q184" s="20"/>
      <c r="R184" s="20"/>
      <c r="S184" s="20"/>
      <c r="T184" s="20"/>
      <c r="U184" s="20"/>
    </row>
    <row r="185" spans="16:21" x14ac:dyDescent="0.2">
      <c r="P185" s="20"/>
      <c r="Q185" s="20"/>
      <c r="R185" s="20"/>
      <c r="S185" s="20"/>
      <c r="T185" s="20"/>
      <c r="U185" s="20"/>
    </row>
    <row r="186" spans="16:21" x14ac:dyDescent="0.2">
      <c r="P186" s="20"/>
      <c r="Q186" s="20"/>
      <c r="R186" s="20"/>
      <c r="S186" s="20"/>
      <c r="T186" s="20"/>
      <c r="U186" s="20"/>
    </row>
    <row r="187" spans="16:21" x14ac:dyDescent="0.2">
      <c r="P187" s="20"/>
      <c r="Q187" s="20"/>
      <c r="R187" s="20"/>
      <c r="S187" s="20"/>
      <c r="T187" s="20"/>
      <c r="U187" s="20"/>
    </row>
    <row r="188" spans="16:21" x14ac:dyDescent="0.2">
      <c r="P188" s="20"/>
      <c r="Q188" s="20"/>
      <c r="R188" s="20"/>
      <c r="S188" s="20"/>
      <c r="T188" s="20"/>
      <c r="U188" s="20"/>
    </row>
    <row r="189" spans="16:21" x14ac:dyDescent="0.2">
      <c r="P189" s="20"/>
      <c r="Q189" s="20"/>
      <c r="R189" s="20"/>
      <c r="S189" s="20"/>
      <c r="T189" s="20"/>
      <c r="U189" s="20"/>
    </row>
    <row r="190" spans="16:21" x14ac:dyDescent="0.2">
      <c r="P190" s="20"/>
      <c r="Q190" s="20"/>
      <c r="R190" s="20"/>
      <c r="S190" s="20"/>
      <c r="T190" s="20"/>
      <c r="U190" s="20"/>
    </row>
    <row r="191" spans="16:21" x14ac:dyDescent="0.2">
      <c r="P191" s="20"/>
      <c r="Q191" s="20"/>
      <c r="R191" s="20"/>
      <c r="S191" s="20"/>
      <c r="T191" s="20"/>
      <c r="U191" s="20"/>
    </row>
    <row r="192" spans="16:21" x14ac:dyDescent="0.2">
      <c r="P192" s="20"/>
      <c r="Q192" s="20"/>
      <c r="R192" s="20"/>
      <c r="S192" s="20"/>
      <c r="T192" s="20"/>
      <c r="U192" s="20"/>
    </row>
    <row r="193" spans="16:21" x14ac:dyDescent="0.2">
      <c r="P193" s="20"/>
      <c r="Q193" s="20"/>
      <c r="R193" s="20"/>
      <c r="S193" s="20"/>
      <c r="T193" s="20"/>
      <c r="U193" s="20"/>
    </row>
    <row r="194" spans="16:21" x14ac:dyDescent="0.2">
      <c r="P194" s="20"/>
      <c r="Q194" s="20"/>
      <c r="R194" s="20"/>
      <c r="S194" s="20"/>
      <c r="T194" s="20"/>
      <c r="U194" s="20"/>
    </row>
    <row r="195" spans="16:21" x14ac:dyDescent="0.2">
      <c r="P195" s="20"/>
      <c r="Q195" s="20"/>
      <c r="R195" s="20"/>
      <c r="S195" s="20"/>
      <c r="T195" s="20"/>
      <c r="U195" s="20"/>
    </row>
    <row r="196" spans="16:21" x14ac:dyDescent="0.2">
      <c r="P196" s="20"/>
      <c r="Q196" s="20"/>
      <c r="R196" s="20"/>
      <c r="S196" s="20"/>
      <c r="T196" s="20"/>
      <c r="U196" s="20"/>
    </row>
    <row r="197" spans="16:21" x14ac:dyDescent="0.2">
      <c r="P197" s="20"/>
      <c r="Q197" s="20"/>
      <c r="R197" s="20"/>
      <c r="S197" s="20"/>
      <c r="T197" s="20"/>
      <c r="U197" s="20"/>
    </row>
    <row r="198" spans="16:21" x14ac:dyDescent="0.2">
      <c r="P198" s="20"/>
      <c r="Q198" s="20"/>
      <c r="R198" s="20"/>
      <c r="S198" s="20"/>
      <c r="T198" s="20"/>
      <c r="U198" s="20"/>
    </row>
    <row r="199" spans="16:21" x14ac:dyDescent="0.2">
      <c r="P199" s="20"/>
      <c r="Q199" s="20"/>
      <c r="R199" s="20"/>
      <c r="S199" s="20"/>
      <c r="T199" s="20"/>
      <c r="U199" s="20"/>
    </row>
    <row r="200" spans="16:21" x14ac:dyDescent="0.2">
      <c r="P200" s="20"/>
      <c r="Q200" s="20"/>
      <c r="R200" s="20"/>
      <c r="S200" s="20"/>
      <c r="T200" s="20"/>
      <c r="U200" s="20"/>
    </row>
    <row r="201" spans="16:21" x14ac:dyDescent="0.2">
      <c r="P201" s="20"/>
      <c r="Q201" s="20"/>
      <c r="R201" s="20"/>
      <c r="S201" s="20"/>
      <c r="T201" s="20"/>
      <c r="U201" s="20"/>
    </row>
    <row r="202" spans="16:21" x14ac:dyDescent="0.2">
      <c r="P202" s="20"/>
      <c r="Q202" s="20"/>
      <c r="R202" s="20"/>
      <c r="S202" s="20"/>
      <c r="T202" s="20"/>
      <c r="U202" s="20"/>
    </row>
    <row r="203" spans="16:21" x14ac:dyDescent="0.2">
      <c r="P203" s="20"/>
      <c r="Q203" s="20"/>
      <c r="R203" s="20"/>
      <c r="S203" s="20"/>
      <c r="T203" s="20"/>
      <c r="U203" s="20"/>
    </row>
    <row r="204" spans="16:21" x14ac:dyDescent="0.2">
      <c r="P204" s="20"/>
      <c r="Q204" s="20"/>
      <c r="R204" s="20"/>
      <c r="S204" s="20"/>
      <c r="T204" s="20"/>
      <c r="U204" s="20"/>
    </row>
    <row r="205" spans="16:21" x14ac:dyDescent="0.2">
      <c r="P205" s="20"/>
      <c r="Q205" s="20"/>
      <c r="R205" s="20"/>
      <c r="S205" s="20"/>
      <c r="T205" s="20"/>
      <c r="U205" s="20"/>
    </row>
    <row r="206" spans="16:21" x14ac:dyDescent="0.2">
      <c r="P206" s="20"/>
      <c r="Q206" s="20"/>
      <c r="R206" s="20"/>
      <c r="S206" s="20"/>
      <c r="T206" s="20"/>
      <c r="U206" s="20"/>
    </row>
    <row r="207" spans="16:21" x14ac:dyDescent="0.2">
      <c r="P207" s="20"/>
      <c r="Q207" s="20"/>
      <c r="R207" s="20"/>
      <c r="S207" s="20"/>
      <c r="T207" s="20"/>
      <c r="U207" s="20"/>
    </row>
    <row r="208" spans="16:21" x14ac:dyDescent="0.2">
      <c r="P208" s="20"/>
      <c r="Q208" s="20"/>
      <c r="R208" s="20"/>
      <c r="S208" s="20"/>
      <c r="T208" s="20"/>
      <c r="U208" s="20"/>
    </row>
    <row r="209" spans="16:21" x14ac:dyDescent="0.2">
      <c r="P209" s="20"/>
      <c r="Q209" s="20"/>
      <c r="R209" s="20"/>
      <c r="S209" s="20"/>
      <c r="T209" s="20"/>
      <c r="U209" s="20"/>
    </row>
    <row r="210" spans="16:21" x14ac:dyDescent="0.2">
      <c r="P210" s="20"/>
      <c r="Q210" s="20"/>
      <c r="R210" s="20"/>
      <c r="S210" s="20"/>
      <c r="T210" s="20"/>
      <c r="U210" s="20"/>
    </row>
    <row r="211" spans="16:21" x14ac:dyDescent="0.2">
      <c r="P211" s="20"/>
      <c r="Q211" s="20"/>
      <c r="R211" s="20"/>
      <c r="S211" s="20"/>
      <c r="T211" s="20"/>
      <c r="U211" s="20"/>
    </row>
    <row r="212" spans="16:21" x14ac:dyDescent="0.2">
      <c r="P212" s="20"/>
      <c r="Q212" s="20"/>
      <c r="R212" s="20"/>
      <c r="S212" s="20"/>
      <c r="T212" s="20"/>
      <c r="U212" s="20"/>
    </row>
    <row r="213" spans="16:21" x14ac:dyDescent="0.2">
      <c r="P213" s="20"/>
      <c r="Q213" s="20"/>
      <c r="R213" s="20"/>
      <c r="S213" s="20"/>
      <c r="T213" s="20"/>
      <c r="U213" s="20"/>
    </row>
    <row r="214" spans="16:21" x14ac:dyDescent="0.2">
      <c r="P214" s="20"/>
      <c r="Q214" s="20"/>
      <c r="R214" s="20"/>
      <c r="S214" s="20"/>
      <c r="T214" s="20"/>
      <c r="U214" s="20"/>
    </row>
    <row r="215" spans="16:21" x14ac:dyDescent="0.2">
      <c r="P215" s="20"/>
      <c r="Q215" s="20"/>
      <c r="R215" s="20"/>
      <c r="S215" s="20"/>
      <c r="T215" s="20"/>
      <c r="U215" s="20"/>
    </row>
    <row r="216" spans="16:21" x14ac:dyDescent="0.2">
      <c r="P216" s="20"/>
      <c r="Q216" s="20"/>
      <c r="R216" s="20"/>
      <c r="S216" s="20"/>
      <c r="T216" s="20"/>
      <c r="U216" s="20"/>
    </row>
    <row r="217" spans="16:21" x14ac:dyDescent="0.2">
      <c r="P217" s="20"/>
      <c r="Q217" s="20"/>
      <c r="R217" s="20"/>
      <c r="S217" s="20"/>
      <c r="T217" s="20"/>
      <c r="U217" s="20"/>
    </row>
    <row r="218" spans="16:21" x14ac:dyDescent="0.2">
      <c r="P218" s="20"/>
      <c r="Q218" s="20"/>
      <c r="R218" s="20"/>
      <c r="S218" s="20"/>
      <c r="T218" s="20"/>
      <c r="U218" s="20"/>
    </row>
    <row r="219" spans="16:21" x14ac:dyDescent="0.2">
      <c r="P219" s="20"/>
      <c r="Q219" s="20"/>
      <c r="R219" s="20"/>
      <c r="S219" s="20"/>
      <c r="T219" s="20"/>
      <c r="U219" s="20"/>
    </row>
    <row r="220" spans="16:21" x14ac:dyDescent="0.2">
      <c r="P220" s="20"/>
      <c r="Q220" s="20"/>
      <c r="R220" s="20"/>
      <c r="S220" s="20"/>
      <c r="T220" s="20"/>
      <c r="U220" s="20"/>
    </row>
    <row r="221" spans="16:21" x14ac:dyDescent="0.2">
      <c r="P221" s="20"/>
      <c r="Q221" s="20"/>
      <c r="R221" s="20"/>
      <c r="S221" s="20"/>
      <c r="T221" s="20"/>
      <c r="U221" s="20"/>
    </row>
    <row r="222" spans="16:21" x14ac:dyDescent="0.2">
      <c r="P222" s="20"/>
      <c r="Q222" s="20"/>
      <c r="R222" s="20"/>
      <c r="S222" s="20"/>
      <c r="T222" s="20"/>
      <c r="U222" s="20"/>
    </row>
    <row r="223" spans="16:21" x14ac:dyDescent="0.2">
      <c r="P223" s="20"/>
      <c r="Q223" s="20"/>
      <c r="R223" s="20"/>
      <c r="S223" s="20"/>
      <c r="T223" s="20"/>
      <c r="U223" s="20"/>
    </row>
    <row r="224" spans="16:21" x14ac:dyDescent="0.2">
      <c r="P224" s="20"/>
      <c r="Q224" s="20"/>
      <c r="R224" s="20"/>
      <c r="S224" s="20"/>
      <c r="T224" s="20"/>
      <c r="U224" s="20"/>
    </row>
    <row r="225" spans="16:21" x14ac:dyDescent="0.2">
      <c r="P225" s="20"/>
      <c r="Q225" s="20"/>
      <c r="R225" s="20"/>
      <c r="S225" s="20"/>
      <c r="T225" s="20"/>
      <c r="U225" s="20"/>
    </row>
    <row r="226" spans="16:21" x14ac:dyDescent="0.2">
      <c r="P226" s="20"/>
      <c r="Q226" s="20"/>
      <c r="R226" s="20"/>
      <c r="S226" s="20"/>
      <c r="T226" s="20"/>
      <c r="U226" s="20"/>
    </row>
    <row r="227" spans="16:21" x14ac:dyDescent="0.2">
      <c r="P227" s="20"/>
      <c r="Q227" s="20"/>
      <c r="R227" s="20"/>
      <c r="S227" s="20"/>
      <c r="T227" s="20"/>
      <c r="U227" s="20"/>
    </row>
    <row r="228" spans="16:21" x14ac:dyDescent="0.2">
      <c r="P228" s="20"/>
      <c r="Q228" s="20"/>
      <c r="R228" s="20"/>
      <c r="S228" s="20"/>
      <c r="T228" s="20"/>
      <c r="U228" s="20"/>
    </row>
    <row r="229" spans="16:21" x14ac:dyDescent="0.2">
      <c r="P229" s="20"/>
      <c r="Q229" s="20"/>
      <c r="R229" s="20"/>
      <c r="S229" s="20"/>
      <c r="T229" s="20"/>
      <c r="U229" s="20"/>
    </row>
    <row r="230" spans="16:21" x14ac:dyDescent="0.2">
      <c r="P230" s="20"/>
      <c r="Q230" s="20"/>
      <c r="R230" s="20"/>
      <c r="S230" s="20"/>
      <c r="T230" s="20"/>
      <c r="U230" s="20"/>
    </row>
    <row r="231" spans="16:21" x14ac:dyDescent="0.2">
      <c r="P231" s="20"/>
      <c r="Q231" s="20"/>
      <c r="R231" s="20"/>
      <c r="S231" s="20"/>
      <c r="T231" s="20"/>
      <c r="U231" s="20"/>
    </row>
    <row r="232" spans="16:21" x14ac:dyDescent="0.2">
      <c r="P232" s="20"/>
      <c r="Q232" s="20"/>
      <c r="R232" s="20"/>
      <c r="S232" s="20"/>
      <c r="T232" s="20"/>
      <c r="U232" s="20"/>
    </row>
    <row r="233" spans="16:21" x14ac:dyDescent="0.2">
      <c r="P233" s="20"/>
      <c r="Q233" s="20"/>
      <c r="R233" s="20"/>
      <c r="S233" s="20"/>
      <c r="T233" s="20"/>
      <c r="U233" s="20"/>
    </row>
    <row r="234" spans="16:21" x14ac:dyDescent="0.2">
      <c r="P234" s="20"/>
      <c r="Q234" s="20"/>
      <c r="R234" s="20"/>
      <c r="S234" s="20"/>
      <c r="T234" s="20"/>
      <c r="U234" s="20"/>
    </row>
    <row r="235" spans="16:21" x14ac:dyDescent="0.2">
      <c r="P235" s="20"/>
      <c r="Q235" s="20"/>
      <c r="R235" s="20"/>
      <c r="S235" s="20"/>
      <c r="T235" s="20"/>
      <c r="U235" s="20"/>
    </row>
    <row r="236" spans="16:21" x14ac:dyDescent="0.2">
      <c r="P236" s="20"/>
      <c r="Q236" s="20"/>
      <c r="R236" s="20"/>
      <c r="S236" s="20"/>
      <c r="T236" s="20"/>
      <c r="U236" s="20"/>
    </row>
    <row r="237" spans="16:21" x14ac:dyDescent="0.2">
      <c r="P237" s="20"/>
      <c r="Q237" s="20"/>
      <c r="R237" s="20"/>
      <c r="S237" s="20"/>
      <c r="T237" s="20"/>
      <c r="U237" s="20"/>
    </row>
    <row r="238" spans="16:21" x14ac:dyDescent="0.2">
      <c r="P238" s="20"/>
      <c r="Q238" s="20"/>
      <c r="R238" s="20"/>
      <c r="S238" s="20"/>
      <c r="T238" s="20"/>
      <c r="U238" s="20"/>
    </row>
    <row r="239" spans="16:21" x14ac:dyDescent="0.2">
      <c r="P239" s="20"/>
      <c r="Q239" s="20"/>
      <c r="R239" s="20"/>
      <c r="S239" s="20"/>
      <c r="T239" s="20"/>
      <c r="U239" s="20"/>
    </row>
    <row r="240" spans="16:21" x14ac:dyDescent="0.2">
      <c r="P240" s="20"/>
      <c r="Q240" s="20"/>
      <c r="R240" s="20"/>
      <c r="S240" s="20"/>
      <c r="T240" s="20"/>
      <c r="U240" s="20"/>
    </row>
    <row r="241" spans="16:21" x14ac:dyDescent="0.2">
      <c r="P241" s="20"/>
      <c r="Q241" s="20"/>
      <c r="R241" s="20"/>
      <c r="S241" s="20"/>
      <c r="T241" s="20"/>
      <c r="U241" s="20"/>
    </row>
    <row r="242" spans="16:21" x14ac:dyDescent="0.2">
      <c r="P242" s="20"/>
      <c r="Q242" s="20"/>
      <c r="R242" s="20"/>
      <c r="S242" s="20"/>
      <c r="T242" s="20"/>
      <c r="U242" s="20"/>
    </row>
    <row r="243" spans="16:21" x14ac:dyDescent="0.2">
      <c r="P243" s="20"/>
      <c r="Q243" s="20"/>
      <c r="R243" s="20"/>
      <c r="S243" s="20"/>
      <c r="T243" s="20"/>
      <c r="U243" s="20"/>
    </row>
    <row r="244" spans="16:21" x14ac:dyDescent="0.2">
      <c r="P244" s="20"/>
      <c r="Q244" s="20"/>
      <c r="R244" s="20"/>
      <c r="S244" s="20"/>
      <c r="T244" s="20"/>
      <c r="U244" s="20"/>
    </row>
    <row r="245" spans="16:21" x14ac:dyDescent="0.2">
      <c r="P245" s="20"/>
      <c r="Q245" s="20"/>
      <c r="R245" s="20"/>
      <c r="S245" s="20"/>
      <c r="T245" s="20"/>
      <c r="U245" s="20"/>
    </row>
    <row r="246" spans="16:21" x14ac:dyDescent="0.2">
      <c r="P246" s="20"/>
      <c r="Q246" s="20"/>
      <c r="R246" s="20"/>
      <c r="S246" s="20"/>
      <c r="T246" s="20"/>
      <c r="U246" s="20"/>
    </row>
    <row r="247" spans="16:21" x14ac:dyDescent="0.2">
      <c r="P247" s="20"/>
      <c r="Q247" s="20"/>
      <c r="R247" s="20"/>
      <c r="S247" s="20"/>
      <c r="T247" s="20"/>
      <c r="U247" s="20"/>
    </row>
    <row r="248" spans="16:21" x14ac:dyDescent="0.2">
      <c r="P248" s="20"/>
      <c r="Q248" s="20"/>
      <c r="R248" s="20"/>
      <c r="S248" s="20"/>
      <c r="T248" s="20"/>
      <c r="U248" s="20"/>
    </row>
    <row r="249" spans="16:21" x14ac:dyDescent="0.2">
      <c r="P249" s="20"/>
      <c r="Q249" s="20"/>
      <c r="R249" s="20"/>
      <c r="S249" s="20"/>
      <c r="T249" s="20"/>
      <c r="U249" s="20"/>
    </row>
    <row r="250" spans="16:21" x14ac:dyDescent="0.2">
      <c r="P250" s="20"/>
      <c r="Q250" s="20"/>
      <c r="R250" s="20"/>
      <c r="S250" s="20"/>
      <c r="T250" s="20"/>
      <c r="U250" s="20"/>
    </row>
    <row r="251" spans="16:21" x14ac:dyDescent="0.2">
      <c r="P251" s="20"/>
      <c r="Q251" s="20"/>
      <c r="R251" s="20"/>
      <c r="S251" s="20"/>
      <c r="T251" s="20"/>
      <c r="U251" s="20"/>
    </row>
    <row r="252" spans="16:21" x14ac:dyDescent="0.2">
      <c r="P252" s="20"/>
      <c r="Q252" s="20"/>
      <c r="R252" s="20"/>
      <c r="S252" s="20"/>
      <c r="T252" s="20"/>
      <c r="U252" s="20"/>
    </row>
    <row r="253" spans="16:21" x14ac:dyDescent="0.2">
      <c r="P253" s="20"/>
      <c r="Q253" s="20"/>
      <c r="R253" s="20"/>
      <c r="S253" s="20"/>
      <c r="T253" s="20"/>
      <c r="U253" s="20"/>
    </row>
    <row r="254" spans="16:21" x14ac:dyDescent="0.2">
      <c r="P254" s="20"/>
      <c r="Q254" s="20"/>
      <c r="R254" s="20"/>
      <c r="S254" s="20"/>
      <c r="T254" s="20"/>
      <c r="U254" s="20"/>
    </row>
    <row r="255" spans="16:21" x14ac:dyDescent="0.2">
      <c r="P255" s="20"/>
      <c r="Q255" s="20"/>
      <c r="R255" s="20"/>
      <c r="S255" s="20"/>
      <c r="T255" s="20"/>
      <c r="U255" s="20"/>
    </row>
    <row r="256" spans="16:21" x14ac:dyDescent="0.2">
      <c r="P256" s="20"/>
      <c r="Q256" s="20"/>
      <c r="R256" s="20"/>
      <c r="S256" s="20"/>
      <c r="T256" s="20"/>
      <c r="U256" s="20"/>
    </row>
    <row r="257" spans="16:21" x14ac:dyDescent="0.2">
      <c r="P257" s="20"/>
      <c r="Q257" s="20"/>
      <c r="R257" s="20"/>
      <c r="S257" s="20"/>
      <c r="T257" s="20"/>
      <c r="U257" s="20"/>
    </row>
    <row r="258" spans="16:21" x14ac:dyDescent="0.2">
      <c r="P258" s="20"/>
      <c r="Q258" s="20"/>
      <c r="R258" s="20"/>
      <c r="S258" s="20"/>
      <c r="T258" s="20"/>
      <c r="U258" s="20"/>
    </row>
    <row r="259" spans="16:21" x14ac:dyDescent="0.2">
      <c r="P259" s="20"/>
      <c r="Q259" s="20"/>
      <c r="R259" s="20"/>
      <c r="S259" s="20"/>
      <c r="T259" s="20"/>
      <c r="U259" s="20"/>
    </row>
    <row r="260" spans="16:21" x14ac:dyDescent="0.2">
      <c r="P260" s="20"/>
      <c r="Q260" s="20"/>
      <c r="R260" s="20"/>
      <c r="S260" s="20"/>
      <c r="T260" s="20"/>
      <c r="U260" s="20"/>
    </row>
    <row r="261" spans="16:21" x14ac:dyDescent="0.2">
      <c r="P261" s="20"/>
      <c r="Q261" s="20"/>
      <c r="R261" s="20"/>
      <c r="S261" s="20"/>
      <c r="T261" s="20"/>
      <c r="U261" s="20"/>
    </row>
    <row r="262" spans="16:21" x14ac:dyDescent="0.2">
      <c r="P262" s="20"/>
      <c r="Q262" s="20"/>
      <c r="R262" s="20"/>
      <c r="S262" s="20"/>
      <c r="T262" s="20"/>
      <c r="U262" s="20"/>
    </row>
    <row r="263" spans="16:21" x14ac:dyDescent="0.2">
      <c r="P263" s="20"/>
      <c r="Q263" s="20"/>
      <c r="R263" s="20"/>
      <c r="S263" s="20"/>
      <c r="T263" s="20"/>
      <c r="U263" s="20"/>
    </row>
    <row r="264" spans="16:21" x14ac:dyDescent="0.2">
      <c r="P264" s="20"/>
      <c r="Q264" s="20"/>
      <c r="R264" s="20"/>
      <c r="S264" s="20"/>
      <c r="T264" s="20"/>
      <c r="U264" s="20"/>
    </row>
    <row r="265" spans="16:21" x14ac:dyDescent="0.2">
      <c r="P265" s="20"/>
      <c r="Q265" s="20"/>
      <c r="R265" s="20"/>
      <c r="S265" s="20"/>
      <c r="T265" s="20"/>
      <c r="U265" s="20"/>
    </row>
    <row r="266" spans="16:21" x14ac:dyDescent="0.2">
      <c r="P266" s="20"/>
      <c r="Q266" s="20"/>
      <c r="R266" s="20"/>
      <c r="S266" s="20"/>
      <c r="T266" s="20"/>
      <c r="U266" s="20"/>
    </row>
    <row r="267" spans="16:21" x14ac:dyDescent="0.2">
      <c r="P267" s="20"/>
      <c r="Q267" s="20"/>
      <c r="R267" s="20"/>
      <c r="S267" s="20"/>
      <c r="T267" s="20"/>
      <c r="U267" s="20"/>
    </row>
    <row r="268" spans="16:21" x14ac:dyDescent="0.2">
      <c r="P268" s="20"/>
      <c r="Q268" s="20"/>
      <c r="R268" s="20"/>
      <c r="S268" s="20"/>
      <c r="T268" s="20"/>
      <c r="U268" s="20"/>
    </row>
    <row r="269" spans="16:21" x14ac:dyDescent="0.2">
      <c r="P269" s="20"/>
      <c r="Q269" s="20"/>
      <c r="R269" s="20"/>
      <c r="S269" s="20"/>
      <c r="T269" s="20"/>
      <c r="U269" s="20"/>
    </row>
    <row r="270" spans="16:21" x14ac:dyDescent="0.2">
      <c r="P270" s="20"/>
      <c r="Q270" s="20"/>
      <c r="R270" s="20"/>
      <c r="S270" s="20"/>
      <c r="T270" s="20"/>
      <c r="U270" s="20"/>
    </row>
    <row r="271" spans="16:21" x14ac:dyDescent="0.2">
      <c r="P271" s="20"/>
      <c r="Q271" s="20"/>
      <c r="R271" s="20"/>
      <c r="S271" s="20"/>
      <c r="T271" s="20"/>
      <c r="U271" s="20"/>
    </row>
    <row r="272" spans="16:21" x14ac:dyDescent="0.2">
      <c r="P272" s="20"/>
      <c r="Q272" s="20"/>
      <c r="R272" s="20"/>
      <c r="S272" s="20"/>
      <c r="T272" s="20"/>
      <c r="U272" s="20"/>
    </row>
    <row r="273" spans="16:21" x14ac:dyDescent="0.2">
      <c r="P273" s="20"/>
      <c r="Q273" s="20"/>
      <c r="R273" s="20"/>
      <c r="S273" s="20"/>
      <c r="T273" s="20"/>
      <c r="U273" s="20"/>
    </row>
    <row r="274" spans="16:21" x14ac:dyDescent="0.2">
      <c r="P274" s="20"/>
      <c r="Q274" s="20"/>
      <c r="R274" s="20"/>
      <c r="S274" s="20"/>
      <c r="T274" s="20"/>
      <c r="U274" s="20"/>
    </row>
    <row r="275" spans="16:21" x14ac:dyDescent="0.2">
      <c r="P275" s="20"/>
      <c r="Q275" s="20"/>
      <c r="R275" s="20"/>
      <c r="S275" s="20"/>
      <c r="T275" s="20"/>
      <c r="U275" s="20"/>
    </row>
    <row r="276" spans="16:21" x14ac:dyDescent="0.2">
      <c r="P276" s="20"/>
      <c r="Q276" s="20"/>
      <c r="R276" s="20"/>
      <c r="S276" s="20"/>
      <c r="T276" s="20"/>
      <c r="U276" s="20"/>
    </row>
    <row r="277" spans="16:21" x14ac:dyDescent="0.2">
      <c r="P277" s="20"/>
      <c r="Q277" s="20"/>
      <c r="R277" s="20"/>
      <c r="S277" s="20"/>
      <c r="T277" s="20"/>
      <c r="U277" s="20"/>
    </row>
    <row r="278" spans="16:21" x14ac:dyDescent="0.2">
      <c r="P278" s="20"/>
      <c r="Q278" s="20"/>
      <c r="R278" s="20"/>
      <c r="S278" s="20"/>
      <c r="T278" s="20"/>
      <c r="U278" s="20"/>
    </row>
    <row r="279" spans="16:21" x14ac:dyDescent="0.2">
      <c r="P279" s="20"/>
      <c r="Q279" s="20"/>
      <c r="R279" s="20"/>
      <c r="S279" s="20"/>
      <c r="T279" s="20"/>
      <c r="U279" s="20"/>
    </row>
    <row r="280" spans="16:21" x14ac:dyDescent="0.2">
      <c r="P280" s="20"/>
      <c r="Q280" s="20"/>
      <c r="R280" s="20"/>
      <c r="S280" s="20"/>
      <c r="T280" s="20"/>
      <c r="U280" s="20"/>
    </row>
    <row r="281" spans="16:21" x14ac:dyDescent="0.2">
      <c r="P281" s="20"/>
      <c r="Q281" s="20"/>
      <c r="R281" s="20"/>
      <c r="S281" s="20"/>
      <c r="T281" s="20"/>
      <c r="U281" s="20"/>
    </row>
    <row r="282" spans="16:21" x14ac:dyDescent="0.2">
      <c r="P282" s="20"/>
      <c r="Q282" s="20"/>
      <c r="R282" s="20"/>
      <c r="S282" s="20"/>
      <c r="T282" s="20"/>
      <c r="U282" s="20"/>
    </row>
    <row r="283" spans="16:21" x14ac:dyDescent="0.2">
      <c r="P283" s="20"/>
      <c r="Q283" s="20"/>
      <c r="R283" s="20"/>
      <c r="S283" s="20"/>
      <c r="T283" s="20"/>
      <c r="U283" s="20"/>
    </row>
    <row r="284" spans="16:21" x14ac:dyDescent="0.2">
      <c r="P284" s="20"/>
      <c r="Q284" s="20"/>
      <c r="R284" s="20"/>
      <c r="S284" s="20"/>
      <c r="T284" s="20"/>
      <c r="U284" s="20"/>
    </row>
    <row r="285" spans="16:21" x14ac:dyDescent="0.2">
      <c r="P285" s="20"/>
      <c r="Q285" s="20"/>
      <c r="R285" s="20"/>
      <c r="S285" s="20"/>
      <c r="T285" s="20"/>
      <c r="U285" s="20"/>
    </row>
    <row r="286" spans="16:21" x14ac:dyDescent="0.2">
      <c r="P286" s="20"/>
      <c r="Q286" s="20"/>
      <c r="R286" s="20"/>
      <c r="S286" s="20"/>
      <c r="T286" s="20"/>
      <c r="U286" s="20"/>
    </row>
    <row r="287" spans="16:21" x14ac:dyDescent="0.2">
      <c r="P287" s="20"/>
      <c r="Q287" s="20"/>
      <c r="R287" s="20"/>
      <c r="S287" s="20"/>
      <c r="T287" s="20"/>
      <c r="U287" s="20"/>
    </row>
    <row r="288" spans="16:21" x14ac:dyDescent="0.2">
      <c r="P288" s="20"/>
      <c r="Q288" s="20"/>
      <c r="R288" s="20"/>
      <c r="S288" s="20"/>
      <c r="T288" s="20"/>
      <c r="U288" s="20"/>
    </row>
    <row r="289" spans="16:21" x14ac:dyDescent="0.2">
      <c r="P289" s="20"/>
      <c r="Q289" s="20"/>
      <c r="R289" s="20"/>
      <c r="S289" s="20"/>
      <c r="T289" s="20"/>
      <c r="U289" s="20"/>
    </row>
    <row r="290" spans="16:21" x14ac:dyDescent="0.2">
      <c r="P290" s="20"/>
      <c r="Q290" s="20"/>
      <c r="R290" s="20"/>
      <c r="S290" s="20"/>
      <c r="T290" s="20"/>
      <c r="U290" s="20"/>
    </row>
    <row r="291" spans="16:21" x14ac:dyDescent="0.2">
      <c r="P291" s="20"/>
      <c r="Q291" s="20"/>
      <c r="R291" s="20"/>
      <c r="S291" s="20"/>
      <c r="T291" s="20"/>
      <c r="U291" s="20"/>
    </row>
    <row r="292" spans="16:21" x14ac:dyDescent="0.2">
      <c r="P292" s="20"/>
      <c r="Q292" s="20"/>
      <c r="R292" s="20"/>
      <c r="S292" s="20"/>
      <c r="T292" s="20"/>
      <c r="U292" s="20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93"/>
  <sheetViews>
    <sheetView zoomScaleNormal="100" zoomScaleSheetLayoutView="70" workbookViewId="0">
      <pane xSplit="3" ySplit="3" topLeftCell="W73" activePane="bottomRight" state="frozen"/>
      <selection activeCell="AB31" sqref="AB31"/>
      <selection pane="topRight" activeCell="AB31" sqref="AB31"/>
      <selection pane="bottomLeft" activeCell="AB31" sqref="AB31"/>
      <selection pane="bottomRight" activeCell="AJ8" sqref="AJ8"/>
    </sheetView>
  </sheetViews>
  <sheetFormatPr defaultRowHeight="12.75" x14ac:dyDescent="0.2"/>
  <cols>
    <col min="1" max="1" width="6" style="353" hidden="1" customWidth="1"/>
    <col min="2" max="2" width="7.28515625" style="400" customWidth="1"/>
    <col min="3" max="3" width="12.85546875" style="356" customWidth="1"/>
    <col min="4" max="8" width="9" style="397" customWidth="1"/>
    <col min="9" max="9" width="9" style="398" customWidth="1"/>
    <col min="10" max="12" width="9" style="397" customWidth="1"/>
    <col min="13" max="13" width="9" style="398" customWidth="1"/>
    <col min="14" max="14" width="9" style="397" customWidth="1"/>
    <col min="15" max="15" width="9" style="356" customWidth="1"/>
    <col min="16" max="16" width="9" style="393" customWidth="1"/>
    <col min="17" max="17" width="9" style="398" customWidth="1"/>
    <col min="18" max="19" width="9" style="397" customWidth="1"/>
    <col min="20" max="21" width="10.85546875" style="397" customWidth="1"/>
    <col min="22" max="22" width="10.85546875" style="356" customWidth="1"/>
    <col min="23" max="25" width="9" style="356" customWidth="1"/>
    <col min="26" max="26" width="9" style="355" customWidth="1"/>
    <col min="27" max="27" width="11.85546875" style="355" hidden="1" customWidth="1"/>
    <col min="28" max="28" width="9" style="356" customWidth="1"/>
    <col min="29" max="29" width="9" style="355" customWidth="1"/>
    <col min="30" max="31" width="9" style="397" customWidth="1"/>
    <col min="32" max="32" width="11.140625" style="356" customWidth="1"/>
    <col min="33" max="33" width="9" style="356" customWidth="1"/>
    <col min="34" max="35" width="9" style="355" hidden="1" customWidth="1"/>
    <col min="36" max="16384" width="9.140625" style="356"/>
  </cols>
  <sheetData>
    <row r="1" spans="1:35" ht="17.25" customHeight="1" x14ac:dyDescent="0.2">
      <c r="B1" s="1010" t="s">
        <v>395</v>
      </c>
      <c r="C1" s="1010"/>
      <c r="D1" s="1010"/>
      <c r="E1" s="1010"/>
      <c r="F1" s="1010"/>
      <c r="G1" s="1010"/>
      <c r="H1" s="1010"/>
      <c r="I1" s="1010"/>
      <c r="J1" s="1010"/>
      <c r="K1" s="1010"/>
      <c r="L1" s="1010"/>
      <c r="M1" s="1010"/>
      <c r="N1" s="1010"/>
      <c r="O1" s="1010"/>
      <c r="P1" s="1010"/>
      <c r="Q1" s="597"/>
      <c r="R1" s="597"/>
      <c r="S1" s="597"/>
      <c r="T1" s="597"/>
      <c r="U1" s="354"/>
      <c r="V1" s="354"/>
      <c r="W1" s="354"/>
      <c r="X1" s="354"/>
      <c r="Y1" s="354"/>
      <c r="AD1" s="597"/>
      <c r="AE1" s="597"/>
      <c r="AF1" s="597"/>
      <c r="AG1" s="354"/>
    </row>
    <row r="2" spans="1:35" s="359" customFormat="1" ht="38.25" customHeight="1" x14ac:dyDescent="0.2">
      <c r="A2" s="357"/>
      <c r="B2" s="1011" t="s">
        <v>396</v>
      </c>
      <c r="C2" s="1011" t="s">
        <v>397</v>
      </c>
      <c r="D2" s="602" t="s">
        <v>259</v>
      </c>
      <c r="E2" s="602" t="s">
        <v>277</v>
      </c>
      <c r="F2" s="602" t="s">
        <v>269</v>
      </c>
      <c r="G2" s="602" t="s">
        <v>263</v>
      </c>
      <c r="H2" s="602" t="s">
        <v>398</v>
      </c>
      <c r="I2" s="602" t="s">
        <v>267</v>
      </c>
      <c r="J2" s="602" t="s">
        <v>275</v>
      </c>
      <c r="K2" s="602" t="s">
        <v>399</v>
      </c>
      <c r="L2" s="602" t="s">
        <v>400</v>
      </c>
      <c r="M2" s="602" t="s">
        <v>401</v>
      </c>
      <c r="N2" s="602" t="s">
        <v>402</v>
      </c>
      <c r="O2" s="602" t="s">
        <v>758</v>
      </c>
      <c r="P2" s="602" t="s">
        <v>759</v>
      </c>
      <c r="Q2" s="602" t="s">
        <v>772</v>
      </c>
      <c r="R2" s="602" t="s">
        <v>208</v>
      </c>
      <c r="S2" s="602" t="s">
        <v>403</v>
      </c>
      <c r="T2" s="602" t="s">
        <v>794</v>
      </c>
      <c r="U2" s="602" t="s">
        <v>404</v>
      </c>
      <c r="V2" s="602" t="s">
        <v>405</v>
      </c>
      <c r="W2" s="602" t="s">
        <v>406</v>
      </c>
      <c r="X2" s="602" t="s">
        <v>407</v>
      </c>
      <c r="Y2" s="602" t="s">
        <v>408</v>
      </c>
      <c r="Z2" s="602" t="s">
        <v>84</v>
      </c>
      <c r="AA2" s="602" t="s">
        <v>409</v>
      </c>
      <c r="AB2" s="602" t="s">
        <v>206</v>
      </c>
      <c r="AC2" s="602" t="s">
        <v>410</v>
      </c>
      <c r="AD2" s="602" t="s">
        <v>411</v>
      </c>
      <c r="AE2" s="602" t="s">
        <v>124</v>
      </c>
      <c r="AF2" s="602" t="s">
        <v>719</v>
      </c>
      <c r="AG2" s="602" t="s">
        <v>412</v>
      </c>
      <c r="AH2" s="602" t="s">
        <v>413</v>
      </c>
      <c r="AI2" s="603" t="s">
        <v>414</v>
      </c>
    </row>
    <row r="3" spans="1:35" s="359" customFormat="1" ht="100.5" customHeight="1" x14ac:dyDescent="0.2">
      <c r="A3" s="357"/>
      <c r="B3" s="1012"/>
      <c r="C3" s="1012"/>
      <c r="D3" s="358" t="s">
        <v>415</v>
      </c>
      <c r="E3" s="358" t="s">
        <v>415</v>
      </c>
      <c r="F3" s="358" t="s">
        <v>415</v>
      </c>
      <c r="G3" s="358" t="s">
        <v>415</v>
      </c>
      <c r="H3" s="358" t="s">
        <v>415</v>
      </c>
      <c r="I3" s="358" t="s">
        <v>415</v>
      </c>
      <c r="J3" s="358" t="s">
        <v>415</v>
      </c>
      <c r="K3" s="358" t="s">
        <v>415</v>
      </c>
      <c r="L3" s="358" t="s">
        <v>415</v>
      </c>
      <c r="M3" s="358" t="s">
        <v>415</v>
      </c>
      <c r="N3" s="358" t="s">
        <v>415</v>
      </c>
      <c r="O3" s="358" t="s">
        <v>415</v>
      </c>
      <c r="P3" s="358" t="s">
        <v>415</v>
      </c>
      <c r="Q3" s="358" t="s">
        <v>415</v>
      </c>
      <c r="R3" s="358" t="s">
        <v>415</v>
      </c>
      <c r="S3" s="358" t="s">
        <v>415</v>
      </c>
      <c r="T3" s="358" t="s">
        <v>415</v>
      </c>
      <c r="U3" s="358" t="s">
        <v>415</v>
      </c>
      <c r="V3" s="358" t="s">
        <v>415</v>
      </c>
      <c r="W3" s="358" t="s">
        <v>415</v>
      </c>
      <c r="X3" s="358" t="s">
        <v>415</v>
      </c>
      <c r="Y3" s="358" t="s">
        <v>415</v>
      </c>
      <c r="Z3" s="358" t="s">
        <v>415</v>
      </c>
      <c r="AA3" s="358" t="s">
        <v>415</v>
      </c>
      <c r="AB3" s="358" t="s">
        <v>415</v>
      </c>
      <c r="AC3" s="358" t="s">
        <v>415</v>
      </c>
      <c r="AD3" s="358" t="s">
        <v>415</v>
      </c>
      <c r="AE3" s="358" t="s">
        <v>415</v>
      </c>
      <c r="AF3" s="358" t="s">
        <v>415</v>
      </c>
      <c r="AG3" s="358" t="s">
        <v>415</v>
      </c>
      <c r="AH3" s="358" t="s">
        <v>415</v>
      </c>
      <c r="AI3" s="358" t="s">
        <v>415</v>
      </c>
    </row>
    <row r="4" spans="1:35" s="363" customFormat="1" ht="11.25" hidden="1" customHeight="1" x14ac:dyDescent="0.2">
      <c r="A4" s="360"/>
      <c r="B4" s="361">
        <v>1</v>
      </c>
      <c r="C4" s="362">
        <v>2</v>
      </c>
      <c r="D4" s="361">
        <v>3</v>
      </c>
      <c r="E4" s="362">
        <v>5</v>
      </c>
      <c r="F4" s="361">
        <v>7</v>
      </c>
      <c r="G4" s="361">
        <v>9</v>
      </c>
      <c r="H4" s="362">
        <v>11</v>
      </c>
      <c r="I4" s="361">
        <v>13</v>
      </c>
      <c r="J4" s="362">
        <v>15</v>
      </c>
      <c r="K4" s="361">
        <v>17</v>
      </c>
      <c r="L4" s="361">
        <v>19</v>
      </c>
      <c r="M4" s="361">
        <v>21</v>
      </c>
      <c r="N4" s="361">
        <v>23</v>
      </c>
      <c r="O4" s="362">
        <v>25</v>
      </c>
      <c r="P4" s="361">
        <v>27</v>
      </c>
      <c r="Q4" s="361">
        <v>29</v>
      </c>
      <c r="R4" s="362">
        <v>31</v>
      </c>
      <c r="S4" s="361">
        <v>33</v>
      </c>
      <c r="T4" s="362">
        <v>35</v>
      </c>
      <c r="U4" s="361">
        <v>37</v>
      </c>
      <c r="V4" s="361">
        <v>39</v>
      </c>
      <c r="W4" s="362">
        <v>41</v>
      </c>
      <c r="X4" s="361">
        <v>43</v>
      </c>
      <c r="Y4" s="361">
        <v>45</v>
      </c>
      <c r="Z4" s="361">
        <v>47</v>
      </c>
      <c r="AA4" s="361">
        <v>49</v>
      </c>
      <c r="AB4" s="361">
        <v>51</v>
      </c>
      <c r="AC4" s="361">
        <v>53</v>
      </c>
      <c r="AD4" s="361">
        <v>55</v>
      </c>
      <c r="AE4" s="361">
        <v>57</v>
      </c>
      <c r="AF4" s="361">
        <v>59</v>
      </c>
      <c r="AG4" s="361">
        <v>61</v>
      </c>
      <c r="AH4" s="361">
        <v>63</v>
      </c>
      <c r="AI4" s="361">
        <v>65</v>
      </c>
    </row>
    <row r="5" spans="1:35" s="366" customFormat="1" ht="24" customHeight="1" x14ac:dyDescent="0.2">
      <c r="A5" s="364"/>
      <c r="B5" s="1005" t="s">
        <v>416</v>
      </c>
      <c r="C5" s="1006"/>
      <c r="D5" s="365">
        <v>384</v>
      </c>
      <c r="E5" s="365">
        <v>0</v>
      </c>
      <c r="F5" s="365">
        <f t="shared" ref="F5:AH5" si="0">F6+F7</f>
        <v>271</v>
      </c>
      <c r="G5" s="365">
        <v>0</v>
      </c>
      <c r="H5" s="365">
        <f t="shared" si="0"/>
        <v>0</v>
      </c>
      <c r="I5" s="365">
        <f t="shared" si="0"/>
        <v>0</v>
      </c>
      <c r="J5" s="365">
        <f t="shared" si="0"/>
        <v>0</v>
      </c>
      <c r="K5" s="365">
        <v>68</v>
      </c>
      <c r="L5" s="365">
        <f t="shared" si="0"/>
        <v>0</v>
      </c>
      <c r="M5" s="365">
        <v>0</v>
      </c>
      <c r="N5" s="365">
        <f t="shared" si="0"/>
        <v>30</v>
      </c>
      <c r="O5" s="365">
        <f t="shared" si="0"/>
        <v>129</v>
      </c>
      <c r="P5" s="365">
        <v>48</v>
      </c>
      <c r="Q5" s="365">
        <f t="shared" si="0"/>
        <v>40</v>
      </c>
      <c r="R5" s="365">
        <v>0</v>
      </c>
      <c r="S5" s="365">
        <v>0</v>
      </c>
      <c r="T5" s="365">
        <v>0</v>
      </c>
      <c r="U5" s="365">
        <f t="shared" si="0"/>
        <v>0</v>
      </c>
      <c r="V5" s="365">
        <v>0</v>
      </c>
      <c r="W5" s="365">
        <v>0</v>
      </c>
      <c r="X5" s="365">
        <f t="shared" si="0"/>
        <v>0</v>
      </c>
      <c r="Y5" s="365">
        <v>0</v>
      </c>
      <c r="Z5" s="365">
        <f t="shared" si="0"/>
        <v>0</v>
      </c>
      <c r="AA5" s="365">
        <f t="shared" si="0"/>
        <v>0</v>
      </c>
      <c r="AB5" s="365">
        <f t="shared" si="0"/>
        <v>0</v>
      </c>
      <c r="AC5" s="365">
        <f t="shared" si="0"/>
        <v>0</v>
      </c>
      <c r="AD5" s="365">
        <f>AD6+AD7</f>
        <v>215</v>
      </c>
      <c r="AE5" s="365">
        <v>0</v>
      </c>
      <c r="AF5" s="365">
        <v>0</v>
      </c>
      <c r="AG5" s="365">
        <f>AG6+AG7</f>
        <v>1185</v>
      </c>
      <c r="AH5" s="365">
        <f t="shared" si="0"/>
        <v>0</v>
      </c>
      <c r="AI5" s="365">
        <f>AI6+AI7</f>
        <v>1185</v>
      </c>
    </row>
    <row r="6" spans="1:35" s="363" customFormat="1" ht="13.5" customHeight="1" x14ac:dyDescent="0.2">
      <c r="A6" s="360">
        <v>3</v>
      </c>
      <c r="B6" s="367">
        <v>1</v>
      </c>
      <c r="C6" s="368">
        <f>[7]стоимость!J5</f>
        <v>154599</v>
      </c>
      <c r="D6" s="369">
        <v>304</v>
      </c>
      <c r="E6" s="369"/>
      <c r="F6" s="369">
        <v>131</v>
      </c>
      <c r="G6" s="369"/>
      <c r="H6" s="369"/>
      <c r="I6" s="369"/>
      <c r="J6" s="369"/>
      <c r="K6" s="369"/>
      <c r="L6" s="369"/>
      <c r="M6" s="369"/>
      <c r="N6" s="369">
        <v>13</v>
      </c>
      <c r="O6" s="369">
        <v>100</v>
      </c>
      <c r="P6" s="369">
        <v>20</v>
      </c>
      <c r="Q6" s="369">
        <v>40</v>
      </c>
      <c r="R6" s="369"/>
      <c r="S6" s="369"/>
      <c r="T6" s="369"/>
      <c r="U6" s="369"/>
      <c r="V6" s="369"/>
      <c r="W6" s="370"/>
      <c r="X6" s="370"/>
      <c r="Y6" s="370"/>
      <c r="Z6" s="371"/>
      <c r="AA6" s="371"/>
      <c r="AB6" s="371"/>
      <c r="AC6" s="371"/>
      <c r="AD6" s="370">
        <f>150+20</f>
        <v>170</v>
      </c>
      <c r="AE6" s="370"/>
      <c r="AF6" s="369"/>
      <c r="AG6" s="372">
        <f>D6+E6+F6+G6+H6+I6+J6+K6+L6+M6+N6+O6+P6+Q6+R6+S6+T6+U6+V6+W6+X6+Y6+Z6+AA6+AB6+AC6+AD6+AE6+AF6</f>
        <v>778</v>
      </c>
      <c r="AH6" s="371"/>
      <c r="AI6" s="373">
        <f>AG6+AH6</f>
        <v>778</v>
      </c>
    </row>
    <row r="7" spans="1:35" s="363" customFormat="1" ht="13.5" customHeight="1" x14ac:dyDescent="0.2">
      <c r="A7" s="360">
        <v>4</v>
      </c>
      <c r="B7" s="367">
        <v>2</v>
      </c>
      <c r="C7" s="368">
        <f>[7]стоимость!J6</f>
        <v>235945</v>
      </c>
      <c r="D7" s="370">
        <v>80</v>
      </c>
      <c r="E7" s="370"/>
      <c r="F7" s="370">
        <v>140</v>
      </c>
      <c r="G7" s="369"/>
      <c r="H7" s="370"/>
      <c r="I7" s="374"/>
      <c r="J7" s="370"/>
      <c r="K7" s="370">
        <v>68</v>
      </c>
      <c r="L7" s="370"/>
      <c r="M7" s="369"/>
      <c r="N7" s="370">
        <v>17</v>
      </c>
      <c r="O7" s="369">
        <v>29</v>
      </c>
      <c r="P7" s="370">
        <v>28</v>
      </c>
      <c r="Q7" s="369"/>
      <c r="R7" s="370"/>
      <c r="S7" s="370"/>
      <c r="T7" s="370"/>
      <c r="U7" s="370"/>
      <c r="V7" s="369"/>
      <c r="W7" s="370"/>
      <c r="X7" s="370"/>
      <c r="Y7" s="370"/>
      <c r="Z7" s="371"/>
      <c r="AA7" s="371"/>
      <c r="AB7" s="371"/>
      <c r="AC7" s="371"/>
      <c r="AD7" s="370">
        <f>40+5</f>
        <v>45</v>
      </c>
      <c r="AE7" s="370"/>
      <c r="AF7" s="369"/>
      <c r="AG7" s="372">
        <f>D7+E7+F7+G7+H7+I7+J7+K7+L7+M7+N7+O7+P7+Q7+R7+S7+T7+U7+V7+W7+X7+Y7+Z7+AA7+AB7+AC7+AD7+AE7+AF7</f>
        <v>407</v>
      </c>
      <c r="AH7" s="371"/>
      <c r="AI7" s="373">
        <f>AG7+AH7</f>
        <v>407</v>
      </c>
    </row>
    <row r="8" spans="1:35" s="363" customFormat="1" ht="20.25" customHeight="1" x14ac:dyDescent="0.2">
      <c r="A8" s="360"/>
      <c r="B8" s="1005" t="s">
        <v>417</v>
      </c>
      <c r="C8" s="1006"/>
      <c r="D8" s="365">
        <v>50</v>
      </c>
      <c r="E8" s="365">
        <v>0</v>
      </c>
      <c r="F8" s="365">
        <f t="shared" ref="F8:AI8" si="1">F9</f>
        <v>0</v>
      </c>
      <c r="G8" s="365">
        <v>0</v>
      </c>
      <c r="H8" s="365">
        <f t="shared" si="1"/>
        <v>0</v>
      </c>
      <c r="I8" s="365">
        <f t="shared" si="1"/>
        <v>0</v>
      </c>
      <c r="J8" s="365">
        <f t="shared" si="1"/>
        <v>0</v>
      </c>
      <c r="K8" s="365">
        <v>4</v>
      </c>
      <c r="L8" s="365">
        <f t="shared" si="1"/>
        <v>0</v>
      </c>
      <c r="M8" s="365">
        <v>0</v>
      </c>
      <c r="N8" s="365">
        <f t="shared" si="1"/>
        <v>0</v>
      </c>
      <c r="O8" s="365">
        <f t="shared" si="1"/>
        <v>0</v>
      </c>
      <c r="P8" s="365">
        <v>12</v>
      </c>
      <c r="Q8" s="365">
        <f t="shared" si="1"/>
        <v>0</v>
      </c>
      <c r="R8" s="365">
        <v>0</v>
      </c>
      <c r="S8" s="365">
        <v>0</v>
      </c>
      <c r="T8" s="365">
        <v>0</v>
      </c>
      <c r="U8" s="365">
        <f t="shared" si="1"/>
        <v>0</v>
      </c>
      <c r="V8" s="365">
        <v>0</v>
      </c>
      <c r="W8" s="365">
        <v>0</v>
      </c>
      <c r="X8" s="365">
        <f t="shared" si="1"/>
        <v>0</v>
      </c>
      <c r="Y8" s="365">
        <v>0</v>
      </c>
      <c r="Z8" s="365">
        <f t="shared" si="1"/>
        <v>0</v>
      </c>
      <c r="AA8" s="365">
        <f t="shared" si="1"/>
        <v>0</v>
      </c>
      <c r="AB8" s="365">
        <f t="shared" si="1"/>
        <v>0</v>
      </c>
      <c r="AC8" s="365">
        <f t="shared" si="1"/>
        <v>0</v>
      </c>
      <c r="AD8" s="365">
        <v>0</v>
      </c>
      <c r="AE8" s="365">
        <v>0</v>
      </c>
      <c r="AF8" s="365">
        <v>0</v>
      </c>
      <c r="AG8" s="365">
        <f t="shared" si="1"/>
        <v>66</v>
      </c>
      <c r="AH8" s="365">
        <f t="shared" si="1"/>
        <v>0</v>
      </c>
      <c r="AI8" s="365">
        <f t="shared" si="1"/>
        <v>66</v>
      </c>
    </row>
    <row r="9" spans="1:35" s="363" customFormat="1" ht="15" customHeight="1" x14ac:dyDescent="0.2">
      <c r="A9" s="360">
        <v>5</v>
      </c>
      <c r="B9" s="367">
        <v>3</v>
      </c>
      <c r="C9" s="368">
        <f>[7]стоимость!J7</f>
        <v>159235</v>
      </c>
      <c r="D9" s="370">
        <v>50</v>
      </c>
      <c r="E9" s="370"/>
      <c r="F9" s="370"/>
      <c r="G9" s="370"/>
      <c r="H9" s="370"/>
      <c r="I9" s="370"/>
      <c r="J9" s="370"/>
      <c r="K9" s="370">
        <v>4</v>
      </c>
      <c r="L9" s="370"/>
      <c r="M9" s="370"/>
      <c r="N9" s="370"/>
      <c r="O9" s="369"/>
      <c r="P9" s="370">
        <v>12</v>
      </c>
      <c r="Q9" s="370"/>
      <c r="R9" s="370"/>
      <c r="S9" s="370"/>
      <c r="T9" s="370"/>
      <c r="U9" s="370"/>
      <c r="V9" s="369"/>
      <c r="W9" s="370"/>
      <c r="X9" s="370"/>
      <c r="Y9" s="370"/>
      <c r="Z9" s="371"/>
      <c r="AA9" s="371"/>
      <c r="AB9" s="371"/>
      <c r="AC9" s="371"/>
      <c r="AD9" s="370"/>
      <c r="AE9" s="370"/>
      <c r="AF9" s="369"/>
      <c r="AG9" s="372">
        <f>D9+E9+F9+G9+H9+I9+J9+K9+L9+M9+N9+O9+P9+Q9+R9+S9+T9+U9+V9+W9+X9+Y9+Z9+AA9+AB9+AC9+AD9+AE9+AF9</f>
        <v>66</v>
      </c>
      <c r="AH9" s="371"/>
      <c r="AI9" s="372">
        <f>AG9+AH9</f>
        <v>66</v>
      </c>
    </row>
    <row r="10" spans="1:35" s="363" customFormat="1" ht="20.25" customHeight="1" x14ac:dyDescent="0.2">
      <c r="A10" s="360"/>
      <c r="B10" s="1005" t="s">
        <v>418</v>
      </c>
      <c r="C10" s="1006"/>
      <c r="D10" s="365">
        <v>31</v>
      </c>
      <c r="E10" s="365">
        <v>0</v>
      </c>
      <c r="F10" s="365">
        <f t="shared" ref="F10:AH10" si="2">F11+F12</f>
        <v>0</v>
      </c>
      <c r="G10" s="365">
        <v>0</v>
      </c>
      <c r="H10" s="365">
        <f t="shared" si="2"/>
        <v>0</v>
      </c>
      <c r="I10" s="365">
        <f t="shared" si="2"/>
        <v>0</v>
      </c>
      <c r="J10" s="365">
        <f t="shared" si="2"/>
        <v>0</v>
      </c>
      <c r="K10" s="365">
        <v>15</v>
      </c>
      <c r="L10" s="365">
        <f t="shared" si="2"/>
        <v>0</v>
      </c>
      <c r="M10" s="365">
        <v>0</v>
      </c>
      <c r="N10" s="365">
        <f t="shared" si="2"/>
        <v>21</v>
      </c>
      <c r="O10" s="365">
        <f t="shared" si="2"/>
        <v>0</v>
      </c>
      <c r="P10" s="365">
        <v>0</v>
      </c>
      <c r="Q10" s="365">
        <f t="shared" si="2"/>
        <v>0</v>
      </c>
      <c r="R10" s="365">
        <v>0</v>
      </c>
      <c r="S10" s="365">
        <v>0</v>
      </c>
      <c r="T10" s="365">
        <v>0</v>
      </c>
      <c r="U10" s="365">
        <f t="shared" si="2"/>
        <v>0</v>
      </c>
      <c r="V10" s="365">
        <v>0</v>
      </c>
      <c r="W10" s="365">
        <v>0</v>
      </c>
      <c r="X10" s="365">
        <f t="shared" si="2"/>
        <v>0</v>
      </c>
      <c r="Y10" s="365">
        <v>0</v>
      </c>
      <c r="Z10" s="365">
        <f t="shared" si="2"/>
        <v>0</v>
      </c>
      <c r="AA10" s="365">
        <f t="shared" si="2"/>
        <v>0</v>
      </c>
      <c r="AB10" s="365">
        <f t="shared" si="2"/>
        <v>0</v>
      </c>
      <c r="AC10" s="365">
        <f t="shared" si="2"/>
        <v>0</v>
      </c>
      <c r="AD10" s="365">
        <v>0</v>
      </c>
      <c r="AE10" s="365">
        <v>0</v>
      </c>
      <c r="AF10" s="365">
        <v>0</v>
      </c>
      <c r="AG10" s="365">
        <f t="shared" si="2"/>
        <v>67</v>
      </c>
      <c r="AH10" s="365">
        <f t="shared" si="2"/>
        <v>0</v>
      </c>
      <c r="AI10" s="365">
        <f>AI11+AI12</f>
        <v>67</v>
      </c>
    </row>
    <row r="11" spans="1:35" s="363" customFormat="1" ht="12.75" customHeight="1" x14ac:dyDescent="0.2">
      <c r="A11" s="360">
        <v>6</v>
      </c>
      <c r="B11" s="367">
        <v>4</v>
      </c>
      <c r="C11" s="368">
        <f>[7]стоимость!J8</f>
        <v>180406</v>
      </c>
      <c r="D11" s="370">
        <v>31</v>
      </c>
      <c r="E11" s="370"/>
      <c r="F11" s="370"/>
      <c r="G11" s="369"/>
      <c r="H11" s="370"/>
      <c r="I11" s="370"/>
      <c r="J11" s="370"/>
      <c r="K11" s="370">
        <v>15</v>
      </c>
      <c r="L11" s="370"/>
      <c r="M11" s="370"/>
      <c r="N11" s="370">
        <v>21</v>
      </c>
      <c r="O11" s="369"/>
      <c r="P11" s="370"/>
      <c r="Q11" s="370"/>
      <c r="R11" s="370"/>
      <c r="S11" s="370"/>
      <c r="T11" s="370"/>
      <c r="U11" s="370"/>
      <c r="V11" s="369"/>
      <c r="W11" s="370"/>
      <c r="X11" s="370"/>
      <c r="Y11" s="370"/>
      <c r="Z11" s="371"/>
      <c r="AA11" s="371"/>
      <c r="AB11" s="371"/>
      <c r="AC11" s="371"/>
      <c r="AD11" s="370"/>
      <c r="AE11" s="370"/>
      <c r="AF11" s="369"/>
      <c r="AG11" s="372">
        <f>D11+E11+F11+G11+H11+I11+J11+K11+L11+M11+N11+O11+P11+Q11+R11+S11+T11+U11+V11+W11+X11+Y11+Z11+AA11+AB11+AC11+AD11+AE11+AF11</f>
        <v>67</v>
      </c>
      <c r="AH11" s="371"/>
      <c r="AI11" s="372">
        <f>AG11+AH11</f>
        <v>67</v>
      </c>
    </row>
    <row r="12" spans="1:35" s="363" customFormat="1" ht="18.75" customHeight="1" x14ac:dyDescent="0.2">
      <c r="A12" s="360">
        <v>7</v>
      </c>
      <c r="B12" s="367">
        <v>5</v>
      </c>
      <c r="C12" s="368">
        <f>[7]стоимость!J9</f>
        <v>517784</v>
      </c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369"/>
      <c r="P12" s="370"/>
      <c r="Q12" s="370"/>
      <c r="R12" s="370"/>
      <c r="S12" s="370"/>
      <c r="T12" s="370"/>
      <c r="U12" s="370"/>
      <c r="V12" s="369"/>
      <c r="W12" s="370"/>
      <c r="X12" s="370"/>
      <c r="Y12" s="370"/>
      <c r="Z12" s="371"/>
      <c r="AA12" s="371"/>
      <c r="AB12" s="371"/>
      <c r="AC12" s="371"/>
      <c r="AD12" s="370"/>
      <c r="AE12" s="370"/>
      <c r="AF12" s="369"/>
      <c r="AG12" s="372">
        <f>D12+E12+F12+G12+H12+I12+J12+K12+L12+M12+N12+O12+P12+Q12+R12+S12+T12+U12+V12+W12+X12+Y12+Z12+AA12+AB12+AC12+AD12+AE12+AF12</f>
        <v>0</v>
      </c>
      <c r="AH12" s="371"/>
      <c r="AI12" s="372">
        <f>AG12+AH12</f>
        <v>0</v>
      </c>
    </row>
    <row r="13" spans="1:35" s="363" customFormat="1" ht="21.75" customHeight="1" x14ac:dyDescent="0.2">
      <c r="A13" s="360"/>
      <c r="B13" s="1005" t="s">
        <v>419</v>
      </c>
      <c r="C13" s="1006"/>
      <c r="D13" s="365">
        <v>0</v>
      </c>
      <c r="E13" s="365">
        <v>0</v>
      </c>
      <c r="F13" s="365">
        <f t="shared" ref="F13:AI13" si="3">F14</f>
        <v>0</v>
      </c>
      <c r="G13" s="365">
        <v>0</v>
      </c>
      <c r="H13" s="365">
        <f t="shared" si="3"/>
        <v>0</v>
      </c>
      <c r="I13" s="365">
        <f t="shared" si="3"/>
        <v>0</v>
      </c>
      <c r="J13" s="365">
        <f t="shared" si="3"/>
        <v>0</v>
      </c>
      <c r="K13" s="365">
        <v>4</v>
      </c>
      <c r="L13" s="365">
        <f t="shared" si="3"/>
        <v>0</v>
      </c>
      <c r="M13" s="365">
        <v>0</v>
      </c>
      <c r="N13" s="365">
        <f t="shared" si="3"/>
        <v>0</v>
      </c>
      <c r="O13" s="365">
        <f t="shared" si="3"/>
        <v>0</v>
      </c>
      <c r="P13" s="365">
        <v>0</v>
      </c>
      <c r="Q13" s="365">
        <f t="shared" si="3"/>
        <v>0</v>
      </c>
      <c r="R13" s="365">
        <v>0</v>
      </c>
      <c r="S13" s="365">
        <v>0</v>
      </c>
      <c r="T13" s="365">
        <v>0</v>
      </c>
      <c r="U13" s="365">
        <f t="shared" si="3"/>
        <v>0</v>
      </c>
      <c r="V13" s="365">
        <v>0</v>
      </c>
      <c r="W13" s="365">
        <v>0</v>
      </c>
      <c r="X13" s="365">
        <f t="shared" si="3"/>
        <v>0</v>
      </c>
      <c r="Y13" s="365">
        <v>0</v>
      </c>
      <c r="Z13" s="365">
        <f t="shared" si="3"/>
        <v>0</v>
      </c>
      <c r="AA13" s="365">
        <f t="shared" si="3"/>
        <v>0</v>
      </c>
      <c r="AB13" s="365">
        <f t="shared" si="3"/>
        <v>0</v>
      </c>
      <c r="AC13" s="365">
        <f t="shared" si="3"/>
        <v>0</v>
      </c>
      <c r="AD13" s="365">
        <v>0</v>
      </c>
      <c r="AE13" s="365">
        <v>0</v>
      </c>
      <c r="AF13" s="365">
        <v>0</v>
      </c>
      <c r="AG13" s="365">
        <f t="shared" si="3"/>
        <v>4</v>
      </c>
      <c r="AH13" s="365">
        <f t="shared" si="3"/>
        <v>0</v>
      </c>
      <c r="AI13" s="365">
        <f t="shared" si="3"/>
        <v>4</v>
      </c>
    </row>
    <row r="14" spans="1:35" s="359" customFormat="1" ht="14.25" customHeight="1" x14ac:dyDescent="0.2">
      <c r="A14" s="357">
        <v>8</v>
      </c>
      <c r="B14" s="367">
        <v>6</v>
      </c>
      <c r="C14" s="368">
        <f>[7]стоимость!J10</f>
        <v>321904</v>
      </c>
      <c r="D14" s="370"/>
      <c r="E14" s="370"/>
      <c r="F14" s="370"/>
      <c r="G14" s="370"/>
      <c r="H14" s="370"/>
      <c r="I14" s="370"/>
      <c r="J14" s="370"/>
      <c r="K14" s="370">
        <v>4</v>
      </c>
      <c r="L14" s="370"/>
      <c r="M14" s="370"/>
      <c r="N14" s="370"/>
      <c r="O14" s="369"/>
      <c r="P14" s="370"/>
      <c r="Q14" s="370"/>
      <c r="R14" s="370"/>
      <c r="S14" s="370"/>
      <c r="T14" s="370"/>
      <c r="U14" s="370"/>
      <c r="V14" s="369"/>
      <c r="W14" s="370"/>
      <c r="X14" s="370"/>
      <c r="Y14" s="369"/>
      <c r="Z14" s="375"/>
      <c r="AA14" s="375"/>
      <c r="AB14" s="375"/>
      <c r="AC14" s="375"/>
      <c r="AD14" s="370"/>
      <c r="AE14" s="370"/>
      <c r="AF14" s="369"/>
      <c r="AG14" s="372">
        <f>D14+E14+F14+G14+H14+I14+J14+K14+L14+M14+N14+O14+P14+Q14+R14+S14+T14+U14+V14+W14+X14+Y14+Z14+AA14+AB14+AC14+AD14+AE14+AF14</f>
        <v>4</v>
      </c>
      <c r="AH14" s="375"/>
      <c r="AI14" s="369">
        <f>AG14+AH14</f>
        <v>4</v>
      </c>
    </row>
    <row r="15" spans="1:35" s="363" customFormat="1" ht="18" customHeight="1" x14ac:dyDescent="0.2">
      <c r="A15" s="360"/>
      <c r="B15" s="1005" t="s">
        <v>420</v>
      </c>
      <c r="C15" s="1006"/>
      <c r="D15" s="365">
        <v>0</v>
      </c>
      <c r="E15" s="365">
        <v>0</v>
      </c>
      <c r="F15" s="365">
        <f t="shared" ref="F15:AI15" si="4">F16</f>
        <v>0</v>
      </c>
      <c r="G15" s="365">
        <v>0</v>
      </c>
      <c r="H15" s="365">
        <f t="shared" si="4"/>
        <v>0</v>
      </c>
      <c r="I15" s="365">
        <f t="shared" si="4"/>
        <v>48</v>
      </c>
      <c r="J15" s="365">
        <f t="shared" si="4"/>
        <v>0</v>
      </c>
      <c r="K15" s="365">
        <v>0</v>
      </c>
      <c r="L15" s="365">
        <f t="shared" si="4"/>
        <v>0</v>
      </c>
      <c r="M15" s="365">
        <v>0</v>
      </c>
      <c r="N15" s="365">
        <f t="shared" si="4"/>
        <v>0</v>
      </c>
      <c r="O15" s="365">
        <f t="shared" si="4"/>
        <v>0</v>
      </c>
      <c r="P15" s="365">
        <v>0</v>
      </c>
      <c r="Q15" s="365">
        <f t="shared" si="4"/>
        <v>0</v>
      </c>
      <c r="R15" s="365">
        <v>0</v>
      </c>
      <c r="S15" s="365">
        <v>0</v>
      </c>
      <c r="T15" s="365">
        <v>0</v>
      </c>
      <c r="U15" s="365">
        <f t="shared" si="4"/>
        <v>0</v>
      </c>
      <c r="V15" s="365">
        <v>0</v>
      </c>
      <c r="W15" s="365">
        <v>0</v>
      </c>
      <c r="X15" s="365">
        <f t="shared" si="4"/>
        <v>0</v>
      </c>
      <c r="Y15" s="365">
        <v>0</v>
      </c>
      <c r="Z15" s="365">
        <f t="shared" si="4"/>
        <v>0</v>
      </c>
      <c r="AA15" s="365">
        <f t="shared" si="4"/>
        <v>0</v>
      </c>
      <c r="AB15" s="365">
        <f t="shared" si="4"/>
        <v>0</v>
      </c>
      <c r="AC15" s="365">
        <f t="shared" si="4"/>
        <v>0</v>
      </c>
      <c r="AD15" s="365">
        <v>0</v>
      </c>
      <c r="AE15" s="365">
        <v>0</v>
      </c>
      <c r="AF15" s="365">
        <v>0</v>
      </c>
      <c r="AG15" s="365">
        <f t="shared" si="4"/>
        <v>48</v>
      </c>
      <c r="AH15" s="365">
        <f t="shared" si="4"/>
        <v>0</v>
      </c>
      <c r="AI15" s="365">
        <f t="shared" si="4"/>
        <v>48</v>
      </c>
    </row>
    <row r="16" spans="1:35" s="363" customFormat="1" ht="15.75" customHeight="1" x14ac:dyDescent="0.2">
      <c r="A16" s="360">
        <v>9</v>
      </c>
      <c r="B16" s="367">
        <v>7</v>
      </c>
      <c r="C16" s="368">
        <f>[7]стоимость!J11</f>
        <v>122477</v>
      </c>
      <c r="D16" s="370"/>
      <c r="E16" s="370"/>
      <c r="F16" s="370"/>
      <c r="G16" s="370"/>
      <c r="H16" s="370"/>
      <c r="I16" s="370">
        <v>48</v>
      </c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69"/>
      <c r="W16" s="370"/>
      <c r="X16" s="370"/>
      <c r="Y16" s="370"/>
      <c r="Z16" s="371"/>
      <c r="AA16" s="371"/>
      <c r="AB16" s="371"/>
      <c r="AC16" s="371"/>
      <c r="AD16" s="370"/>
      <c r="AE16" s="370"/>
      <c r="AF16" s="369"/>
      <c r="AG16" s="372">
        <f>D16+E16+F16+G16+H16+I16+J16+K16+L16+M16+N16+O16+P16+Q16+R16+S16+T16+U16+V16+W16+X16+Y16+Z16+AA16+AB16+AC16+AD16+AE16+AF16</f>
        <v>48</v>
      </c>
      <c r="AH16" s="371"/>
      <c r="AI16" s="372">
        <f>AG16+AH16</f>
        <v>48</v>
      </c>
    </row>
    <row r="17" spans="1:35" s="363" customFormat="1" ht="17.25" customHeight="1" x14ac:dyDescent="0.2">
      <c r="A17" s="360"/>
      <c r="B17" s="1005" t="s">
        <v>421</v>
      </c>
      <c r="C17" s="1006"/>
      <c r="D17" s="365">
        <v>0</v>
      </c>
      <c r="E17" s="365">
        <v>0</v>
      </c>
      <c r="F17" s="365">
        <f t="shared" ref="F17:AI17" si="5">F18+F19</f>
        <v>0</v>
      </c>
      <c r="G17" s="365">
        <v>0</v>
      </c>
      <c r="H17" s="365">
        <f t="shared" si="5"/>
        <v>0</v>
      </c>
      <c r="I17" s="365">
        <f t="shared" si="5"/>
        <v>0</v>
      </c>
      <c r="J17" s="365">
        <f t="shared" si="5"/>
        <v>0</v>
      </c>
      <c r="K17" s="365">
        <v>0</v>
      </c>
      <c r="L17" s="365">
        <f t="shared" si="5"/>
        <v>0</v>
      </c>
      <c r="M17" s="365">
        <v>0</v>
      </c>
      <c r="N17" s="365">
        <f t="shared" si="5"/>
        <v>0</v>
      </c>
      <c r="O17" s="365">
        <f t="shared" si="5"/>
        <v>125</v>
      </c>
      <c r="P17" s="365">
        <v>0</v>
      </c>
      <c r="Q17" s="365">
        <f t="shared" si="5"/>
        <v>0</v>
      </c>
      <c r="R17" s="365">
        <v>0</v>
      </c>
      <c r="S17" s="365">
        <v>0</v>
      </c>
      <c r="T17" s="365">
        <v>29</v>
      </c>
      <c r="U17" s="365">
        <f t="shared" si="5"/>
        <v>0</v>
      </c>
      <c r="V17" s="365">
        <v>0</v>
      </c>
      <c r="W17" s="365">
        <v>0</v>
      </c>
      <c r="X17" s="365">
        <f t="shared" si="5"/>
        <v>0</v>
      </c>
      <c r="Y17" s="365">
        <v>0</v>
      </c>
      <c r="Z17" s="365">
        <f t="shared" si="5"/>
        <v>0</v>
      </c>
      <c r="AA17" s="365">
        <f t="shared" si="5"/>
        <v>0</v>
      </c>
      <c r="AB17" s="365">
        <f t="shared" si="5"/>
        <v>0</v>
      </c>
      <c r="AC17" s="365">
        <f t="shared" si="5"/>
        <v>0</v>
      </c>
      <c r="AD17" s="365">
        <v>0</v>
      </c>
      <c r="AE17" s="365">
        <v>0</v>
      </c>
      <c r="AF17" s="365">
        <v>0</v>
      </c>
      <c r="AG17" s="365">
        <f t="shared" si="5"/>
        <v>154</v>
      </c>
      <c r="AH17" s="365">
        <f t="shared" si="5"/>
        <v>0</v>
      </c>
      <c r="AI17" s="365">
        <f t="shared" si="5"/>
        <v>154</v>
      </c>
    </row>
    <row r="18" spans="1:35" s="363" customFormat="1" ht="14.25" customHeight="1" x14ac:dyDescent="0.2">
      <c r="A18" s="360">
        <v>10</v>
      </c>
      <c r="B18" s="367">
        <v>8</v>
      </c>
      <c r="C18" s="368">
        <f>[7]стоимость!J12</f>
        <v>655793</v>
      </c>
      <c r="D18" s="370"/>
      <c r="E18" s="370"/>
      <c r="F18" s="370"/>
      <c r="G18" s="370"/>
      <c r="H18" s="370"/>
      <c r="I18" s="374"/>
      <c r="J18" s="370"/>
      <c r="K18" s="370"/>
      <c r="L18" s="370"/>
      <c r="M18" s="374"/>
      <c r="N18" s="370"/>
      <c r="O18" s="370">
        <v>90</v>
      </c>
      <c r="P18" s="374"/>
      <c r="Q18" s="374"/>
      <c r="R18" s="370"/>
      <c r="S18" s="369"/>
      <c r="T18" s="370">
        <v>29</v>
      </c>
      <c r="U18" s="370"/>
      <c r="V18" s="369"/>
      <c r="W18" s="370"/>
      <c r="X18" s="370"/>
      <c r="Y18" s="370"/>
      <c r="Z18" s="371"/>
      <c r="AA18" s="371"/>
      <c r="AB18" s="371"/>
      <c r="AC18" s="371"/>
      <c r="AD18" s="370"/>
      <c r="AE18" s="370"/>
      <c r="AF18" s="369"/>
      <c r="AG18" s="372">
        <f>D18+E18+F18+G18+H18+I18+J18+K18+L18+M18+N18+O18+P18+Q18+R18+S18+T18+U18+V18+W18+X18+Y18+Z18+AA18+AB18+AC18+AD18+AE18+AF18</f>
        <v>119</v>
      </c>
      <c r="AH18" s="371"/>
      <c r="AI18" s="372">
        <f>AG18+AH18</f>
        <v>119</v>
      </c>
    </row>
    <row r="19" spans="1:35" s="363" customFormat="1" ht="14.25" customHeight="1" x14ac:dyDescent="0.2">
      <c r="A19" s="360">
        <v>11</v>
      </c>
      <c r="B19" s="367">
        <v>9</v>
      </c>
      <c r="C19" s="368">
        <f>[7]стоимость!J13</f>
        <v>1881627</v>
      </c>
      <c r="D19" s="376"/>
      <c r="E19" s="376"/>
      <c r="F19" s="376"/>
      <c r="G19" s="376"/>
      <c r="H19" s="376"/>
      <c r="I19" s="377"/>
      <c r="J19" s="376"/>
      <c r="K19" s="376"/>
      <c r="L19" s="376"/>
      <c r="M19" s="377"/>
      <c r="N19" s="376"/>
      <c r="O19" s="370">
        <v>35</v>
      </c>
      <c r="P19" s="377"/>
      <c r="Q19" s="377"/>
      <c r="R19" s="376"/>
      <c r="S19" s="369"/>
      <c r="T19" s="376"/>
      <c r="U19" s="376"/>
      <c r="V19" s="369"/>
      <c r="W19" s="370"/>
      <c r="X19" s="370"/>
      <c r="Y19" s="370"/>
      <c r="Z19" s="371"/>
      <c r="AA19" s="371"/>
      <c r="AB19" s="371"/>
      <c r="AC19" s="371"/>
      <c r="AD19" s="370"/>
      <c r="AE19" s="370"/>
      <c r="AF19" s="369"/>
      <c r="AG19" s="372">
        <f>D19+E19+F19+G19+H19+I19+J19+K19+L19+M19+N19+O19+P19+Q19+R19+S19+T19+U19+V19+W19+X19+Y19+Z19+AA19+AB19+AC19+AD19+AE19+AF19</f>
        <v>35</v>
      </c>
      <c r="AH19" s="371"/>
      <c r="AI19" s="372">
        <f>AG19+AH19</f>
        <v>35</v>
      </c>
    </row>
    <row r="20" spans="1:35" s="359" customFormat="1" ht="21" customHeight="1" x14ac:dyDescent="0.2">
      <c r="A20" s="357"/>
      <c r="B20" s="1005" t="s">
        <v>422</v>
      </c>
      <c r="C20" s="1006"/>
      <c r="D20" s="365">
        <v>267</v>
      </c>
      <c r="E20" s="365">
        <v>177</v>
      </c>
      <c r="F20" s="365">
        <f t="shared" ref="F20:AH20" si="6">SUM(F21:F26)</f>
        <v>0</v>
      </c>
      <c r="G20" s="365">
        <v>0</v>
      </c>
      <c r="H20" s="365">
        <f t="shared" si="6"/>
        <v>0</v>
      </c>
      <c r="I20" s="365">
        <f t="shared" si="6"/>
        <v>0</v>
      </c>
      <c r="J20" s="365">
        <f t="shared" si="6"/>
        <v>0</v>
      </c>
      <c r="K20" s="365">
        <v>141</v>
      </c>
      <c r="L20" s="365">
        <f t="shared" si="6"/>
        <v>17</v>
      </c>
      <c r="M20" s="365">
        <v>0</v>
      </c>
      <c r="N20" s="365">
        <f t="shared" si="6"/>
        <v>0</v>
      </c>
      <c r="O20" s="365">
        <f t="shared" si="6"/>
        <v>0</v>
      </c>
      <c r="P20" s="365">
        <v>116</v>
      </c>
      <c r="Q20" s="365">
        <f t="shared" si="6"/>
        <v>0</v>
      </c>
      <c r="R20" s="365">
        <v>3</v>
      </c>
      <c r="S20" s="365">
        <v>0</v>
      </c>
      <c r="T20" s="365">
        <v>136</v>
      </c>
      <c r="U20" s="365">
        <f t="shared" si="6"/>
        <v>19</v>
      </c>
      <c r="V20" s="365">
        <v>0</v>
      </c>
      <c r="W20" s="365">
        <v>0</v>
      </c>
      <c r="X20" s="365">
        <f t="shared" si="6"/>
        <v>0</v>
      </c>
      <c r="Y20" s="365">
        <v>0</v>
      </c>
      <c r="Z20" s="365">
        <f t="shared" si="6"/>
        <v>0</v>
      </c>
      <c r="AA20" s="365">
        <f t="shared" si="6"/>
        <v>0</v>
      </c>
      <c r="AB20" s="365">
        <f t="shared" si="6"/>
        <v>0</v>
      </c>
      <c r="AC20" s="365">
        <f t="shared" si="6"/>
        <v>0</v>
      </c>
      <c r="AD20" s="365">
        <v>0</v>
      </c>
      <c r="AE20" s="365">
        <v>0</v>
      </c>
      <c r="AF20" s="365">
        <v>0</v>
      </c>
      <c r="AG20" s="365">
        <f t="shared" si="6"/>
        <v>876</v>
      </c>
      <c r="AH20" s="365">
        <f t="shared" si="6"/>
        <v>0</v>
      </c>
      <c r="AI20" s="365">
        <f>SUM(AI21:AI26)</f>
        <v>876</v>
      </c>
    </row>
    <row r="21" spans="1:35" s="363" customFormat="1" ht="14.25" customHeight="1" x14ac:dyDescent="0.2">
      <c r="A21" s="360">
        <v>12</v>
      </c>
      <c r="B21" s="367">
        <v>10</v>
      </c>
      <c r="C21" s="368">
        <f>[7]стоимость!J14</f>
        <v>193886</v>
      </c>
      <c r="D21" s="369">
        <v>252</v>
      </c>
      <c r="E21" s="369">
        <v>166</v>
      </c>
      <c r="F21" s="369"/>
      <c r="G21" s="369"/>
      <c r="H21" s="369">
        <f>13-13</f>
        <v>0</v>
      </c>
      <c r="I21" s="369"/>
      <c r="J21" s="369"/>
      <c r="K21" s="369">
        <v>85</v>
      </c>
      <c r="L21" s="378">
        <v>4</v>
      </c>
      <c r="M21" s="369"/>
      <c r="N21" s="369"/>
      <c r="O21" s="370"/>
      <c r="P21" s="369">
        <v>101</v>
      </c>
      <c r="Q21" s="369"/>
      <c r="R21" s="369">
        <v>0</v>
      </c>
      <c r="S21" s="369"/>
      <c r="T21" s="369">
        <v>114</v>
      </c>
      <c r="U21" s="370">
        <v>2</v>
      </c>
      <c r="V21" s="370"/>
      <c r="W21" s="370"/>
      <c r="X21" s="370"/>
      <c r="Y21" s="370"/>
      <c r="Z21" s="371"/>
      <c r="AA21" s="371"/>
      <c r="AB21" s="371"/>
      <c r="AC21" s="371"/>
      <c r="AD21" s="370"/>
      <c r="AE21" s="370"/>
      <c r="AF21" s="369"/>
      <c r="AG21" s="372">
        <f t="shared" ref="AG21:AG26" si="7">D21+E21+F21+G21+H21+I21+J21+K21+L21+M21+N21+O21+P21+Q21+R21+S21+T21+U21+V21+W21+X21+Y21+Z21+AA21+AB21+AC21+AD21+AE21+AF21</f>
        <v>724</v>
      </c>
      <c r="AH21" s="371"/>
      <c r="AI21" s="372">
        <f t="shared" ref="AI21:AI26" si="8">AG21+AH21</f>
        <v>724</v>
      </c>
    </row>
    <row r="22" spans="1:35" s="363" customFormat="1" ht="14.25" customHeight="1" x14ac:dyDescent="0.2">
      <c r="A22" s="360">
        <v>13</v>
      </c>
      <c r="B22" s="367">
        <v>11</v>
      </c>
      <c r="C22" s="368">
        <f>[7]стоимость!J15</f>
        <v>295102</v>
      </c>
      <c r="D22" s="369"/>
      <c r="E22" s="369"/>
      <c r="F22" s="369"/>
      <c r="G22" s="369"/>
      <c r="H22" s="369"/>
      <c r="I22" s="379"/>
      <c r="J22" s="369"/>
      <c r="K22" s="369"/>
      <c r="L22" s="378"/>
      <c r="M22" s="379"/>
      <c r="N22" s="369"/>
      <c r="O22" s="370"/>
      <c r="P22" s="379"/>
      <c r="Q22" s="379"/>
      <c r="R22" s="369"/>
      <c r="S22" s="369"/>
      <c r="T22" s="369"/>
      <c r="U22" s="370"/>
      <c r="V22" s="370"/>
      <c r="W22" s="370"/>
      <c r="X22" s="370"/>
      <c r="Y22" s="370"/>
      <c r="Z22" s="371"/>
      <c r="AA22" s="371"/>
      <c r="AB22" s="371"/>
      <c r="AC22" s="371"/>
      <c r="AD22" s="370"/>
      <c r="AE22" s="370"/>
      <c r="AF22" s="369"/>
      <c r="AG22" s="372">
        <f t="shared" si="7"/>
        <v>0</v>
      </c>
      <c r="AH22" s="371"/>
      <c r="AI22" s="372">
        <f t="shared" si="8"/>
        <v>0</v>
      </c>
    </row>
    <row r="23" spans="1:35" s="363" customFormat="1" ht="14.25" customHeight="1" x14ac:dyDescent="0.2">
      <c r="A23" s="360">
        <v>14</v>
      </c>
      <c r="B23" s="367">
        <v>12</v>
      </c>
      <c r="C23" s="368">
        <f>[7]стоимость!J16</f>
        <v>188542</v>
      </c>
      <c r="D23" s="370">
        <v>5</v>
      </c>
      <c r="E23" s="370">
        <v>2</v>
      </c>
      <c r="F23" s="370"/>
      <c r="G23" s="370"/>
      <c r="H23" s="370"/>
      <c r="I23" s="374"/>
      <c r="J23" s="370"/>
      <c r="K23" s="370"/>
      <c r="L23" s="378"/>
      <c r="M23" s="374"/>
      <c r="N23" s="370"/>
      <c r="O23" s="370"/>
      <c r="P23" s="370">
        <v>6</v>
      </c>
      <c r="Q23" s="374"/>
      <c r="R23" s="370"/>
      <c r="S23" s="370"/>
      <c r="T23" s="370">
        <v>10</v>
      </c>
      <c r="U23" s="370"/>
      <c r="V23" s="370"/>
      <c r="W23" s="370"/>
      <c r="X23" s="370"/>
      <c r="Y23" s="370"/>
      <c r="Z23" s="371"/>
      <c r="AA23" s="371"/>
      <c r="AB23" s="371"/>
      <c r="AC23" s="371"/>
      <c r="AD23" s="370"/>
      <c r="AE23" s="370"/>
      <c r="AF23" s="369"/>
      <c r="AG23" s="372">
        <f t="shared" si="7"/>
        <v>23</v>
      </c>
      <c r="AH23" s="371"/>
      <c r="AI23" s="372">
        <f t="shared" si="8"/>
        <v>23</v>
      </c>
    </row>
    <row r="24" spans="1:35" s="363" customFormat="1" ht="12.75" customHeight="1" x14ac:dyDescent="0.2">
      <c r="A24" s="360">
        <v>15</v>
      </c>
      <c r="B24" s="367">
        <v>13</v>
      </c>
      <c r="C24" s="368">
        <f>[7]стоимость!J17</f>
        <v>270597</v>
      </c>
      <c r="D24" s="376"/>
      <c r="E24" s="376"/>
      <c r="F24" s="376"/>
      <c r="G24" s="376"/>
      <c r="H24" s="376"/>
      <c r="I24" s="377"/>
      <c r="J24" s="376"/>
      <c r="K24" s="376">
        <v>56</v>
      </c>
      <c r="L24" s="378">
        <v>13</v>
      </c>
      <c r="M24" s="377"/>
      <c r="N24" s="376"/>
      <c r="O24" s="370"/>
      <c r="P24" s="377"/>
      <c r="Q24" s="377"/>
      <c r="R24" s="370"/>
      <c r="S24" s="376"/>
      <c r="T24" s="376"/>
      <c r="U24" s="370"/>
      <c r="V24" s="370"/>
      <c r="W24" s="370"/>
      <c r="X24" s="370"/>
      <c r="Y24" s="370"/>
      <c r="Z24" s="371"/>
      <c r="AA24" s="371"/>
      <c r="AB24" s="371"/>
      <c r="AC24" s="371"/>
      <c r="AD24" s="370"/>
      <c r="AE24" s="370"/>
      <c r="AF24" s="369"/>
      <c r="AG24" s="372">
        <f t="shared" si="7"/>
        <v>69</v>
      </c>
      <c r="AH24" s="371"/>
      <c r="AI24" s="372">
        <f t="shared" si="8"/>
        <v>69</v>
      </c>
    </row>
    <row r="25" spans="1:35" s="363" customFormat="1" ht="14.25" customHeight="1" x14ac:dyDescent="0.2">
      <c r="A25" s="360">
        <v>16</v>
      </c>
      <c r="B25" s="367">
        <v>14</v>
      </c>
      <c r="C25" s="368">
        <f>[7]стоимость!J18</f>
        <v>356139</v>
      </c>
      <c r="D25" s="370">
        <v>10</v>
      </c>
      <c r="E25" s="370"/>
      <c r="F25" s="370"/>
      <c r="G25" s="370"/>
      <c r="H25" s="370"/>
      <c r="I25" s="374"/>
      <c r="J25" s="370"/>
      <c r="K25" s="370"/>
      <c r="L25" s="378"/>
      <c r="M25" s="374"/>
      <c r="N25" s="370"/>
      <c r="O25" s="370"/>
      <c r="P25" s="374"/>
      <c r="Q25" s="374"/>
      <c r="R25" s="370">
        <v>3</v>
      </c>
      <c r="S25" s="370"/>
      <c r="T25" s="370">
        <v>12</v>
      </c>
      <c r="U25" s="370">
        <v>17</v>
      </c>
      <c r="V25" s="370"/>
      <c r="W25" s="370"/>
      <c r="X25" s="370"/>
      <c r="Y25" s="370"/>
      <c r="Z25" s="371"/>
      <c r="AA25" s="371"/>
      <c r="AB25" s="371"/>
      <c r="AC25" s="371"/>
      <c r="AD25" s="370"/>
      <c r="AE25" s="370"/>
      <c r="AF25" s="369"/>
      <c r="AG25" s="372">
        <f t="shared" si="7"/>
        <v>42</v>
      </c>
      <c r="AH25" s="371"/>
      <c r="AI25" s="372">
        <f t="shared" si="8"/>
        <v>42</v>
      </c>
    </row>
    <row r="26" spans="1:35" s="363" customFormat="1" ht="14.25" customHeight="1" x14ac:dyDescent="0.2">
      <c r="A26" s="360">
        <v>17</v>
      </c>
      <c r="B26" s="367">
        <v>15</v>
      </c>
      <c r="C26" s="368">
        <f>[7]стоимость!J19</f>
        <v>475409</v>
      </c>
      <c r="D26" s="376">
        <v>0</v>
      </c>
      <c r="E26" s="376">
        <v>9</v>
      </c>
      <c r="F26" s="376"/>
      <c r="G26" s="376"/>
      <c r="H26" s="376"/>
      <c r="I26" s="377"/>
      <c r="J26" s="376"/>
      <c r="K26" s="380"/>
      <c r="L26" s="378"/>
      <c r="M26" s="377"/>
      <c r="N26" s="376"/>
      <c r="O26" s="376"/>
      <c r="P26" s="376">
        <v>9</v>
      </c>
      <c r="Q26" s="377"/>
      <c r="R26" s="376"/>
      <c r="S26" s="376"/>
      <c r="T26" s="376"/>
      <c r="U26" s="370"/>
      <c r="V26" s="370"/>
      <c r="W26" s="370"/>
      <c r="X26" s="370"/>
      <c r="Y26" s="370"/>
      <c r="Z26" s="371"/>
      <c r="AA26" s="371"/>
      <c r="AB26" s="371"/>
      <c r="AC26" s="371"/>
      <c r="AD26" s="370"/>
      <c r="AE26" s="370"/>
      <c r="AF26" s="369"/>
      <c r="AG26" s="372">
        <f t="shared" si="7"/>
        <v>18</v>
      </c>
      <c r="AH26" s="371"/>
      <c r="AI26" s="372">
        <f t="shared" si="8"/>
        <v>18</v>
      </c>
    </row>
    <row r="27" spans="1:35" s="359" customFormat="1" ht="18.75" customHeight="1" x14ac:dyDescent="0.2">
      <c r="A27" s="357"/>
      <c r="B27" s="1005" t="s">
        <v>423</v>
      </c>
      <c r="C27" s="1006"/>
      <c r="D27" s="365">
        <v>160</v>
      </c>
      <c r="E27" s="365">
        <v>0</v>
      </c>
      <c r="F27" s="365">
        <f t="shared" ref="F27:AI27" si="9">SUM(F28:F29)</f>
        <v>600</v>
      </c>
      <c r="G27" s="365">
        <v>0</v>
      </c>
      <c r="H27" s="365">
        <f t="shared" si="9"/>
        <v>0</v>
      </c>
      <c r="I27" s="365">
        <f t="shared" si="9"/>
        <v>0</v>
      </c>
      <c r="J27" s="365">
        <f t="shared" si="9"/>
        <v>0</v>
      </c>
      <c r="K27" s="365">
        <v>244</v>
      </c>
      <c r="L27" s="365">
        <f t="shared" si="9"/>
        <v>90</v>
      </c>
      <c r="M27" s="365">
        <v>0</v>
      </c>
      <c r="N27" s="365">
        <f t="shared" si="9"/>
        <v>0</v>
      </c>
      <c r="O27" s="365">
        <f t="shared" si="9"/>
        <v>0</v>
      </c>
      <c r="P27" s="365">
        <v>0</v>
      </c>
      <c r="Q27" s="365">
        <f t="shared" si="9"/>
        <v>80</v>
      </c>
      <c r="R27" s="365">
        <v>0</v>
      </c>
      <c r="S27" s="365">
        <v>0</v>
      </c>
      <c r="T27" s="365">
        <v>0</v>
      </c>
      <c r="U27" s="365">
        <f t="shared" si="9"/>
        <v>0</v>
      </c>
      <c r="V27" s="365">
        <v>0</v>
      </c>
      <c r="W27" s="365">
        <v>0</v>
      </c>
      <c r="X27" s="365">
        <f t="shared" si="9"/>
        <v>0</v>
      </c>
      <c r="Y27" s="365">
        <v>0</v>
      </c>
      <c r="Z27" s="365">
        <f t="shared" si="9"/>
        <v>0</v>
      </c>
      <c r="AA27" s="365">
        <f t="shared" si="9"/>
        <v>0</v>
      </c>
      <c r="AB27" s="365">
        <f t="shared" si="9"/>
        <v>0</v>
      </c>
      <c r="AC27" s="365">
        <f t="shared" si="9"/>
        <v>0</v>
      </c>
      <c r="AD27" s="365">
        <v>0</v>
      </c>
      <c r="AE27" s="365">
        <v>0</v>
      </c>
      <c r="AF27" s="365">
        <v>0</v>
      </c>
      <c r="AG27" s="365">
        <f t="shared" si="9"/>
        <v>1174</v>
      </c>
      <c r="AH27" s="365">
        <f t="shared" si="9"/>
        <v>0</v>
      </c>
      <c r="AI27" s="365">
        <f t="shared" si="9"/>
        <v>1174</v>
      </c>
    </row>
    <row r="28" spans="1:35" s="363" customFormat="1" ht="14.25" customHeight="1" x14ac:dyDescent="0.2">
      <c r="A28" s="360">
        <v>18</v>
      </c>
      <c r="B28" s="367">
        <v>16</v>
      </c>
      <c r="C28" s="368">
        <f>[7]стоимость!J20</f>
        <v>297453</v>
      </c>
      <c r="D28" s="369">
        <v>130</v>
      </c>
      <c r="E28" s="369"/>
      <c r="F28" s="369">
        <v>550</v>
      </c>
      <c r="G28" s="381"/>
      <c r="H28" s="369"/>
      <c r="I28" s="369"/>
      <c r="J28" s="369"/>
      <c r="K28" s="369">
        <v>226</v>
      </c>
      <c r="L28" s="369">
        <v>30</v>
      </c>
      <c r="M28" s="369"/>
      <c r="N28" s="369"/>
      <c r="O28" s="369"/>
      <c r="P28" s="369"/>
      <c r="Q28" s="369">
        <f>70+5</f>
        <v>75</v>
      </c>
      <c r="R28" s="369"/>
      <c r="S28" s="369"/>
      <c r="T28" s="369"/>
      <c r="U28" s="369"/>
      <c r="V28" s="369"/>
      <c r="W28" s="369"/>
      <c r="X28" s="369"/>
      <c r="Y28" s="369"/>
      <c r="Z28" s="371"/>
      <c r="AA28" s="371"/>
      <c r="AB28" s="371"/>
      <c r="AC28" s="371"/>
      <c r="AD28" s="369"/>
      <c r="AE28" s="369"/>
      <c r="AF28" s="369"/>
      <c r="AG28" s="372">
        <f>D28+E28+F28+G28+H28+I28+J28+K28+L28+M28+N28+O28+P28+Q28+R28+S28+T28+U28+V28+W28+X28+Y28+Z28+AA28+AB28+AC28+AD28+AE28+AF28</f>
        <v>1011</v>
      </c>
      <c r="AH28" s="371"/>
      <c r="AI28" s="372">
        <f>AG28+AH28</f>
        <v>1011</v>
      </c>
    </row>
    <row r="29" spans="1:35" s="363" customFormat="1" ht="14.25" customHeight="1" x14ac:dyDescent="0.2">
      <c r="A29" s="360">
        <v>19</v>
      </c>
      <c r="B29" s="367">
        <v>17</v>
      </c>
      <c r="C29" s="368">
        <f>[7]стоимость!J21</f>
        <v>609814</v>
      </c>
      <c r="D29" s="369">
        <v>30</v>
      </c>
      <c r="E29" s="369"/>
      <c r="F29" s="369">
        <v>50</v>
      </c>
      <c r="G29" s="369"/>
      <c r="H29" s="369"/>
      <c r="I29" s="369"/>
      <c r="J29" s="369"/>
      <c r="K29" s="369">
        <v>18</v>
      </c>
      <c r="L29" s="369">
        <v>60</v>
      </c>
      <c r="M29" s="369"/>
      <c r="N29" s="369"/>
      <c r="O29" s="369"/>
      <c r="P29" s="369"/>
      <c r="Q29" s="369">
        <f>10-5</f>
        <v>5</v>
      </c>
      <c r="R29" s="369"/>
      <c r="S29" s="369"/>
      <c r="T29" s="369"/>
      <c r="U29" s="369"/>
      <c r="V29" s="369"/>
      <c r="W29" s="369"/>
      <c r="X29" s="369"/>
      <c r="Y29" s="369"/>
      <c r="Z29" s="371"/>
      <c r="AA29" s="371"/>
      <c r="AB29" s="371"/>
      <c r="AC29" s="371"/>
      <c r="AD29" s="369"/>
      <c r="AE29" s="369"/>
      <c r="AF29" s="369"/>
      <c r="AG29" s="372">
        <f>D29+E29+F29+G29+H29+I29+J29+K29+L29+M29+N29+O29+P29+Q29+R29+S29+T29+U29+V29+W29+X29+Y29+Z29+AA29+AB29+AC29+AD29+AE29+AF29</f>
        <v>163</v>
      </c>
      <c r="AH29" s="371"/>
      <c r="AI29" s="372">
        <f>AG29+AH29</f>
        <v>163</v>
      </c>
    </row>
    <row r="30" spans="1:35" s="359" customFormat="1" ht="18.75" customHeight="1" x14ac:dyDescent="0.2">
      <c r="A30" s="357"/>
      <c r="B30" s="1005" t="s">
        <v>424</v>
      </c>
      <c r="C30" s="1006"/>
      <c r="D30" s="365">
        <v>250</v>
      </c>
      <c r="E30" s="365">
        <v>0</v>
      </c>
      <c r="F30" s="365">
        <f t="shared" ref="F30:AH30" si="10">SUM(F31:F37)</f>
        <v>0</v>
      </c>
      <c r="G30" s="365">
        <v>0</v>
      </c>
      <c r="H30" s="365">
        <f t="shared" si="10"/>
        <v>1687</v>
      </c>
      <c r="I30" s="365">
        <f t="shared" si="10"/>
        <v>0</v>
      </c>
      <c r="J30" s="365">
        <f t="shared" si="10"/>
        <v>0</v>
      </c>
      <c r="K30" s="365">
        <v>102</v>
      </c>
      <c r="L30" s="365">
        <f t="shared" si="10"/>
        <v>0</v>
      </c>
      <c r="M30" s="365">
        <v>0</v>
      </c>
      <c r="N30" s="365">
        <f t="shared" si="10"/>
        <v>0</v>
      </c>
      <c r="O30" s="365">
        <f t="shared" si="10"/>
        <v>0</v>
      </c>
      <c r="P30" s="365">
        <v>0</v>
      </c>
      <c r="Q30" s="365">
        <f t="shared" si="10"/>
        <v>0</v>
      </c>
      <c r="R30" s="365">
        <v>0</v>
      </c>
      <c r="S30" s="365">
        <v>0</v>
      </c>
      <c r="T30" s="365">
        <v>145</v>
      </c>
      <c r="U30" s="365">
        <f t="shared" si="10"/>
        <v>0</v>
      </c>
      <c r="V30" s="365">
        <v>0</v>
      </c>
      <c r="W30" s="365">
        <v>0</v>
      </c>
      <c r="X30" s="365">
        <f t="shared" si="10"/>
        <v>10</v>
      </c>
      <c r="Y30" s="365">
        <v>0</v>
      </c>
      <c r="Z30" s="365">
        <f t="shared" si="10"/>
        <v>0</v>
      </c>
      <c r="AA30" s="365">
        <f t="shared" si="10"/>
        <v>0</v>
      </c>
      <c r="AB30" s="365">
        <f t="shared" si="10"/>
        <v>0</v>
      </c>
      <c r="AC30" s="365">
        <f t="shared" si="10"/>
        <v>0</v>
      </c>
      <c r="AD30" s="365">
        <v>0</v>
      </c>
      <c r="AE30" s="365">
        <v>0</v>
      </c>
      <c r="AF30" s="365">
        <v>5</v>
      </c>
      <c r="AG30" s="365">
        <f t="shared" si="10"/>
        <v>2199</v>
      </c>
      <c r="AH30" s="365">
        <f t="shared" si="10"/>
        <v>0</v>
      </c>
      <c r="AI30" s="365">
        <f>SUM(AI31:AI37)</f>
        <v>2199</v>
      </c>
    </row>
    <row r="31" spans="1:35" s="363" customFormat="1" ht="14.25" customHeight="1" x14ac:dyDescent="0.2">
      <c r="A31" s="360">
        <v>20</v>
      </c>
      <c r="B31" s="367">
        <v>18</v>
      </c>
      <c r="C31" s="368">
        <f>[7]стоимость!J22</f>
        <v>227121</v>
      </c>
      <c r="D31" s="370">
        <v>100</v>
      </c>
      <c r="E31" s="370"/>
      <c r="F31" s="370"/>
      <c r="G31" s="370"/>
      <c r="H31" s="370">
        <v>1267</v>
      </c>
      <c r="I31" s="370"/>
      <c r="J31" s="370"/>
      <c r="K31" s="370">
        <v>1</v>
      </c>
      <c r="L31" s="370"/>
      <c r="M31" s="370"/>
      <c r="N31" s="370"/>
      <c r="O31" s="370"/>
      <c r="P31" s="370"/>
      <c r="Q31" s="370"/>
      <c r="R31" s="370"/>
      <c r="S31" s="370"/>
      <c r="T31" s="370">
        <v>145</v>
      </c>
      <c r="U31" s="370"/>
      <c r="V31" s="370"/>
      <c r="W31" s="370"/>
      <c r="X31" s="370">
        <v>10</v>
      </c>
      <c r="Y31" s="370"/>
      <c r="Z31" s="371"/>
      <c r="AA31" s="371"/>
      <c r="AB31" s="371"/>
      <c r="AC31" s="371"/>
      <c r="AD31" s="370"/>
      <c r="AE31" s="370"/>
      <c r="AF31" s="369">
        <v>5</v>
      </c>
      <c r="AG31" s="372">
        <f t="shared" ref="AG31:AG37" si="11">D31+E31+F31+G31+H31+I31+J31+K31+L31+M31+N31+O31+P31+Q31+R31+S31+T31+U31+V31+W31+X31+Y31+Z31+AA31+AB31+AC31+AD31+AE31+AF31</f>
        <v>1528</v>
      </c>
      <c r="AH31" s="371"/>
      <c r="AI31" s="372">
        <f t="shared" ref="AI31:AI37" si="12">AG31+AH31</f>
        <v>1528</v>
      </c>
    </row>
    <row r="32" spans="1:35" s="363" customFormat="1" ht="14.25" customHeight="1" x14ac:dyDescent="0.2">
      <c r="A32" s="360">
        <v>21</v>
      </c>
      <c r="B32" s="367">
        <v>19</v>
      </c>
      <c r="C32" s="368">
        <f>[7]стоимость!J23</f>
        <v>123238</v>
      </c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1"/>
      <c r="AA32" s="371"/>
      <c r="AB32" s="371"/>
      <c r="AC32" s="371"/>
      <c r="AD32" s="370"/>
      <c r="AE32" s="370"/>
      <c r="AF32" s="369"/>
      <c r="AG32" s="372">
        <f t="shared" si="11"/>
        <v>0</v>
      </c>
      <c r="AH32" s="371"/>
      <c r="AI32" s="372">
        <f t="shared" si="12"/>
        <v>0</v>
      </c>
    </row>
    <row r="33" spans="1:35" s="363" customFormat="1" ht="14.25" customHeight="1" x14ac:dyDescent="0.2">
      <c r="A33" s="360">
        <v>22</v>
      </c>
      <c r="B33" s="367">
        <v>20</v>
      </c>
      <c r="C33" s="368">
        <f>[7]стоимость!J24</f>
        <v>163933</v>
      </c>
      <c r="D33" s="370">
        <v>0</v>
      </c>
      <c r="E33" s="370"/>
      <c r="F33" s="370"/>
      <c r="G33" s="370"/>
      <c r="H33" s="370">
        <f>250-250</f>
        <v>0</v>
      </c>
      <c r="I33" s="374"/>
      <c r="J33" s="370"/>
      <c r="K33" s="370">
        <v>101</v>
      </c>
      <c r="L33" s="370"/>
      <c r="M33" s="370"/>
      <c r="N33" s="370"/>
      <c r="O33" s="370"/>
      <c r="P33" s="374"/>
      <c r="Q33" s="374"/>
      <c r="R33" s="370"/>
      <c r="S33" s="370"/>
      <c r="T33" s="370"/>
      <c r="U33" s="370"/>
      <c r="V33" s="370"/>
      <c r="W33" s="370"/>
      <c r="X33" s="370"/>
      <c r="Y33" s="370"/>
      <c r="Z33" s="371"/>
      <c r="AA33" s="371"/>
      <c r="AB33" s="371"/>
      <c r="AC33" s="371"/>
      <c r="AD33" s="370"/>
      <c r="AE33" s="370"/>
      <c r="AF33" s="369"/>
      <c r="AG33" s="372">
        <f t="shared" si="11"/>
        <v>101</v>
      </c>
      <c r="AH33" s="371"/>
      <c r="AI33" s="372">
        <f t="shared" si="12"/>
        <v>101</v>
      </c>
    </row>
    <row r="34" spans="1:35" s="363" customFormat="1" ht="14.25" customHeight="1" x14ac:dyDescent="0.2">
      <c r="A34" s="360">
        <v>0</v>
      </c>
      <c r="B34" s="367">
        <v>21</v>
      </c>
      <c r="C34" s="368">
        <f>[7]стоимость!J25</f>
        <v>460267</v>
      </c>
      <c r="D34" s="370">
        <v>150</v>
      </c>
      <c r="E34" s="370"/>
      <c r="F34" s="370"/>
      <c r="G34" s="370"/>
      <c r="H34" s="370">
        <v>250</v>
      </c>
      <c r="I34" s="374"/>
      <c r="J34" s="370"/>
      <c r="K34" s="370"/>
      <c r="L34" s="370"/>
      <c r="M34" s="370"/>
      <c r="N34" s="370"/>
      <c r="O34" s="370"/>
      <c r="P34" s="374"/>
      <c r="Q34" s="374"/>
      <c r="R34" s="370"/>
      <c r="S34" s="370"/>
      <c r="T34" s="370"/>
      <c r="U34" s="370"/>
      <c r="V34" s="370"/>
      <c r="W34" s="370"/>
      <c r="X34" s="370"/>
      <c r="Y34" s="370"/>
      <c r="Z34" s="371"/>
      <c r="AA34" s="371"/>
      <c r="AB34" s="371"/>
      <c r="AC34" s="371"/>
      <c r="AD34" s="370"/>
      <c r="AE34" s="370"/>
      <c r="AF34" s="369"/>
      <c r="AG34" s="372">
        <f t="shared" si="11"/>
        <v>400</v>
      </c>
      <c r="AH34" s="371"/>
      <c r="AI34" s="372">
        <f t="shared" si="12"/>
        <v>400</v>
      </c>
    </row>
    <row r="35" spans="1:35" s="363" customFormat="1" ht="14.25" customHeight="1" x14ac:dyDescent="0.2">
      <c r="A35" s="360">
        <v>23</v>
      </c>
      <c r="B35" s="367">
        <v>22</v>
      </c>
      <c r="C35" s="368">
        <f>[7]стоимость!J26</f>
        <v>87179</v>
      </c>
      <c r="D35" s="370"/>
      <c r="E35" s="370"/>
      <c r="F35" s="370"/>
      <c r="G35" s="370"/>
      <c r="H35" s="370">
        <v>10</v>
      </c>
      <c r="I35" s="374"/>
      <c r="J35" s="370"/>
      <c r="K35" s="370"/>
      <c r="L35" s="370"/>
      <c r="M35" s="370"/>
      <c r="N35" s="370"/>
      <c r="O35" s="370"/>
      <c r="P35" s="374"/>
      <c r="Q35" s="374"/>
      <c r="R35" s="370"/>
      <c r="S35" s="370"/>
      <c r="T35" s="370"/>
      <c r="U35" s="370"/>
      <c r="V35" s="370"/>
      <c r="W35" s="370"/>
      <c r="X35" s="370"/>
      <c r="Y35" s="370"/>
      <c r="Z35" s="371"/>
      <c r="AA35" s="371"/>
      <c r="AB35" s="371"/>
      <c r="AC35" s="371"/>
      <c r="AD35" s="370"/>
      <c r="AE35" s="370"/>
      <c r="AF35" s="369"/>
      <c r="AG35" s="372">
        <f t="shared" si="11"/>
        <v>10</v>
      </c>
      <c r="AH35" s="371"/>
      <c r="AI35" s="372">
        <f t="shared" si="12"/>
        <v>10</v>
      </c>
    </row>
    <row r="36" spans="1:35" s="363" customFormat="1" ht="14.25" customHeight="1" x14ac:dyDescent="0.2">
      <c r="A36" s="360">
        <v>24</v>
      </c>
      <c r="B36" s="367">
        <v>23</v>
      </c>
      <c r="C36" s="368">
        <f>[7]стоимость!J27</f>
        <v>196969</v>
      </c>
      <c r="D36" s="370"/>
      <c r="E36" s="370"/>
      <c r="F36" s="370"/>
      <c r="G36" s="370"/>
      <c r="H36" s="370">
        <v>160</v>
      </c>
      <c r="I36" s="374"/>
      <c r="J36" s="370"/>
      <c r="K36" s="370"/>
      <c r="L36" s="370"/>
      <c r="M36" s="370"/>
      <c r="N36" s="370"/>
      <c r="O36" s="370"/>
      <c r="P36" s="374"/>
      <c r="Q36" s="374"/>
      <c r="R36" s="370"/>
      <c r="S36" s="370"/>
      <c r="T36" s="370"/>
      <c r="U36" s="370"/>
      <c r="V36" s="370"/>
      <c r="W36" s="370"/>
      <c r="X36" s="370"/>
      <c r="Y36" s="370"/>
      <c r="Z36" s="371"/>
      <c r="AA36" s="371"/>
      <c r="AB36" s="371"/>
      <c r="AC36" s="371"/>
      <c r="AD36" s="370"/>
      <c r="AE36" s="370"/>
      <c r="AF36" s="369"/>
      <c r="AG36" s="372">
        <f t="shared" si="11"/>
        <v>160</v>
      </c>
      <c r="AH36" s="371"/>
      <c r="AI36" s="372">
        <f t="shared" si="12"/>
        <v>160</v>
      </c>
    </row>
    <row r="37" spans="1:35" s="363" customFormat="1" ht="14.25" customHeight="1" x14ac:dyDescent="0.2">
      <c r="A37" s="360">
        <v>25</v>
      </c>
      <c r="B37" s="367">
        <v>24</v>
      </c>
      <c r="C37" s="368">
        <f>[7]стоимость!J28</f>
        <v>262005</v>
      </c>
      <c r="D37" s="370"/>
      <c r="E37" s="370"/>
      <c r="F37" s="370"/>
      <c r="G37" s="370"/>
      <c r="H37" s="370"/>
      <c r="I37" s="374"/>
      <c r="J37" s="370"/>
      <c r="K37" s="370"/>
      <c r="L37" s="370"/>
      <c r="M37" s="370"/>
      <c r="N37" s="370"/>
      <c r="O37" s="370"/>
      <c r="P37" s="374"/>
      <c r="Q37" s="374"/>
      <c r="R37" s="370"/>
      <c r="S37" s="370"/>
      <c r="T37" s="370"/>
      <c r="U37" s="370"/>
      <c r="V37" s="370"/>
      <c r="W37" s="370"/>
      <c r="X37" s="370"/>
      <c r="Y37" s="370"/>
      <c r="Z37" s="371"/>
      <c r="AA37" s="371"/>
      <c r="AB37" s="371"/>
      <c r="AC37" s="371"/>
      <c r="AD37" s="370"/>
      <c r="AE37" s="370"/>
      <c r="AF37" s="369"/>
      <c r="AG37" s="372">
        <f t="shared" si="11"/>
        <v>0</v>
      </c>
      <c r="AH37" s="371"/>
      <c r="AI37" s="372">
        <f t="shared" si="12"/>
        <v>0</v>
      </c>
    </row>
    <row r="38" spans="1:35" s="359" customFormat="1" ht="19.5" customHeight="1" x14ac:dyDescent="0.2">
      <c r="A38" s="357"/>
      <c r="B38" s="1009" t="s">
        <v>425</v>
      </c>
      <c r="C38" s="1009"/>
      <c r="D38" s="365">
        <v>147</v>
      </c>
      <c r="E38" s="365">
        <v>4</v>
      </c>
      <c r="F38" s="365">
        <f t="shared" ref="F38:AH38" si="13">F39+F40+F41</f>
        <v>0</v>
      </c>
      <c r="G38" s="365">
        <v>0</v>
      </c>
      <c r="H38" s="365">
        <f t="shared" si="13"/>
        <v>0</v>
      </c>
      <c r="I38" s="365">
        <f t="shared" si="13"/>
        <v>0</v>
      </c>
      <c r="J38" s="365">
        <f t="shared" si="13"/>
        <v>0</v>
      </c>
      <c r="K38" s="365">
        <v>65</v>
      </c>
      <c r="L38" s="365">
        <f t="shared" si="13"/>
        <v>0</v>
      </c>
      <c r="M38" s="365">
        <v>0</v>
      </c>
      <c r="N38" s="365">
        <f t="shared" si="13"/>
        <v>100</v>
      </c>
      <c r="O38" s="365">
        <f t="shared" si="13"/>
        <v>0</v>
      </c>
      <c r="P38" s="365">
        <v>83</v>
      </c>
      <c r="Q38" s="365">
        <f t="shared" si="13"/>
        <v>0</v>
      </c>
      <c r="R38" s="365">
        <v>0</v>
      </c>
      <c r="S38" s="365">
        <v>0</v>
      </c>
      <c r="T38" s="365">
        <v>0</v>
      </c>
      <c r="U38" s="365">
        <f t="shared" si="13"/>
        <v>0</v>
      </c>
      <c r="V38" s="365">
        <v>0</v>
      </c>
      <c r="W38" s="365">
        <v>0</v>
      </c>
      <c r="X38" s="365">
        <f t="shared" si="13"/>
        <v>0</v>
      </c>
      <c r="Y38" s="365">
        <v>0</v>
      </c>
      <c r="Z38" s="365">
        <f t="shared" si="13"/>
        <v>0</v>
      </c>
      <c r="AA38" s="365">
        <f t="shared" si="13"/>
        <v>0</v>
      </c>
      <c r="AB38" s="365">
        <f t="shared" si="13"/>
        <v>0</v>
      </c>
      <c r="AC38" s="365">
        <f t="shared" si="13"/>
        <v>0</v>
      </c>
      <c r="AD38" s="365">
        <v>22</v>
      </c>
      <c r="AE38" s="365">
        <v>0</v>
      </c>
      <c r="AF38" s="365">
        <v>5</v>
      </c>
      <c r="AG38" s="365">
        <f t="shared" si="13"/>
        <v>426</v>
      </c>
      <c r="AH38" s="365">
        <f t="shared" si="13"/>
        <v>0</v>
      </c>
      <c r="AI38" s="365">
        <f>AI39+AI40+AI41</f>
        <v>426</v>
      </c>
    </row>
    <row r="39" spans="1:35" s="363" customFormat="1" ht="15" customHeight="1" x14ac:dyDescent="0.2">
      <c r="A39" s="360">
        <v>26</v>
      </c>
      <c r="B39" s="367">
        <v>25</v>
      </c>
      <c r="C39" s="368">
        <f>[7]стоимость!J29</f>
        <v>136012</v>
      </c>
      <c r="D39" s="370">
        <v>120</v>
      </c>
      <c r="E39" s="370"/>
      <c r="F39" s="370"/>
      <c r="G39" s="370"/>
      <c r="H39" s="370"/>
      <c r="I39" s="370"/>
      <c r="J39" s="370"/>
      <c r="K39" s="370">
        <v>28</v>
      </c>
      <c r="L39" s="370"/>
      <c r="M39" s="370"/>
      <c r="N39" s="370">
        <v>60</v>
      </c>
      <c r="O39" s="370"/>
      <c r="P39" s="370">
        <v>30</v>
      </c>
      <c r="Q39" s="370"/>
      <c r="R39" s="370"/>
      <c r="S39" s="370"/>
      <c r="T39" s="370"/>
      <c r="U39" s="370"/>
      <c r="V39" s="370"/>
      <c r="W39" s="370"/>
      <c r="X39" s="370"/>
      <c r="Y39" s="370"/>
      <c r="Z39" s="371"/>
      <c r="AA39" s="371"/>
      <c r="AB39" s="371"/>
      <c r="AC39" s="371"/>
      <c r="AD39" s="370">
        <v>15</v>
      </c>
      <c r="AE39" s="370"/>
      <c r="AF39" s="369"/>
      <c r="AG39" s="372">
        <f>D39+E39+F39+G39+H39+I39+J39+K39+L39+M39+N39+O39+P39+Q39+R39+S39+T39+U39+V39+W39+X39+Y39+Z39+AA39+AB39+AC39+AD39+AE39+AF39</f>
        <v>253</v>
      </c>
      <c r="AH39" s="371"/>
      <c r="AI39" s="372">
        <f>AG39+AH39</f>
        <v>253</v>
      </c>
    </row>
    <row r="40" spans="1:35" s="363" customFormat="1" ht="15" customHeight="1" x14ac:dyDescent="0.2">
      <c r="A40" s="360">
        <v>27</v>
      </c>
      <c r="B40" s="367">
        <v>26</v>
      </c>
      <c r="C40" s="368">
        <f>[7]стоимость!J30</f>
        <v>80274</v>
      </c>
      <c r="D40" s="370">
        <v>15</v>
      </c>
      <c r="E40" s="370">
        <v>4</v>
      </c>
      <c r="F40" s="370"/>
      <c r="G40" s="370"/>
      <c r="H40" s="370"/>
      <c r="I40" s="370"/>
      <c r="J40" s="370"/>
      <c r="K40" s="370">
        <v>29</v>
      </c>
      <c r="L40" s="378"/>
      <c r="M40" s="370"/>
      <c r="N40" s="370">
        <v>40</v>
      </c>
      <c r="O40" s="370"/>
      <c r="P40" s="370">
        <v>53</v>
      </c>
      <c r="Q40" s="370"/>
      <c r="R40" s="370"/>
      <c r="S40" s="370"/>
      <c r="T40" s="370"/>
      <c r="U40" s="370"/>
      <c r="V40" s="370"/>
      <c r="W40" s="370"/>
      <c r="X40" s="370"/>
      <c r="Y40" s="370"/>
      <c r="Z40" s="371"/>
      <c r="AA40" s="371"/>
      <c r="AB40" s="371"/>
      <c r="AC40" s="371"/>
      <c r="AD40" s="370">
        <v>3</v>
      </c>
      <c r="AE40" s="370"/>
      <c r="AF40" s="369">
        <v>5</v>
      </c>
      <c r="AG40" s="372">
        <f>D40+E40+F40+G40+H40+I40+J40+K40+L40+M40+N40+O40+P40+Q40+R40+S40+T40+U40+V40+W40+X40+Y40+Z40+AA40+AB40+AC40+AD40+AE40+AF40</f>
        <v>149</v>
      </c>
      <c r="AH40" s="371"/>
      <c r="AI40" s="372">
        <f>AG40+AH40</f>
        <v>149</v>
      </c>
    </row>
    <row r="41" spans="1:35" s="363" customFormat="1" ht="15" customHeight="1" x14ac:dyDescent="0.2">
      <c r="A41" s="360">
        <v>28</v>
      </c>
      <c r="B41" s="382">
        <v>27</v>
      </c>
      <c r="C41" s="368">
        <f>[7]стоимость!J31</f>
        <v>157576</v>
      </c>
      <c r="D41" s="370">
        <v>12</v>
      </c>
      <c r="E41" s="370"/>
      <c r="F41" s="370"/>
      <c r="G41" s="370"/>
      <c r="H41" s="370"/>
      <c r="I41" s="370"/>
      <c r="J41" s="370"/>
      <c r="K41" s="370">
        <v>8</v>
      </c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1"/>
      <c r="AA41" s="371"/>
      <c r="AB41" s="371"/>
      <c r="AC41" s="371"/>
      <c r="AD41" s="370">
        <v>4</v>
      </c>
      <c r="AE41" s="370"/>
      <c r="AF41" s="369"/>
      <c r="AG41" s="372">
        <f>D41+E41+F41+G41+H41+I41+J41+K41+L41+M41+N41+O41+P41+Q41+R41+S41+T41+U41+V41+W41+X41+Y41+Z41+AA41+AB41+AC41+AD41+AE41+AF41</f>
        <v>24</v>
      </c>
      <c r="AH41" s="371"/>
      <c r="AI41" s="372">
        <f>AG41+AH41</f>
        <v>24</v>
      </c>
    </row>
    <row r="42" spans="1:35" s="359" customFormat="1" ht="19.5" customHeight="1" x14ac:dyDescent="0.2">
      <c r="A42" s="357"/>
      <c r="B42" s="1009" t="s">
        <v>426</v>
      </c>
      <c r="C42" s="1009"/>
      <c r="D42" s="365">
        <v>0</v>
      </c>
      <c r="E42" s="365">
        <v>0</v>
      </c>
      <c r="F42" s="365">
        <f t="shared" ref="F42:AI42" si="14">F43+F44+F45</f>
        <v>0</v>
      </c>
      <c r="G42" s="365">
        <v>0</v>
      </c>
      <c r="H42" s="365">
        <f t="shared" si="14"/>
        <v>0</v>
      </c>
      <c r="I42" s="365">
        <f t="shared" si="14"/>
        <v>0</v>
      </c>
      <c r="J42" s="365">
        <f t="shared" si="14"/>
        <v>0</v>
      </c>
      <c r="K42" s="365">
        <v>76</v>
      </c>
      <c r="L42" s="365">
        <f t="shared" si="14"/>
        <v>0</v>
      </c>
      <c r="M42" s="365">
        <v>1259</v>
      </c>
      <c r="N42" s="365">
        <f t="shared" si="14"/>
        <v>0</v>
      </c>
      <c r="O42" s="365">
        <f t="shared" si="14"/>
        <v>0</v>
      </c>
      <c r="P42" s="365">
        <v>0</v>
      </c>
      <c r="Q42" s="365">
        <f t="shared" si="14"/>
        <v>0</v>
      </c>
      <c r="R42" s="365">
        <v>0</v>
      </c>
      <c r="S42" s="365">
        <v>100</v>
      </c>
      <c r="T42" s="365">
        <v>270</v>
      </c>
      <c r="U42" s="365">
        <f t="shared" si="14"/>
        <v>0</v>
      </c>
      <c r="V42" s="365">
        <v>0</v>
      </c>
      <c r="W42" s="365">
        <v>0</v>
      </c>
      <c r="X42" s="365">
        <f t="shared" si="14"/>
        <v>0</v>
      </c>
      <c r="Y42" s="365">
        <v>81</v>
      </c>
      <c r="Z42" s="365">
        <f t="shared" si="14"/>
        <v>130</v>
      </c>
      <c r="AA42" s="365">
        <f t="shared" si="14"/>
        <v>0</v>
      </c>
      <c r="AB42" s="365">
        <f t="shared" si="14"/>
        <v>94</v>
      </c>
      <c r="AC42" s="365">
        <f t="shared" si="14"/>
        <v>90</v>
      </c>
      <c r="AD42" s="365">
        <v>0</v>
      </c>
      <c r="AE42" s="365">
        <v>0</v>
      </c>
      <c r="AF42" s="365">
        <v>0</v>
      </c>
      <c r="AG42" s="365">
        <f t="shared" si="14"/>
        <v>2100</v>
      </c>
      <c r="AH42" s="365">
        <f t="shared" si="14"/>
        <v>0</v>
      </c>
      <c r="AI42" s="365">
        <f t="shared" si="14"/>
        <v>2100</v>
      </c>
    </row>
    <row r="43" spans="1:35" s="363" customFormat="1" ht="14.25" customHeight="1" x14ac:dyDescent="0.2">
      <c r="A43" s="360">
        <v>29</v>
      </c>
      <c r="B43" s="367">
        <v>28</v>
      </c>
      <c r="C43" s="368">
        <f>[7]стоимость!J32</f>
        <v>73376</v>
      </c>
      <c r="D43" s="370"/>
      <c r="E43" s="370"/>
      <c r="F43" s="370"/>
      <c r="G43" s="370"/>
      <c r="H43" s="370"/>
      <c r="I43" s="370"/>
      <c r="J43" s="370"/>
      <c r="K43" s="370">
        <v>76</v>
      </c>
      <c r="L43" s="370"/>
      <c r="M43" s="370">
        <v>1244</v>
      </c>
      <c r="N43" s="370"/>
      <c r="O43" s="369"/>
      <c r="P43" s="370"/>
      <c r="Q43" s="370"/>
      <c r="R43" s="370"/>
      <c r="S43" s="370">
        <v>93</v>
      </c>
      <c r="T43" s="370">
        <v>261</v>
      </c>
      <c r="U43" s="370"/>
      <c r="V43" s="369"/>
      <c r="W43" s="369"/>
      <c r="X43" s="369"/>
      <c r="Y43" s="369">
        <v>75</v>
      </c>
      <c r="Z43" s="371">
        <f>130-8</f>
        <v>122</v>
      </c>
      <c r="AA43" s="371">
        <f>270-9-152-109</f>
        <v>0</v>
      </c>
      <c r="AB43" s="371">
        <v>88</v>
      </c>
      <c r="AC43" s="371">
        <f>70-5</f>
        <v>65</v>
      </c>
      <c r="AD43" s="370"/>
      <c r="AE43" s="370"/>
      <c r="AF43" s="369"/>
      <c r="AG43" s="372">
        <f>D43+E43+F43+G43+H43+I43+J43+K43+L43+M43+N43+O43+P43+Q43+R43+S43+T43+U43+V43+W43+X43+Y43+Z43+AA43+AB43+AC43+AD43+AE43+AF43</f>
        <v>2024</v>
      </c>
      <c r="AH43" s="371"/>
      <c r="AI43" s="372">
        <f>AG43+AH43</f>
        <v>2024</v>
      </c>
    </row>
    <row r="44" spans="1:35" s="363" customFormat="1" ht="14.25" customHeight="1" x14ac:dyDescent="0.2">
      <c r="A44" s="360">
        <v>30</v>
      </c>
      <c r="B44" s="367">
        <v>29</v>
      </c>
      <c r="C44" s="368">
        <f>[7]стоимость!J33</f>
        <v>106640</v>
      </c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69"/>
      <c r="P44" s="370"/>
      <c r="Q44" s="370"/>
      <c r="R44" s="370"/>
      <c r="S44" s="370"/>
      <c r="T44" s="370"/>
      <c r="U44" s="370"/>
      <c r="V44" s="369"/>
      <c r="W44" s="369"/>
      <c r="X44" s="369"/>
      <c r="Y44" s="369"/>
      <c r="Z44" s="371"/>
      <c r="AA44" s="371"/>
      <c r="AB44" s="371"/>
      <c r="AC44" s="371">
        <v>20</v>
      </c>
      <c r="AD44" s="370"/>
      <c r="AE44" s="370"/>
      <c r="AF44" s="369"/>
      <c r="AG44" s="372">
        <f>D44+E44+F44+G44+H44+I44+J44+K44+L44+M44+N44+O44+P44+Q44+R44+S44+T44+U44+V44+W44+X44+Y44+Z44+AA44+AB44+AC44+AD44+AE44+AF44</f>
        <v>20</v>
      </c>
      <c r="AH44" s="371"/>
      <c r="AI44" s="372">
        <f>AG44+AH44</f>
        <v>20</v>
      </c>
    </row>
    <row r="45" spans="1:35" s="363" customFormat="1" ht="14.25" customHeight="1" x14ac:dyDescent="0.2">
      <c r="A45" s="360">
        <v>0</v>
      </c>
      <c r="B45" s="367">
        <v>30</v>
      </c>
      <c r="C45" s="368">
        <f>[7]стоимость!J34</f>
        <v>104235</v>
      </c>
      <c r="D45" s="370"/>
      <c r="E45" s="370"/>
      <c r="F45" s="370"/>
      <c r="G45" s="370"/>
      <c r="H45" s="370"/>
      <c r="I45" s="370"/>
      <c r="J45" s="370"/>
      <c r="K45" s="370"/>
      <c r="L45" s="370"/>
      <c r="M45" s="370">
        <v>15</v>
      </c>
      <c r="N45" s="370"/>
      <c r="O45" s="369"/>
      <c r="P45" s="370"/>
      <c r="Q45" s="370"/>
      <c r="R45" s="370"/>
      <c r="S45" s="370">
        <v>7</v>
      </c>
      <c r="T45" s="370">
        <v>9</v>
      </c>
      <c r="U45" s="370"/>
      <c r="V45" s="369"/>
      <c r="W45" s="369"/>
      <c r="X45" s="369"/>
      <c r="Y45" s="369">
        <v>6</v>
      </c>
      <c r="Z45" s="371">
        <v>8</v>
      </c>
      <c r="AA45" s="371">
        <f>9-5-4</f>
        <v>0</v>
      </c>
      <c r="AB45" s="371">
        <v>6</v>
      </c>
      <c r="AC45" s="371">
        <v>5</v>
      </c>
      <c r="AD45" s="370"/>
      <c r="AE45" s="370"/>
      <c r="AF45" s="369"/>
      <c r="AG45" s="372">
        <f>D45+E45+F45+G45+H45+I45+J45+K45+L45+M45+N45+O45+P45+Q45+R45+S45+T45+U45+V45+W45+X45+Y45+Z45+AA45+AB45+AC45+AD45+AE45+AF45</f>
        <v>56</v>
      </c>
      <c r="AH45" s="371"/>
      <c r="AI45" s="372">
        <f>AG45+AH45</f>
        <v>56</v>
      </c>
    </row>
    <row r="46" spans="1:35" s="359" customFormat="1" ht="18.75" customHeight="1" x14ac:dyDescent="0.2">
      <c r="A46" s="357"/>
      <c r="B46" s="1009" t="s">
        <v>427</v>
      </c>
      <c r="C46" s="1009"/>
      <c r="D46" s="365">
        <v>0</v>
      </c>
      <c r="E46" s="365">
        <v>0</v>
      </c>
      <c r="F46" s="365">
        <f t="shared" ref="F46:AI46" si="15">SUM(F47:F51)</f>
        <v>0</v>
      </c>
      <c r="G46" s="365">
        <v>60</v>
      </c>
      <c r="H46" s="365">
        <f t="shared" si="15"/>
        <v>0</v>
      </c>
      <c r="I46" s="365">
        <f t="shared" si="15"/>
        <v>0</v>
      </c>
      <c r="J46" s="365">
        <f t="shared" si="15"/>
        <v>0</v>
      </c>
      <c r="K46" s="365">
        <v>49</v>
      </c>
      <c r="L46" s="365">
        <f t="shared" si="15"/>
        <v>0</v>
      </c>
      <c r="M46" s="365">
        <v>0</v>
      </c>
      <c r="N46" s="365">
        <f t="shared" si="15"/>
        <v>0</v>
      </c>
      <c r="O46" s="365">
        <f t="shared" si="15"/>
        <v>0</v>
      </c>
      <c r="P46" s="365">
        <v>0</v>
      </c>
      <c r="Q46" s="365">
        <f t="shared" si="15"/>
        <v>0</v>
      </c>
      <c r="R46" s="365">
        <v>0</v>
      </c>
      <c r="S46" s="365">
        <v>0</v>
      </c>
      <c r="T46" s="365">
        <v>0</v>
      </c>
      <c r="U46" s="365">
        <f t="shared" si="15"/>
        <v>0</v>
      </c>
      <c r="V46" s="365">
        <v>0</v>
      </c>
      <c r="W46" s="365">
        <v>0</v>
      </c>
      <c r="X46" s="365">
        <f t="shared" si="15"/>
        <v>0</v>
      </c>
      <c r="Y46" s="365">
        <v>0</v>
      </c>
      <c r="Z46" s="365">
        <f t="shared" si="15"/>
        <v>0</v>
      </c>
      <c r="AA46" s="365">
        <f t="shared" si="15"/>
        <v>0</v>
      </c>
      <c r="AB46" s="365">
        <f t="shared" si="15"/>
        <v>0</v>
      </c>
      <c r="AC46" s="365">
        <f t="shared" si="15"/>
        <v>0</v>
      </c>
      <c r="AD46" s="365">
        <v>0</v>
      </c>
      <c r="AE46" s="365">
        <v>0</v>
      </c>
      <c r="AF46" s="365">
        <v>0</v>
      </c>
      <c r="AG46" s="365">
        <f t="shared" si="15"/>
        <v>109</v>
      </c>
      <c r="AH46" s="365">
        <f t="shared" si="15"/>
        <v>0</v>
      </c>
      <c r="AI46" s="365">
        <f t="shared" si="15"/>
        <v>109</v>
      </c>
    </row>
    <row r="47" spans="1:35" s="363" customFormat="1" ht="15" customHeight="1" x14ac:dyDescent="0.2">
      <c r="A47" s="360">
        <v>31</v>
      </c>
      <c r="B47" s="367">
        <v>31</v>
      </c>
      <c r="C47" s="368">
        <f>[7]стоимость!J35</f>
        <v>101014</v>
      </c>
      <c r="D47" s="370"/>
      <c r="E47" s="370"/>
      <c r="F47" s="370"/>
      <c r="G47" s="370"/>
      <c r="H47" s="370"/>
      <c r="I47" s="370"/>
      <c r="J47" s="370"/>
      <c r="K47" s="370">
        <v>3</v>
      </c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1"/>
      <c r="AA47" s="371"/>
      <c r="AB47" s="371"/>
      <c r="AC47" s="371"/>
      <c r="AD47" s="370"/>
      <c r="AE47" s="370"/>
      <c r="AF47" s="369"/>
      <c r="AG47" s="372">
        <f>D47+E47+F47+G47+H47+I47+J47+K47+L47+M47+N47+O47+P47+Q47+R47+S47+T47+U47+V47+W47+X47+Y47+Z47+AA47+AB47+AC47+AD47+AE47+AF47</f>
        <v>3</v>
      </c>
      <c r="AH47" s="371"/>
      <c r="AI47" s="383">
        <f>AG47+AH47</f>
        <v>3</v>
      </c>
    </row>
    <row r="48" spans="1:35" s="363" customFormat="1" ht="13.5" customHeight="1" x14ac:dyDescent="0.2">
      <c r="A48" s="360">
        <v>32</v>
      </c>
      <c r="B48" s="367">
        <v>32</v>
      </c>
      <c r="C48" s="368">
        <f>[7]стоимость!J36</f>
        <v>205749</v>
      </c>
      <c r="D48" s="370"/>
      <c r="E48" s="370"/>
      <c r="F48" s="370"/>
      <c r="G48" s="370"/>
      <c r="H48" s="370"/>
      <c r="I48" s="370"/>
      <c r="J48" s="370"/>
      <c r="K48" s="370">
        <v>46</v>
      </c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1"/>
      <c r="AA48" s="371"/>
      <c r="AB48" s="371"/>
      <c r="AC48" s="371"/>
      <c r="AD48" s="370"/>
      <c r="AE48" s="370"/>
      <c r="AF48" s="369"/>
      <c r="AG48" s="372">
        <f>D48+E48+F48+G48+H48+I48+J48+K48+L48+M48+N48+O48+P48+Q48+R48+S48+T48+U48+V48+W48+X48+Y48+Z48+AA48+AB48+AC48+AD48+AE48+AF48</f>
        <v>46</v>
      </c>
      <c r="AH48" s="371"/>
      <c r="AI48" s="383">
        <f>AG48+AH48</f>
        <v>46</v>
      </c>
    </row>
    <row r="49" spans="1:35" s="363" customFormat="1" ht="15" customHeight="1" x14ac:dyDescent="0.2">
      <c r="A49" s="360">
        <v>33</v>
      </c>
      <c r="B49" s="367">
        <v>33</v>
      </c>
      <c r="C49" s="368">
        <f>[7]стоимость!J37</f>
        <v>119376</v>
      </c>
      <c r="D49" s="370"/>
      <c r="E49" s="370"/>
      <c r="F49" s="370"/>
      <c r="G49" s="370">
        <v>60</v>
      </c>
      <c r="H49" s="370"/>
      <c r="I49" s="374"/>
      <c r="J49" s="370"/>
      <c r="K49" s="370"/>
      <c r="L49" s="370"/>
      <c r="M49" s="374"/>
      <c r="N49" s="370"/>
      <c r="O49" s="370"/>
      <c r="P49" s="374"/>
      <c r="Q49" s="374"/>
      <c r="R49" s="370"/>
      <c r="S49" s="370"/>
      <c r="T49" s="370"/>
      <c r="U49" s="370"/>
      <c r="V49" s="370"/>
      <c r="W49" s="370"/>
      <c r="X49" s="370"/>
      <c r="Y49" s="370"/>
      <c r="Z49" s="371"/>
      <c r="AA49" s="371"/>
      <c r="AB49" s="371"/>
      <c r="AC49" s="371"/>
      <c r="AD49" s="370"/>
      <c r="AE49" s="370"/>
      <c r="AF49" s="369"/>
      <c r="AG49" s="372">
        <f>D49+E49+F49+G49+H49+I49+J49+K49+L49+M49+N49+O49+P49+Q49+R49+S49+T49+U49+V49+W49+X49+Y49+Z49+AA49+AB49+AC49+AD49+AE49+AF49</f>
        <v>60</v>
      </c>
      <c r="AH49" s="371"/>
      <c r="AI49" s="383">
        <f>AG49+AH49</f>
        <v>60</v>
      </c>
    </row>
    <row r="50" spans="1:35" s="363" customFormat="1" ht="15" customHeight="1" x14ac:dyDescent="0.2">
      <c r="A50" s="360">
        <v>34</v>
      </c>
      <c r="B50" s="382">
        <v>34</v>
      </c>
      <c r="C50" s="368">
        <f>[7]стоимость!J38</f>
        <v>203875</v>
      </c>
      <c r="D50" s="370"/>
      <c r="E50" s="370"/>
      <c r="F50" s="370"/>
      <c r="G50" s="370"/>
      <c r="H50" s="370"/>
      <c r="I50" s="374"/>
      <c r="J50" s="370"/>
      <c r="K50" s="370"/>
      <c r="L50" s="370"/>
      <c r="M50" s="374"/>
      <c r="N50" s="370"/>
      <c r="O50" s="370"/>
      <c r="P50" s="374"/>
      <c r="Q50" s="374"/>
      <c r="R50" s="370"/>
      <c r="S50" s="370"/>
      <c r="T50" s="370"/>
      <c r="U50" s="370"/>
      <c r="V50" s="370"/>
      <c r="W50" s="370"/>
      <c r="X50" s="370"/>
      <c r="Y50" s="370"/>
      <c r="Z50" s="371"/>
      <c r="AA50" s="371"/>
      <c r="AB50" s="371"/>
      <c r="AC50" s="371"/>
      <c r="AD50" s="370"/>
      <c r="AE50" s="370"/>
      <c r="AF50" s="369"/>
      <c r="AG50" s="372">
        <f>D50+E50+F50+G50+H50+I50+J50+K50+L50+M50+N50+O50+P50+Q50+R50+S50+T50+U50+V50+W50+X50+Y50+Z50+AA50+AB50+AC50+AD50+AE50+AF50</f>
        <v>0</v>
      </c>
      <c r="AH50" s="371"/>
      <c r="AI50" s="383">
        <f>AG50+AH50</f>
        <v>0</v>
      </c>
    </row>
    <row r="51" spans="1:35" s="363" customFormat="1" ht="15" customHeight="1" x14ac:dyDescent="0.2">
      <c r="A51" s="360">
        <v>0</v>
      </c>
      <c r="B51" s="367">
        <v>35</v>
      </c>
      <c r="C51" s="368">
        <f>[7]стоимость!J39</f>
        <v>202345</v>
      </c>
      <c r="D51" s="370"/>
      <c r="E51" s="370"/>
      <c r="F51" s="370"/>
      <c r="G51" s="370"/>
      <c r="H51" s="370"/>
      <c r="I51" s="374"/>
      <c r="J51" s="370"/>
      <c r="K51" s="370"/>
      <c r="L51" s="370"/>
      <c r="M51" s="374"/>
      <c r="N51" s="370"/>
      <c r="O51" s="370"/>
      <c r="P51" s="374"/>
      <c r="Q51" s="374"/>
      <c r="R51" s="370"/>
      <c r="S51" s="370"/>
      <c r="T51" s="370"/>
      <c r="U51" s="370"/>
      <c r="V51" s="370"/>
      <c r="W51" s="370"/>
      <c r="X51" s="370"/>
      <c r="Y51" s="370"/>
      <c r="Z51" s="371"/>
      <c r="AA51" s="371"/>
      <c r="AB51" s="371"/>
      <c r="AC51" s="371"/>
      <c r="AD51" s="370"/>
      <c r="AE51" s="370"/>
      <c r="AF51" s="369"/>
      <c r="AG51" s="372">
        <f>D51+E51+F51+G51+H51+I51+J51+K51+L51+M51+N51+O51+P51+Q51+R51+S51+T51+U51+V51+W51+X51+Y51+Z51+AA51+AB51+AC51+AD51+AE51+AF51</f>
        <v>0</v>
      </c>
      <c r="AH51" s="371"/>
      <c r="AI51" s="383">
        <f>AG51+AH51</f>
        <v>0</v>
      </c>
    </row>
    <row r="52" spans="1:35" s="359" customFormat="1" ht="17.25" customHeight="1" x14ac:dyDescent="0.2">
      <c r="A52" s="357"/>
      <c r="B52" s="1009" t="s">
        <v>428</v>
      </c>
      <c r="C52" s="1009"/>
      <c r="D52" s="365">
        <v>183</v>
      </c>
      <c r="E52" s="365">
        <v>0</v>
      </c>
      <c r="F52" s="365">
        <f t="shared" ref="F52:AI52" si="16">F53</f>
        <v>0</v>
      </c>
      <c r="G52" s="365">
        <v>0</v>
      </c>
      <c r="H52" s="365">
        <f t="shared" si="16"/>
        <v>0</v>
      </c>
      <c r="I52" s="365">
        <f t="shared" si="16"/>
        <v>0</v>
      </c>
      <c r="J52" s="365">
        <f t="shared" si="16"/>
        <v>0</v>
      </c>
      <c r="K52" s="365">
        <v>0</v>
      </c>
      <c r="L52" s="365">
        <f t="shared" si="16"/>
        <v>0</v>
      </c>
      <c r="M52" s="365">
        <v>0</v>
      </c>
      <c r="N52" s="365">
        <f t="shared" si="16"/>
        <v>134</v>
      </c>
      <c r="O52" s="365">
        <f t="shared" si="16"/>
        <v>0</v>
      </c>
      <c r="P52" s="365">
        <v>0</v>
      </c>
      <c r="Q52" s="365">
        <f t="shared" si="16"/>
        <v>0</v>
      </c>
      <c r="R52" s="365">
        <v>0</v>
      </c>
      <c r="S52" s="365">
        <v>0</v>
      </c>
      <c r="T52" s="365">
        <v>45</v>
      </c>
      <c r="U52" s="365">
        <f t="shared" si="16"/>
        <v>0</v>
      </c>
      <c r="V52" s="365">
        <v>0</v>
      </c>
      <c r="W52" s="365">
        <v>0</v>
      </c>
      <c r="X52" s="365">
        <f t="shared" si="16"/>
        <v>0</v>
      </c>
      <c r="Y52" s="365">
        <v>0</v>
      </c>
      <c r="Z52" s="365">
        <f t="shared" si="16"/>
        <v>0</v>
      </c>
      <c r="AA52" s="365">
        <f t="shared" si="16"/>
        <v>0</v>
      </c>
      <c r="AB52" s="365">
        <f t="shared" si="16"/>
        <v>0</v>
      </c>
      <c r="AC52" s="365">
        <f t="shared" si="16"/>
        <v>0</v>
      </c>
      <c r="AD52" s="365">
        <v>0</v>
      </c>
      <c r="AE52" s="365">
        <v>0</v>
      </c>
      <c r="AF52" s="365">
        <v>0</v>
      </c>
      <c r="AG52" s="365">
        <f t="shared" si="16"/>
        <v>362</v>
      </c>
      <c r="AH52" s="365">
        <f t="shared" si="16"/>
        <v>0</v>
      </c>
      <c r="AI52" s="365">
        <f t="shared" si="16"/>
        <v>362</v>
      </c>
    </row>
    <row r="53" spans="1:35" s="363" customFormat="1" ht="14.25" customHeight="1" x14ac:dyDescent="0.2">
      <c r="A53" s="360">
        <v>35</v>
      </c>
      <c r="B53" s="367">
        <v>36</v>
      </c>
      <c r="C53" s="368">
        <f>[7]стоимость!J40</f>
        <v>160288</v>
      </c>
      <c r="D53" s="370">
        <v>183</v>
      </c>
      <c r="E53" s="370"/>
      <c r="F53" s="370"/>
      <c r="G53" s="370"/>
      <c r="H53" s="370"/>
      <c r="I53" s="370"/>
      <c r="J53" s="370"/>
      <c r="K53" s="370"/>
      <c r="L53" s="370"/>
      <c r="M53" s="370"/>
      <c r="N53" s="370">
        <v>134</v>
      </c>
      <c r="O53" s="370"/>
      <c r="P53" s="370"/>
      <c r="Q53" s="370"/>
      <c r="R53" s="370"/>
      <c r="S53" s="370"/>
      <c r="T53" s="370">
        <v>45</v>
      </c>
      <c r="U53" s="370"/>
      <c r="V53" s="370"/>
      <c r="W53" s="370"/>
      <c r="X53" s="370"/>
      <c r="Y53" s="370"/>
      <c r="Z53" s="371"/>
      <c r="AA53" s="371"/>
      <c r="AB53" s="371"/>
      <c r="AC53" s="371"/>
      <c r="AD53" s="370"/>
      <c r="AE53" s="370"/>
      <c r="AF53" s="369"/>
      <c r="AG53" s="372">
        <f>D53+E53+F53+G53+H53+I53+J53+K53+L53+M53+N53+O53+P53+Q53+R53+S53+T53+U53+V53+W53+X53+Y53+Z53+AA53+AB53+AC53+AD53+AE53+AF53</f>
        <v>362</v>
      </c>
      <c r="AH53" s="371"/>
      <c r="AI53" s="383">
        <f>AG53+AH53</f>
        <v>362</v>
      </c>
    </row>
    <row r="54" spans="1:35" s="359" customFormat="1" ht="26.25" customHeight="1" x14ac:dyDescent="0.2">
      <c r="A54" s="357"/>
      <c r="B54" s="1005" t="s">
        <v>429</v>
      </c>
      <c r="C54" s="1006"/>
      <c r="D54" s="365">
        <v>723</v>
      </c>
      <c r="E54" s="365">
        <v>775</v>
      </c>
      <c r="F54" s="365">
        <f t="shared" ref="F54:AH54" si="17">SUM(F55:F71)</f>
        <v>0</v>
      </c>
      <c r="G54" s="365">
        <v>3620</v>
      </c>
      <c r="H54" s="365">
        <f t="shared" si="17"/>
        <v>0</v>
      </c>
      <c r="I54" s="365">
        <f t="shared" si="17"/>
        <v>0</v>
      </c>
      <c r="J54" s="365">
        <f t="shared" si="17"/>
        <v>0</v>
      </c>
      <c r="K54" s="365">
        <v>0</v>
      </c>
      <c r="L54" s="365">
        <f t="shared" si="17"/>
        <v>0</v>
      </c>
      <c r="M54" s="365">
        <v>0</v>
      </c>
      <c r="N54" s="365">
        <f t="shared" si="17"/>
        <v>0</v>
      </c>
      <c r="O54" s="365">
        <f t="shared" si="17"/>
        <v>312</v>
      </c>
      <c r="P54" s="365">
        <v>543</v>
      </c>
      <c r="Q54" s="365">
        <f t="shared" si="17"/>
        <v>0</v>
      </c>
      <c r="R54" s="365">
        <v>224</v>
      </c>
      <c r="S54" s="365">
        <v>332</v>
      </c>
      <c r="T54" s="365">
        <v>474</v>
      </c>
      <c r="U54" s="365">
        <f t="shared" si="17"/>
        <v>61</v>
      </c>
      <c r="V54" s="365">
        <v>269</v>
      </c>
      <c r="W54" s="365">
        <v>185</v>
      </c>
      <c r="X54" s="365">
        <f t="shared" si="17"/>
        <v>0</v>
      </c>
      <c r="Y54" s="365">
        <v>57</v>
      </c>
      <c r="Z54" s="365">
        <f t="shared" si="17"/>
        <v>0</v>
      </c>
      <c r="AA54" s="365">
        <f t="shared" si="17"/>
        <v>0</v>
      </c>
      <c r="AB54" s="365">
        <f t="shared" si="17"/>
        <v>0</v>
      </c>
      <c r="AC54" s="365">
        <f t="shared" si="17"/>
        <v>0</v>
      </c>
      <c r="AD54" s="365">
        <v>0</v>
      </c>
      <c r="AE54" s="365">
        <v>487</v>
      </c>
      <c r="AF54" s="365">
        <v>50</v>
      </c>
      <c r="AG54" s="365">
        <f t="shared" si="17"/>
        <v>8112</v>
      </c>
      <c r="AH54" s="365">
        <f t="shared" si="17"/>
        <v>0</v>
      </c>
      <c r="AI54" s="365">
        <f>SUM(AI55:AI71)</f>
        <v>8112</v>
      </c>
    </row>
    <row r="55" spans="1:35" s="363" customFormat="1" ht="14.25" customHeight="1" x14ac:dyDescent="0.2">
      <c r="A55" s="360">
        <v>36</v>
      </c>
      <c r="B55" s="367">
        <v>37</v>
      </c>
      <c r="C55" s="368">
        <f>[7]стоимость!J41</f>
        <v>196105</v>
      </c>
      <c r="D55" s="385">
        <v>146</v>
      </c>
      <c r="E55" s="385">
        <v>270</v>
      </c>
      <c r="F55" s="385"/>
      <c r="G55" s="385">
        <v>168</v>
      </c>
      <c r="H55" s="385"/>
      <c r="I55" s="386"/>
      <c r="J55" s="385"/>
      <c r="K55" s="385"/>
      <c r="L55" s="385"/>
      <c r="M55" s="370"/>
      <c r="N55" s="385"/>
      <c r="O55" s="376">
        <v>10</v>
      </c>
      <c r="P55" s="385">
        <v>205</v>
      </c>
      <c r="Q55" s="386"/>
      <c r="R55" s="385">
        <v>35</v>
      </c>
      <c r="S55" s="385">
        <v>91</v>
      </c>
      <c r="T55" s="385">
        <v>213</v>
      </c>
      <c r="U55" s="369">
        <f>11+7</f>
        <v>18</v>
      </c>
      <c r="V55" s="381">
        <v>76</v>
      </c>
      <c r="W55" s="370">
        <v>70</v>
      </c>
      <c r="X55" s="370"/>
      <c r="Y55" s="370">
        <v>18</v>
      </c>
      <c r="Z55" s="375"/>
      <c r="AA55" s="375"/>
      <c r="AB55" s="375"/>
      <c r="AC55" s="375"/>
      <c r="AD55" s="370"/>
      <c r="AE55" s="370">
        <v>181</v>
      </c>
      <c r="AF55" s="369">
        <v>3</v>
      </c>
      <c r="AG55" s="372">
        <f t="shared" ref="AG55:AG71" si="18">D55+E55+F55+G55+H55+I55+J55+K55+L55+M55+N55+O55+P55+Q55+R55+S55+T55+U55+V55+W55+X55+Y55+Z55+AA55+AB55+AC55+AD55+AE55+AF55</f>
        <v>1504</v>
      </c>
      <c r="AH55" s="375"/>
      <c r="AI55" s="372">
        <f t="shared" ref="AI55:AI71" si="19">AG55+AH55</f>
        <v>1504</v>
      </c>
    </row>
    <row r="56" spans="1:35" s="363" customFormat="1" ht="14.25" customHeight="1" x14ac:dyDescent="0.2">
      <c r="A56" s="360">
        <v>37</v>
      </c>
      <c r="B56" s="367">
        <v>38</v>
      </c>
      <c r="C56" s="368">
        <f>[7]стоимость!J42</f>
        <v>226031</v>
      </c>
      <c r="D56" s="370">
        <v>67</v>
      </c>
      <c r="E56" s="370">
        <v>79</v>
      </c>
      <c r="F56" s="385"/>
      <c r="G56" s="370">
        <v>148</v>
      </c>
      <c r="H56" s="370"/>
      <c r="I56" s="370"/>
      <c r="J56" s="370"/>
      <c r="K56" s="370"/>
      <c r="L56" s="370"/>
      <c r="M56" s="370"/>
      <c r="N56" s="370"/>
      <c r="O56" s="369">
        <v>52</v>
      </c>
      <c r="P56" s="370">
        <v>67</v>
      </c>
      <c r="Q56" s="370"/>
      <c r="R56" s="370">
        <v>15</v>
      </c>
      <c r="S56" s="370">
        <v>50</v>
      </c>
      <c r="T56" s="370">
        <v>17</v>
      </c>
      <c r="U56" s="369">
        <v>11</v>
      </c>
      <c r="V56" s="381">
        <v>32</v>
      </c>
      <c r="W56" s="370">
        <v>21</v>
      </c>
      <c r="X56" s="370"/>
      <c r="Y56" s="370">
        <v>19</v>
      </c>
      <c r="Z56" s="375"/>
      <c r="AA56" s="375"/>
      <c r="AB56" s="375"/>
      <c r="AC56" s="375"/>
      <c r="AD56" s="370"/>
      <c r="AE56" s="370">
        <v>71</v>
      </c>
      <c r="AF56" s="369"/>
      <c r="AG56" s="372">
        <f t="shared" si="18"/>
        <v>649</v>
      </c>
      <c r="AH56" s="375"/>
      <c r="AI56" s="372">
        <f t="shared" si="19"/>
        <v>649</v>
      </c>
    </row>
    <row r="57" spans="1:35" s="363" customFormat="1" ht="14.25" customHeight="1" x14ac:dyDescent="0.2">
      <c r="A57" s="360">
        <v>38</v>
      </c>
      <c r="B57" s="367">
        <v>39</v>
      </c>
      <c r="C57" s="368">
        <f>[7]стоимость!J43</f>
        <v>255415</v>
      </c>
      <c r="D57" s="370">
        <v>40</v>
      </c>
      <c r="E57" s="370">
        <v>18</v>
      </c>
      <c r="F57" s="385"/>
      <c r="G57" s="370">
        <v>90</v>
      </c>
      <c r="H57" s="370"/>
      <c r="I57" s="374"/>
      <c r="J57" s="370"/>
      <c r="K57" s="370"/>
      <c r="L57" s="370"/>
      <c r="M57" s="370"/>
      <c r="N57" s="370"/>
      <c r="O57" s="369">
        <v>35</v>
      </c>
      <c r="P57" s="370">
        <v>22</v>
      </c>
      <c r="Q57" s="374"/>
      <c r="R57" s="370">
        <v>10</v>
      </c>
      <c r="S57" s="370">
        <v>17</v>
      </c>
      <c r="T57" s="370">
        <v>9</v>
      </c>
      <c r="U57" s="369">
        <v>3</v>
      </c>
      <c r="V57" s="381">
        <v>11</v>
      </c>
      <c r="W57" s="369">
        <v>3</v>
      </c>
      <c r="X57" s="369"/>
      <c r="Y57" s="370">
        <v>4</v>
      </c>
      <c r="Z57" s="387"/>
      <c r="AA57" s="387"/>
      <c r="AB57" s="387"/>
      <c r="AC57" s="387"/>
      <c r="AD57" s="370"/>
      <c r="AE57" s="370">
        <v>18</v>
      </c>
      <c r="AF57" s="369"/>
      <c r="AG57" s="372">
        <f t="shared" si="18"/>
        <v>280</v>
      </c>
      <c r="AH57" s="387"/>
      <c r="AI57" s="372">
        <f t="shared" si="19"/>
        <v>280</v>
      </c>
    </row>
    <row r="58" spans="1:35" s="363" customFormat="1" ht="14.25" customHeight="1" x14ac:dyDescent="0.2">
      <c r="A58" s="360">
        <v>39</v>
      </c>
      <c r="B58" s="367">
        <v>40</v>
      </c>
      <c r="C58" s="368">
        <f>[7]стоимость!J44</f>
        <v>145573</v>
      </c>
      <c r="D58" s="370">
        <v>210</v>
      </c>
      <c r="E58" s="370">
        <v>160</v>
      </c>
      <c r="F58" s="385"/>
      <c r="G58" s="370">
        <v>366</v>
      </c>
      <c r="H58" s="370"/>
      <c r="I58" s="374"/>
      <c r="J58" s="370"/>
      <c r="K58" s="370"/>
      <c r="L58" s="370"/>
      <c r="M58" s="370"/>
      <c r="N58" s="370"/>
      <c r="O58" s="369"/>
      <c r="P58" s="370">
        <v>171</v>
      </c>
      <c r="Q58" s="374"/>
      <c r="R58" s="370">
        <v>85</v>
      </c>
      <c r="S58" s="370">
        <v>133</v>
      </c>
      <c r="T58" s="370">
        <v>197</v>
      </c>
      <c r="U58" s="369">
        <v>11</v>
      </c>
      <c r="V58" s="381">
        <v>75</v>
      </c>
      <c r="W58" s="369">
        <v>55</v>
      </c>
      <c r="X58" s="369"/>
      <c r="Y58" s="370">
        <v>5</v>
      </c>
      <c r="Z58" s="387"/>
      <c r="AA58" s="387"/>
      <c r="AB58" s="387"/>
      <c r="AC58" s="387"/>
      <c r="AD58" s="370"/>
      <c r="AE58" s="370">
        <v>46</v>
      </c>
      <c r="AF58" s="369">
        <v>10</v>
      </c>
      <c r="AG58" s="372">
        <f t="shared" si="18"/>
        <v>1524</v>
      </c>
      <c r="AH58" s="387"/>
      <c r="AI58" s="372">
        <f t="shared" si="19"/>
        <v>1524</v>
      </c>
    </row>
    <row r="59" spans="1:35" s="363" customFormat="1" ht="14.25" customHeight="1" x14ac:dyDescent="0.2">
      <c r="A59" s="360">
        <v>40</v>
      </c>
      <c r="B59" s="367">
        <v>41</v>
      </c>
      <c r="C59" s="368">
        <f>[7]стоимость!J45</f>
        <v>175437</v>
      </c>
      <c r="D59" s="370">
        <v>128</v>
      </c>
      <c r="E59" s="370">
        <v>37</v>
      </c>
      <c r="F59" s="385"/>
      <c r="G59" s="370">
        <v>195</v>
      </c>
      <c r="H59" s="370"/>
      <c r="I59" s="370"/>
      <c r="J59" s="370"/>
      <c r="K59" s="370"/>
      <c r="L59" s="370"/>
      <c r="M59" s="370"/>
      <c r="N59" s="370"/>
      <c r="O59" s="369">
        <v>75</v>
      </c>
      <c r="P59" s="370">
        <v>48</v>
      </c>
      <c r="Q59" s="370"/>
      <c r="R59" s="370">
        <v>49</v>
      </c>
      <c r="S59" s="370">
        <v>36</v>
      </c>
      <c r="T59" s="370">
        <v>23</v>
      </c>
      <c r="U59" s="369">
        <v>11</v>
      </c>
      <c r="V59" s="369">
        <v>23</v>
      </c>
      <c r="W59" s="369">
        <v>25</v>
      </c>
      <c r="X59" s="369"/>
      <c r="Y59" s="370">
        <v>4</v>
      </c>
      <c r="Z59" s="387"/>
      <c r="AA59" s="387"/>
      <c r="AB59" s="387"/>
      <c r="AC59" s="387"/>
      <c r="AD59" s="370"/>
      <c r="AE59" s="370">
        <v>43</v>
      </c>
      <c r="AF59" s="369">
        <v>7</v>
      </c>
      <c r="AG59" s="372">
        <f t="shared" si="18"/>
        <v>704</v>
      </c>
      <c r="AH59" s="387"/>
      <c r="AI59" s="372">
        <f t="shared" si="19"/>
        <v>704</v>
      </c>
    </row>
    <row r="60" spans="1:35" s="363" customFormat="1" ht="14.25" customHeight="1" x14ac:dyDescent="0.2">
      <c r="A60" s="360">
        <v>41</v>
      </c>
      <c r="B60" s="367">
        <v>42</v>
      </c>
      <c r="C60" s="368">
        <f>[7]стоимость!J46</f>
        <v>217055</v>
      </c>
      <c r="D60" s="370">
        <v>50</v>
      </c>
      <c r="E60" s="370">
        <v>6</v>
      </c>
      <c r="F60" s="385"/>
      <c r="G60" s="370">
        <v>109</v>
      </c>
      <c r="H60" s="370"/>
      <c r="I60" s="370"/>
      <c r="J60" s="370"/>
      <c r="K60" s="370"/>
      <c r="L60" s="370"/>
      <c r="M60" s="370"/>
      <c r="N60" s="370"/>
      <c r="O60" s="369">
        <v>60</v>
      </c>
      <c r="P60" s="370">
        <v>15</v>
      </c>
      <c r="Q60" s="370"/>
      <c r="R60" s="370">
        <v>20</v>
      </c>
      <c r="S60" s="370">
        <v>4</v>
      </c>
      <c r="T60" s="370">
        <v>4</v>
      </c>
      <c r="U60" s="369">
        <v>3</v>
      </c>
      <c r="V60" s="369">
        <v>8</v>
      </c>
      <c r="W60" s="369"/>
      <c r="X60" s="369"/>
      <c r="Y60" s="370">
        <v>7</v>
      </c>
      <c r="Z60" s="387"/>
      <c r="AA60" s="387"/>
      <c r="AB60" s="387"/>
      <c r="AC60" s="387"/>
      <c r="AD60" s="370"/>
      <c r="AE60" s="370">
        <v>26</v>
      </c>
      <c r="AF60" s="369">
        <v>3</v>
      </c>
      <c r="AG60" s="372">
        <f t="shared" si="18"/>
        <v>315</v>
      </c>
      <c r="AH60" s="387"/>
      <c r="AI60" s="372">
        <f t="shared" si="19"/>
        <v>315</v>
      </c>
    </row>
    <row r="61" spans="1:35" s="363" customFormat="1" ht="14.25" customHeight="1" x14ac:dyDescent="0.2">
      <c r="A61" s="360">
        <v>42</v>
      </c>
      <c r="B61" s="367">
        <v>43</v>
      </c>
      <c r="C61" s="384">
        <f>[7]стоимость!J47</f>
        <v>132472</v>
      </c>
      <c r="D61" s="370">
        <v>27</v>
      </c>
      <c r="E61" s="370">
        <v>95</v>
      </c>
      <c r="F61" s="385"/>
      <c r="G61" s="370">
        <v>388</v>
      </c>
      <c r="H61" s="370"/>
      <c r="I61" s="374"/>
      <c r="J61" s="370"/>
      <c r="K61" s="370"/>
      <c r="L61" s="370"/>
      <c r="M61" s="374"/>
      <c r="N61" s="370"/>
      <c r="O61" s="369"/>
      <c r="P61" s="374"/>
      <c r="Q61" s="374"/>
      <c r="R61" s="370"/>
      <c r="S61" s="370"/>
      <c r="T61" s="370"/>
      <c r="U61" s="369"/>
      <c r="V61" s="369">
        <v>26</v>
      </c>
      <c r="W61" s="369"/>
      <c r="X61" s="369"/>
      <c r="Y61" s="369"/>
      <c r="Z61" s="371"/>
      <c r="AA61" s="371"/>
      <c r="AB61" s="371"/>
      <c r="AC61" s="371"/>
      <c r="AD61" s="370"/>
      <c r="AE61" s="370">
        <v>30</v>
      </c>
      <c r="AF61" s="369">
        <v>27</v>
      </c>
      <c r="AG61" s="372">
        <f t="shared" si="18"/>
        <v>593</v>
      </c>
      <c r="AH61" s="371"/>
      <c r="AI61" s="372">
        <f t="shared" si="19"/>
        <v>593</v>
      </c>
    </row>
    <row r="62" spans="1:35" s="363" customFormat="1" ht="14.25" customHeight="1" x14ac:dyDescent="0.2">
      <c r="A62" s="360">
        <v>42</v>
      </c>
      <c r="B62" s="367">
        <v>44</v>
      </c>
      <c r="C62" s="384">
        <f>[7]стоимость!J48</f>
        <v>157012</v>
      </c>
      <c r="D62" s="370">
        <v>24</v>
      </c>
      <c r="E62" s="370">
        <v>31</v>
      </c>
      <c r="F62" s="385"/>
      <c r="G62" s="370">
        <v>290</v>
      </c>
      <c r="H62" s="370"/>
      <c r="I62" s="374"/>
      <c r="J62" s="370"/>
      <c r="K62" s="370"/>
      <c r="L62" s="370"/>
      <c r="M62" s="374"/>
      <c r="N62" s="370"/>
      <c r="O62" s="369"/>
      <c r="P62" s="374"/>
      <c r="Q62" s="374"/>
      <c r="R62" s="370"/>
      <c r="S62" s="370">
        <v>1</v>
      </c>
      <c r="T62" s="370"/>
      <c r="U62" s="369"/>
      <c r="V62" s="369">
        <v>10</v>
      </c>
      <c r="W62" s="369"/>
      <c r="X62" s="369"/>
      <c r="Y62" s="369"/>
      <c r="Z62" s="371"/>
      <c r="AA62" s="371"/>
      <c r="AB62" s="371"/>
      <c r="AC62" s="371"/>
      <c r="AD62" s="370"/>
      <c r="AE62" s="370">
        <v>15</v>
      </c>
      <c r="AF62" s="369"/>
      <c r="AG62" s="372">
        <f t="shared" si="18"/>
        <v>371</v>
      </c>
      <c r="AH62" s="371"/>
      <c r="AI62" s="372">
        <f t="shared" si="19"/>
        <v>371</v>
      </c>
    </row>
    <row r="63" spans="1:35" s="363" customFormat="1" ht="14.25" customHeight="1" x14ac:dyDescent="0.2">
      <c r="A63" s="360">
        <v>42</v>
      </c>
      <c r="B63" s="367">
        <v>45</v>
      </c>
      <c r="C63" s="384">
        <f>[7]стоимость!J49</f>
        <v>194747</v>
      </c>
      <c r="D63" s="370">
        <v>20</v>
      </c>
      <c r="E63" s="370">
        <v>6</v>
      </c>
      <c r="F63" s="385"/>
      <c r="G63" s="370">
        <v>403</v>
      </c>
      <c r="H63" s="370"/>
      <c r="I63" s="374"/>
      <c r="J63" s="370"/>
      <c r="K63" s="370"/>
      <c r="L63" s="370"/>
      <c r="M63" s="374"/>
      <c r="N63" s="370"/>
      <c r="O63" s="369"/>
      <c r="P63" s="374"/>
      <c r="Q63" s="374"/>
      <c r="R63" s="370">
        <v>0</v>
      </c>
      <c r="S63" s="370">
        <v>0</v>
      </c>
      <c r="T63" s="370"/>
      <c r="U63" s="369">
        <f>7-7</f>
        <v>0</v>
      </c>
      <c r="V63" s="369">
        <v>3</v>
      </c>
      <c r="W63" s="369">
        <v>6</v>
      </c>
      <c r="X63" s="369"/>
      <c r="Y63" s="369"/>
      <c r="Z63" s="371"/>
      <c r="AA63" s="371"/>
      <c r="AB63" s="371"/>
      <c r="AC63" s="371"/>
      <c r="AD63" s="370"/>
      <c r="AE63" s="370">
        <v>20</v>
      </c>
      <c r="AF63" s="369"/>
      <c r="AG63" s="372">
        <f t="shared" si="18"/>
        <v>458</v>
      </c>
      <c r="AH63" s="371"/>
      <c r="AI63" s="372">
        <f t="shared" si="19"/>
        <v>458</v>
      </c>
    </row>
    <row r="64" spans="1:35" s="363" customFormat="1" ht="14.25" customHeight="1" x14ac:dyDescent="0.2">
      <c r="A64" s="360">
        <v>43</v>
      </c>
      <c r="B64" s="367">
        <v>46</v>
      </c>
      <c r="C64" s="384">
        <f>[7]стоимость!J50</f>
        <v>276287</v>
      </c>
      <c r="D64" s="370"/>
      <c r="E64" s="370"/>
      <c r="F64" s="385"/>
      <c r="G64" s="370">
        <v>39</v>
      </c>
      <c r="H64" s="370"/>
      <c r="I64" s="374"/>
      <c r="J64" s="370"/>
      <c r="K64" s="370"/>
      <c r="L64" s="370"/>
      <c r="M64" s="374"/>
      <c r="N64" s="370"/>
      <c r="O64" s="369"/>
      <c r="P64" s="374"/>
      <c r="Q64" s="374"/>
      <c r="R64" s="370"/>
      <c r="S64" s="370"/>
      <c r="T64" s="370"/>
      <c r="U64" s="369"/>
      <c r="V64" s="369"/>
      <c r="W64" s="369"/>
      <c r="X64" s="369"/>
      <c r="Y64" s="369"/>
      <c r="Z64" s="371"/>
      <c r="AA64" s="371"/>
      <c r="AB64" s="371"/>
      <c r="AC64" s="371"/>
      <c r="AD64" s="370"/>
      <c r="AE64" s="370"/>
      <c r="AF64" s="369"/>
      <c r="AG64" s="372">
        <f t="shared" si="18"/>
        <v>39</v>
      </c>
      <c r="AH64" s="371"/>
      <c r="AI64" s="372">
        <f t="shared" si="19"/>
        <v>39</v>
      </c>
    </row>
    <row r="65" spans="1:35" s="363" customFormat="1" ht="14.25" customHeight="1" x14ac:dyDescent="0.2">
      <c r="A65" s="360">
        <v>43</v>
      </c>
      <c r="B65" s="367">
        <v>47</v>
      </c>
      <c r="C65" s="384">
        <f>[7]стоимость!J51</f>
        <v>301504</v>
      </c>
      <c r="D65" s="370"/>
      <c r="E65" s="370"/>
      <c r="F65" s="385"/>
      <c r="G65" s="370">
        <v>31</v>
      </c>
      <c r="H65" s="370"/>
      <c r="I65" s="374"/>
      <c r="J65" s="370"/>
      <c r="K65" s="370"/>
      <c r="L65" s="370"/>
      <c r="M65" s="374"/>
      <c r="N65" s="370"/>
      <c r="O65" s="369"/>
      <c r="P65" s="374"/>
      <c r="Q65" s="374"/>
      <c r="R65" s="370"/>
      <c r="S65" s="370"/>
      <c r="T65" s="370"/>
      <c r="U65" s="369"/>
      <c r="V65" s="369"/>
      <c r="W65" s="369"/>
      <c r="X65" s="369"/>
      <c r="Y65" s="369"/>
      <c r="Z65" s="371"/>
      <c r="AA65" s="371"/>
      <c r="AB65" s="371"/>
      <c r="AC65" s="371"/>
      <c r="AD65" s="370"/>
      <c r="AE65" s="370"/>
      <c r="AF65" s="369"/>
      <c r="AG65" s="372">
        <f t="shared" si="18"/>
        <v>31</v>
      </c>
      <c r="AH65" s="371"/>
      <c r="AI65" s="372">
        <f t="shared" si="19"/>
        <v>31</v>
      </c>
    </row>
    <row r="66" spans="1:35" s="363" customFormat="1" ht="14.25" customHeight="1" x14ac:dyDescent="0.2">
      <c r="A66" s="360">
        <v>43</v>
      </c>
      <c r="B66" s="367">
        <v>48</v>
      </c>
      <c r="C66" s="384">
        <f>[7]стоимость!J52</f>
        <v>330952</v>
      </c>
      <c r="D66" s="370"/>
      <c r="E66" s="370"/>
      <c r="F66" s="385"/>
      <c r="G66" s="370">
        <v>52</v>
      </c>
      <c r="H66" s="370"/>
      <c r="I66" s="374"/>
      <c r="J66" s="370"/>
      <c r="K66" s="370"/>
      <c r="L66" s="370"/>
      <c r="M66" s="374"/>
      <c r="N66" s="370"/>
      <c r="O66" s="369">
        <v>20</v>
      </c>
      <c r="P66" s="374"/>
      <c r="Q66" s="374"/>
      <c r="R66" s="370"/>
      <c r="S66" s="370"/>
      <c r="T66" s="370"/>
      <c r="U66" s="369"/>
      <c r="V66" s="369"/>
      <c r="W66" s="369"/>
      <c r="X66" s="369"/>
      <c r="Y66" s="369"/>
      <c r="Z66" s="371"/>
      <c r="AA66" s="371"/>
      <c r="AB66" s="371"/>
      <c r="AC66" s="371"/>
      <c r="AD66" s="370"/>
      <c r="AE66" s="370"/>
      <c r="AF66" s="369"/>
      <c r="AG66" s="372">
        <f t="shared" si="18"/>
        <v>72</v>
      </c>
      <c r="AH66" s="371"/>
      <c r="AI66" s="372">
        <f t="shared" si="19"/>
        <v>72</v>
      </c>
    </row>
    <row r="67" spans="1:35" s="363" customFormat="1" ht="14.25" customHeight="1" x14ac:dyDescent="0.2">
      <c r="A67" s="360">
        <v>44</v>
      </c>
      <c r="B67" s="367">
        <v>49</v>
      </c>
      <c r="C67" s="384">
        <f>[7]стоимость!J53</f>
        <v>165048</v>
      </c>
      <c r="D67" s="370"/>
      <c r="E67" s="370"/>
      <c r="F67" s="385"/>
      <c r="G67" s="370">
        <v>211</v>
      </c>
      <c r="H67" s="370"/>
      <c r="I67" s="374"/>
      <c r="J67" s="370"/>
      <c r="K67" s="370"/>
      <c r="L67" s="370"/>
      <c r="M67" s="374"/>
      <c r="N67" s="370"/>
      <c r="O67" s="369">
        <v>15</v>
      </c>
      <c r="P67" s="374"/>
      <c r="Q67" s="374"/>
      <c r="R67" s="370">
        <v>1</v>
      </c>
      <c r="S67" s="370"/>
      <c r="T67" s="370"/>
      <c r="U67" s="370"/>
      <c r="V67" s="369"/>
      <c r="W67" s="369"/>
      <c r="X67" s="369"/>
      <c r="Y67" s="369"/>
      <c r="Z67" s="371"/>
      <c r="AA67" s="371"/>
      <c r="AB67" s="371"/>
      <c r="AC67" s="371"/>
      <c r="AD67" s="370"/>
      <c r="AE67" s="370">
        <v>1</v>
      </c>
      <c r="AF67" s="369"/>
      <c r="AG67" s="372">
        <f t="shared" si="18"/>
        <v>228</v>
      </c>
      <c r="AH67" s="371"/>
      <c r="AI67" s="372">
        <f t="shared" si="19"/>
        <v>228</v>
      </c>
    </row>
    <row r="68" spans="1:35" s="363" customFormat="1" ht="14.25" customHeight="1" x14ac:dyDescent="0.2">
      <c r="A68" s="360">
        <v>45</v>
      </c>
      <c r="B68" s="367">
        <v>50</v>
      </c>
      <c r="C68" s="368">
        <f>[7]стоимость!J54</f>
        <v>307344</v>
      </c>
      <c r="D68" s="370"/>
      <c r="E68" s="370"/>
      <c r="F68" s="385"/>
      <c r="G68" s="370">
        <v>5</v>
      </c>
      <c r="H68" s="370"/>
      <c r="I68" s="374"/>
      <c r="J68" s="370"/>
      <c r="K68" s="370"/>
      <c r="L68" s="370"/>
      <c r="M68" s="374"/>
      <c r="N68" s="370"/>
      <c r="O68" s="369"/>
      <c r="P68" s="374"/>
      <c r="Q68" s="374"/>
      <c r="R68" s="370"/>
      <c r="S68" s="370"/>
      <c r="T68" s="370"/>
      <c r="U68" s="370"/>
      <c r="V68" s="369"/>
      <c r="W68" s="369"/>
      <c r="X68" s="369"/>
      <c r="Y68" s="369"/>
      <c r="Z68" s="371"/>
      <c r="AA68" s="371"/>
      <c r="AB68" s="371"/>
      <c r="AC68" s="371"/>
      <c r="AD68" s="370"/>
      <c r="AE68" s="370"/>
      <c r="AF68" s="369"/>
      <c r="AG68" s="372">
        <f t="shared" si="18"/>
        <v>5</v>
      </c>
      <c r="AH68" s="371"/>
      <c r="AI68" s="372">
        <f t="shared" si="19"/>
        <v>5</v>
      </c>
    </row>
    <row r="69" spans="1:35" s="363" customFormat="1" ht="14.25" customHeight="1" x14ac:dyDescent="0.2">
      <c r="A69" s="360">
        <v>46</v>
      </c>
      <c r="B69" s="367">
        <v>51</v>
      </c>
      <c r="C69" s="368">
        <f>[7]стоимость!J55</f>
        <v>250038</v>
      </c>
      <c r="D69" s="369"/>
      <c r="E69" s="369"/>
      <c r="F69" s="385"/>
      <c r="G69" s="369">
        <v>785</v>
      </c>
      <c r="H69" s="369"/>
      <c r="I69" s="369"/>
      <c r="J69" s="369"/>
      <c r="K69" s="369"/>
      <c r="L69" s="369"/>
      <c r="M69" s="369"/>
      <c r="N69" s="369"/>
      <c r="O69" s="369">
        <v>45</v>
      </c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71"/>
      <c r="AA69" s="371"/>
      <c r="AB69" s="371"/>
      <c r="AC69" s="371"/>
      <c r="AD69" s="369"/>
      <c r="AE69" s="369">
        <v>12</v>
      </c>
      <c r="AF69" s="369"/>
      <c r="AG69" s="372">
        <f t="shared" si="18"/>
        <v>842</v>
      </c>
      <c r="AH69" s="371"/>
      <c r="AI69" s="372">
        <f t="shared" si="19"/>
        <v>842</v>
      </c>
    </row>
    <row r="70" spans="1:35" s="363" customFormat="1" ht="14.25" customHeight="1" x14ac:dyDescent="0.2">
      <c r="A70" s="360">
        <v>47</v>
      </c>
      <c r="B70" s="367">
        <v>52</v>
      </c>
      <c r="C70" s="368">
        <f>[7]стоимость!J56</f>
        <v>783935</v>
      </c>
      <c r="D70" s="369">
        <v>11</v>
      </c>
      <c r="E70" s="369">
        <v>73</v>
      </c>
      <c r="F70" s="385"/>
      <c r="G70" s="369"/>
      <c r="H70" s="369"/>
      <c r="I70" s="369"/>
      <c r="J70" s="369"/>
      <c r="K70" s="369"/>
      <c r="L70" s="369"/>
      <c r="M70" s="369"/>
      <c r="N70" s="369"/>
      <c r="O70" s="369"/>
      <c r="P70" s="369">
        <v>15</v>
      </c>
      <c r="Q70" s="369"/>
      <c r="R70" s="369">
        <v>9</v>
      </c>
      <c r="S70" s="369"/>
      <c r="T70" s="369">
        <v>11</v>
      </c>
      <c r="U70" s="369">
        <v>4</v>
      </c>
      <c r="V70" s="369">
        <v>5</v>
      </c>
      <c r="W70" s="369">
        <v>5</v>
      </c>
      <c r="X70" s="369"/>
      <c r="Y70" s="369"/>
      <c r="Z70" s="371"/>
      <c r="AA70" s="371"/>
      <c r="AB70" s="371"/>
      <c r="AC70" s="371"/>
      <c r="AD70" s="369"/>
      <c r="AE70" s="369">
        <v>24</v>
      </c>
      <c r="AF70" s="369"/>
      <c r="AG70" s="372">
        <f t="shared" si="18"/>
        <v>157</v>
      </c>
      <c r="AH70" s="371"/>
      <c r="AI70" s="372">
        <f t="shared" si="19"/>
        <v>157</v>
      </c>
    </row>
    <row r="71" spans="1:35" s="363" customFormat="1" ht="14.25" customHeight="1" x14ac:dyDescent="0.2">
      <c r="A71" s="360">
        <v>48</v>
      </c>
      <c r="B71" s="367">
        <v>53</v>
      </c>
      <c r="C71" s="368">
        <f>[7]стоимость!J57</f>
        <v>437766</v>
      </c>
      <c r="D71" s="369"/>
      <c r="E71" s="369"/>
      <c r="F71" s="385"/>
      <c r="G71" s="369">
        <v>340</v>
      </c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71"/>
      <c r="AA71" s="371"/>
      <c r="AB71" s="371"/>
      <c r="AC71" s="371"/>
      <c r="AD71" s="369"/>
      <c r="AE71" s="369"/>
      <c r="AF71" s="369"/>
      <c r="AG71" s="372">
        <f t="shared" si="18"/>
        <v>340</v>
      </c>
      <c r="AH71" s="371"/>
      <c r="AI71" s="372">
        <f t="shared" si="19"/>
        <v>340</v>
      </c>
    </row>
    <row r="72" spans="1:35" s="359" customFormat="1" ht="14.25" customHeight="1" x14ac:dyDescent="0.2">
      <c r="A72" s="357"/>
      <c r="B72" s="1005" t="s">
        <v>430</v>
      </c>
      <c r="C72" s="1006"/>
      <c r="D72" s="365">
        <v>23</v>
      </c>
      <c r="E72" s="365">
        <v>0</v>
      </c>
      <c r="F72" s="365">
        <f t="shared" ref="F72:N72" si="20">F73+F74</f>
        <v>0</v>
      </c>
      <c r="G72" s="365">
        <v>0</v>
      </c>
      <c r="H72" s="365">
        <f t="shared" si="20"/>
        <v>0</v>
      </c>
      <c r="I72" s="365">
        <f t="shared" si="20"/>
        <v>0</v>
      </c>
      <c r="J72" s="365">
        <f t="shared" si="20"/>
        <v>0</v>
      </c>
      <c r="K72" s="365">
        <v>1</v>
      </c>
      <c r="L72" s="365">
        <f t="shared" si="20"/>
        <v>2</v>
      </c>
      <c r="M72" s="365">
        <v>0</v>
      </c>
      <c r="N72" s="365">
        <f t="shared" si="20"/>
        <v>0</v>
      </c>
      <c r="O72" s="365">
        <f>O73+O74</f>
        <v>0</v>
      </c>
      <c r="P72" s="365">
        <v>0</v>
      </c>
      <c r="Q72" s="365">
        <f t="shared" ref="Q72:AI72" si="21">Q73+Q74</f>
        <v>0</v>
      </c>
      <c r="R72" s="365">
        <v>0</v>
      </c>
      <c r="S72" s="365">
        <v>0</v>
      </c>
      <c r="T72" s="365">
        <v>0</v>
      </c>
      <c r="U72" s="365">
        <f t="shared" si="21"/>
        <v>0</v>
      </c>
      <c r="V72" s="365">
        <v>0</v>
      </c>
      <c r="W72" s="365">
        <v>0</v>
      </c>
      <c r="X72" s="365">
        <f t="shared" si="21"/>
        <v>0</v>
      </c>
      <c r="Y72" s="365">
        <v>0</v>
      </c>
      <c r="Z72" s="365">
        <f t="shared" si="21"/>
        <v>0</v>
      </c>
      <c r="AA72" s="365">
        <f t="shared" si="21"/>
        <v>0</v>
      </c>
      <c r="AB72" s="365">
        <f t="shared" si="21"/>
        <v>0</v>
      </c>
      <c r="AC72" s="365">
        <f t="shared" si="21"/>
        <v>0</v>
      </c>
      <c r="AD72" s="365">
        <v>0</v>
      </c>
      <c r="AE72" s="365">
        <v>0</v>
      </c>
      <c r="AF72" s="365">
        <v>0</v>
      </c>
      <c r="AG72" s="365">
        <f t="shared" si="21"/>
        <v>26</v>
      </c>
      <c r="AH72" s="365">
        <f t="shared" si="21"/>
        <v>0</v>
      </c>
      <c r="AI72" s="365">
        <f t="shared" si="21"/>
        <v>26</v>
      </c>
    </row>
    <row r="73" spans="1:35" s="363" customFormat="1" ht="19.5" customHeight="1" x14ac:dyDescent="0.2">
      <c r="A73" s="360">
        <v>49</v>
      </c>
      <c r="B73" s="367">
        <v>54</v>
      </c>
      <c r="C73" s="368">
        <f>[7]стоимость!J58</f>
        <v>170411</v>
      </c>
      <c r="D73" s="370">
        <v>18</v>
      </c>
      <c r="E73" s="370"/>
      <c r="F73" s="370"/>
      <c r="G73" s="370"/>
      <c r="H73" s="370"/>
      <c r="I73" s="374"/>
      <c r="J73" s="370"/>
      <c r="K73" s="370">
        <v>1</v>
      </c>
      <c r="L73" s="370">
        <v>2</v>
      </c>
      <c r="M73" s="374"/>
      <c r="N73" s="370"/>
      <c r="O73" s="369"/>
      <c r="P73" s="374"/>
      <c r="Q73" s="374"/>
      <c r="R73" s="370"/>
      <c r="S73" s="370"/>
      <c r="T73" s="370"/>
      <c r="U73" s="370"/>
      <c r="V73" s="369"/>
      <c r="W73" s="369"/>
      <c r="X73" s="369"/>
      <c r="Y73" s="369"/>
      <c r="Z73" s="371"/>
      <c r="AA73" s="371"/>
      <c r="AB73" s="371"/>
      <c r="AC73" s="371"/>
      <c r="AD73" s="370"/>
      <c r="AE73" s="370"/>
      <c r="AF73" s="369"/>
      <c r="AG73" s="372">
        <f>D73+E73+F73+G73+H73+I73+J73+K73+L73+M73+N73+O73+P73+Q73+R73+S73+T73+U73+V73+W73+X73+Y73+Z73+AA73+AB73+AC73+AD73+AE73+AF73</f>
        <v>21</v>
      </c>
      <c r="AH73" s="371"/>
      <c r="AI73" s="372">
        <f>AG73+AH73</f>
        <v>21</v>
      </c>
    </row>
    <row r="74" spans="1:35" s="363" customFormat="1" ht="15.75" customHeight="1" x14ac:dyDescent="0.2">
      <c r="A74" s="360">
        <v>50</v>
      </c>
      <c r="B74" s="388">
        <v>55</v>
      </c>
      <c r="C74" s="368">
        <f>[7]стоимость!J59</f>
        <v>296164</v>
      </c>
      <c r="D74" s="370">
        <v>5</v>
      </c>
      <c r="E74" s="370"/>
      <c r="F74" s="370"/>
      <c r="G74" s="370"/>
      <c r="H74" s="370"/>
      <c r="I74" s="374"/>
      <c r="J74" s="370"/>
      <c r="K74" s="370"/>
      <c r="L74" s="370"/>
      <c r="M74" s="374"/>
      <c r="N74" s="370"/>
      <c r="O74" s="369"/>
      <c r="P74" s="374"/>
      <c r="Q74" s="374"/>
      <c r="R74" s="370"/>
      <c r="S74" s="370"/>
      <c r="T74" s="370"/>
      <c r="U74" s="370"/>
      <c r="V74" s="369"/>
      <c r="W74" s="369"/>
      <c r="X74" s="369"/>
      <c r="Y74" s="369"/>
      <c r="Z74" s="371"/>
      <c r="AA74" s="371"/>
      <c r="AB74" s="371"/>
      <c r="AC74" s="371"/>
      <c r="AD74" s="370"/>
      <c r="AE74" s="370"/>
      <c r="AF74" s="369"/>
      <c r="AG74" s="372">
        <f>D74+E74+F74+G74+H74+I74+J74+K74+L74+M74+N74+O74+P74+Q74+R74+S74+T74+U74+V74+W74+X74+Y74+Z74+AA74+AB74+AC74+AD74+AE74+AF74</f>
        <v>5</v>
      </c>
      <c r="AH74" s="371"/>
      <c r="AI74" s="372">
        <f>AG74+AH74</f>
        <v>5</v>
      </c>
    </row>
    <row r="75" spans="1:35" s="359" customFormat="1" ht="15.75" customHeight="1" x14ac:dyDescent="0.2">
      <c r="A75" s="357"/>
      <c r="B75" s="1005" t="s">
        <v>431</v>
      </c>
      <c r="C75" s="1006"/>
      <c r="D75" s="365">
        <v>347</v>
      </c>
      <c r="E75" s="365">
        <v>162</v>
      </c>
      <c r="F75" s="365">
        <f t="shared" ref="F75:AH75" si="22">SUM(F76:F80)</f>
        <v>0</v>
      </c>
      <c r="G75" s="365">
        <v>0</v>
      </c>
      <c r="H75" s="365">
        <f t="shared" si="22"/>
        <v>0</v>
      </c>
      <c r="I75" s="365">
        <f t="shared" si="22"/>
        <v>0</v>
      </c>
      <c r="J75" s="365">
        <f t="shared" si="22"/>
        <v>260</v>
      </c>
      <c r="K75" s="365">
        <v>68</v>
      </c>
      <c r="L75" s="365">
        <f t="shared" si="22"/>
        <v>243</v>
      </c>
      <c r="M75" s="365">
        <v>0</v>
      </c>
      <c r="N75" s="365">
        <f t="shared" si="22"/>
        <v>84</v>
      </c>
      <c r="O75" s="365">
        <f t="shared" si="22"/>
        <v>220</v>
      </c>
      <c r="P75" s="365">
        <v>225</v>
      </c>
      <c r="Q75" s="365">
        <f t="shared" si="22"/>
        <v>0</v>
      </c>
      <c r="R75" s="365">
        <v>26</v>
      </c>
      <c r="S75" s="365">
        <v>35</v>
      </c>
      <c r="T75" s="365">
        <v>99</v>
      </c>
      <c r="U75" s="365">
        <f t="shared" si="22"/>
        <v>45</v>
      </c>
      <c r="V75" s="365">
        <v>0</v>
      </c>
      <c r="W75" s="365">
        <v>18</v>
      </c>
      <c r="X75" s="365">
        <f t="shared" si="22"/>
        <v>10</v>
      </c>
      <c r="Y75" s="365">
        <v>0</v>
      </c>
      <c r="Z75" s="365">
        <f t="shared" si="22"/>
        <v>0</v>
      </c>
      <c r="AA75" s="365">
        <f t="shared" si="22"/>
        <v>0</v>
      </c>
      <c r="AB75" s="365">
        <f t="shared" si="22"/>
        <v>0</v>
      </c>
      <c r="AC75" s="365">
        <f t="shared" si="22"/>
        <v>0</v>
      </c>
      <c r="AD75" s="365">
        <v>0</v>
      </c>
      <c r="AE75" s="365">
        <v>0</v>
      </c>
      <c r="AF75" s="365">
        <v>40</v>
      </c>
      <c r="AG75" s="365">
        <f t="shared" si="22"/>
        <v>1882</v>
      </c>
      <c r="AH75" s="365">
        <f t="shared" si="22"/>
        <v>0</v>
      </c>
      <c r="AI75" s="365">
        <f>SUM(AI76:AI80)</f>
        <v>1882</v>
      </c>
    </row>
    <row r="76" spans="1:35" s="363" customFormat="1" ht="24" customHeight="1" x14ac:dyDescent="0.2">
      <c r="A76" s="360">
        <v>51</v>
      </c>
      <c r="B76" s="389">
        <v>56</v>
      </c>
      <c r="C76" s="368">
        <f>[7]стоимость!J60</f>
        <v>160673</v>
      </c>
      <c r="D76" s="369">
        <v>85</v>
      </c>
      <c r="E76" s="369">
        <v>40</v>
      </c>
      <c r="F76" s="369"/>
      <c r="G76" s="369"/>
      <c r="H76" s="369"/>
      <c r="I76" s="369"/>
      <c r="J76" s="369">
        <v>40</v>
      </c>
      <c r="K76" s="369">
        <v>64</v>
      </c>
      <c r="L76" s="369">
        <f>238-2-7</f>
        <v>229</v>
      </c>
      <c r="M76" s="369"/>
      <c r="N76" s="369">
        <f>40+20</f>
        <v>60</v>
      </c>
      <c r="O76" s="369">
        <v>20</v>
      </c>
      <c r="P76" s="369">
        <v>40</v>
      </c>
      <c r="Q76" s="369"/>
      <c r="R76" s="369">
        <v>15</v>
      </c>
      <c r="S76" s="369"/>
      <c r="T76" s="369">
        <v>59</v>
      </c>
      <c r="U76" s="369">
        <v>10</v>
      </c>
      <c r="V76" s="369"/>
      <c r="W76" s="369">
        <v>4</v>
      </c>
      <c r="X76" s="369"/>
      <c r="Y76" s="369"/>
      <c r="Z76" s="371"/>
      <c r="AA76" s="371"/>
      <c r="AB76" s="371"/>
      <c r="AC76" s="371"/>
      <c r="AD76" s="369"/>
      <c r="AE76" s="369"/>
      <c r="AF76" s="369">
        <v>10</v>
      </c>
      <c r="AG76" s="372">
        <f>D76+E76+F76+G76+H76+I76+J76+K76+L76+M76+N76+O76+P76+Q76+R76+S76+T76+U76+V76+W76+X76+Y76+Z76+AA76+AB76+AC76+AD76+AE76+AF76</f>
        <v>676</v>
      </c>
      <c r="AH76" s="371"/>
      <c r="AI76" s="372">
        <f>AG76+AH76</f>
        <v>676</v>
      </c>
    </row>
    <row r="77" spans="1:35" s="363" customFormat="1" ht="15.75" customHeight="1" x14ac:dyDescent="0.2">
      <c r="A77" s="360">
        <v>52</v>
      </c>
      <c r="B77" s="389">
        <v>57</v>
      </c>
      <c r="C77" s="368">
        <f>[7]стоимость!J61</f>
        <v>330072</v>
      </c>
      <c r="D77" s="381">
        <v>16</v>
      </c>
      <c r="E77" s="369">
        <v>27</v>
      </c>
      <c r="F77" s="369"/>
      <c r="G77" s="369"/>
      <c r="H77" s="369"/>
      <c r="I77" s="369"/>
      <c r="J77" s="369"/>
      <c r="K77" s="369">
        <v>4</v>
      </c>
      <c r="L77" s="381">
        <v>4</v>
      </c>
      <c r="M77" s="369"/>
      <c r="N77" s="369">
        <v>14</v>
      </c>
      <c r="O77" s="369"/>
      <c r="P77" s="369">
        <v>77</v>
      </c>
      <c r="Q77" s="369"/>
      <c r="R77" s="369">
        <v>10</v>
      </c>
      <c r="S77" s="369">
        <v>35</v>
      </c>
      <c r="T77" s="369">
        <v>40</v>
      </c>
      <c r="U77" s="369">
        <v>35</v>
      </c>
      <c r="V77" s="369"/>
      <c r="W77" s="369">
        <v>14</v>
      </c>
      <c r="X77" s="369">
        <v>10</v>
      </c>
      <c r="Y77" s="369"/>
      <c r="Z77" s="371"/>
      <c r="AA77" s="371"/>
      <c r="AB77" s="371"/>
      <c r="AC77" s="371"/>
      <c r="AD77" s="369"/>
      <c r="AE77" s="369"/>
      <c r="AF77" s="369"/>
      <c r="AG77" s="372">
        <f>D77+E77+F77+G77+H77+I77+J77+K77+L77+M77+N77+O77+P77+Q77+R77+S77+T77+U77+V77+W77+X77+Y77+Z77+AA77+AB77+AC77+AD77+AE77+AF77</f>
        <v>286</v>
      </c>
      <c r="AH77" s="371"/>
      <c r="AI77" s="372">
        <f>AG77+AH77</f>
        <v>286</v>
      </c>
    </row>
    <row r="78" spans="1:35" s="363" customFormat="1" ht="15.75" customHeight="1" x14ac:dyDescent="0.2">
      <c r="A78" s="360">
        <v>53</v>
      </c>
      <c r="B78" s="389">
        <v>58</v>
      </c>
      <c r="C78" s="368">
        <f>[7]стоимость!J62</f>
        <v>189581</v>
      </c>
      <c r="D78" s="369">
        <v>0</v>
      </c>
      <c r="E78" s="369">
        <v>0</v>
      </c>
      <c r="F78" s="369"/>
      <c r="G78" s="369"/>
      <c r="H78" s="369"/>
      <c r="I78" s="369"/>
      <c r="J78" s="369">
        <f>220-220</f>
        <v>0</v>
      </c>
      <c r="K78" s="369"/>
      <c r="L78" s="369"/>
      <c r="M78" s="369"/>
      <c r="N78" s="369">
        <f>30-20</f>
        <v>10</v>
      </c>
      <c r="O78" s="369">
        <f>156-95-41</f>
        <v>20</v>
      </c>
      <c r="P78" s="369">
        <v>8</v>
      </c>
      <c r="Q78" s="369"/>
      <c r="R78" s="369">
        <v>0</v>
      </c>
      <c r="S78" s="369"/>
      <c r="T78" s="369">
        <v>0</v>
      </c>
      <c r="U78" s="369"/>
      <c r="V78" s="369"/>
      <c r="W78" s="369"/>
      <c r="X78" s="369"/>
      <c r="Y78" s="369"/>
      <c r="Z78" s="371"/>
      <c r="AA78" s="371"/>
      <c r="AB78" s="371"/>
      <c r="AC78" s="371"/>
      <c r="AD78" s="369"/>
      <c r="AE78" s="369"/>
      <c r="AF78" s="369">
        <v>30</v>
      </c>
      <c r="AG78" s="372">
        <f>D78+E78+F78+G78+H78+I78+J78+K78+L78+M78+N78+O78+P78+Q78+R78+S78+T78+U78+V78+W78+X78+Y78+Z78+AA78+AB78+AC78+AD78+AE78+AF78</f>
        <v>68</v>
      </c>
      <c r="AH78" s="371">
        <f>38-38</f>
        <v>0</v>
      </c>
      <c r="AI78" s="372">
        <f>AG78+AH78</f>
        <v>68</v>
      </c>
    </row>
    <row r="79" spans="1:35" s="363" customFormat="1" ht="15.75" customHeight="1" x14ac:dyDescent="0.2">
      <c r="A79" s="360">
        <v>54</v>
      </c>
      <c r="B79" s="389">
        <v>59</v>
      </c>
      <c r="C79" s="368">
        <f>[7]стоимость!J63</f>
        <v>257186</v>
      </c>
      <c r="D79" s="381">
        <v>246</v>
      </c>
      <c r="E79" s="369">
        <v>95</v>
      </c>
      <c r="F79" s="369"/>
      <c r="G79" s="369"/>
      <c r="H79" s="369"/>
      <c r="I79" s="379"/>
      <c r="J79" s="369">
        <v>220</v>
      </c>
      <c r="K79" s="369"/>
      <c r="L79" s="369"/>
      <c r="M79" s="379"/>
      <c r="N79" s="369"/>
      <c r="O79" s="369">
        <f>100+95-15</f>
        <v>180</v>
      </c>
      <c r="P79" s="369">
        <v>100</v>
      </c>
      <c r="Q79" s="369"/>
      <c r="R79" s="369">
        <v>1</v>
      </c>
      <c r="S79" s="369"/>
      <c r="T79" s="369"/>
      <c r="U79" s="369"/>
      <c r="V79" s="369"/>
      <c r="W79" s="369"/>
      <c r="X79" s="369"/>
      <c r="Y79" s="369"/>
      <c r="Z79" s="371"/>
      <c r="AA79" s="371"/>
      <c r="AB79" s="371"/>
      <c r="AC79" s="371"/>
      <c r="AD79" s="369"/>
      <c r="AE79" s="369"/>
      <c r="AF79" s="369"/>
      <c r="AG79" s="372">
        <f>D79+E79+F79+G79+H79+I79+J79+K79+L79+M79+N79+O79+P79+Q79+R79+S79+T79+U79+V79+W79+X79+Y79+Z79+AA79+AB79+AC79+AD79+AE79+AF79</f>
        <v>842</v>
      </c>
      <c r="AH79" s="371"/>
      <c r="AI79" s="372">
        <f>AG79+AH79</f>
        <v>842</v>
      </c>
    </row>
    <row r="80" spans="1:35" s="363" customFormat="1" ht="15.75" customHeight="1" x14ac:dyDescent="0.2">
      <c r="A80" s="360">
        <v>55</v>
      </c>
      <c r="B80" s="389">
        <v>60</v>
      </c>
      <c r="C80" s="368">
        <f>[7]стоимость!J64</f>
        <v>400476</v>
      </c>
      <c r="D80" s="369">
        <v>0</v>
      </c>
      <c r="E80" s="369"/>
      <c r="F80" s="369"/>
      <c r="G80" s="369"/>
      <c r="H80" s="369"/>
      <c r="I80" s="369"/>
      <c r="J80" s="369"/>
      <c r="K80" s="369"/>
      <c r="L80" s="369">
        <v>10</v>
      </c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71"/>
      <c r="AA80" s="371"/>
      <c r="AB80" s="371"/>
      <c r="AC80" s="371"/>
      <c r="AD80" s="369"/>
      <c r="AE80" s="369"/>
      <c r="AF80" s="369"/>
      <c r="AG80" s="372">
        <f>D80+E80+F80+G80+H80+I80+J80+K80+L80+M80+N80+O80+P80+Q80+R80+S80+T80+U80+V80+W80+X80+Y80+Z80+AA80+AB80+AC80+AD80+AE80+AF80</f>
        <v>10</v>
      </c>
      <c r="AH80" s="371"/>
      <c r="AI80" s="372">
        <f>AG80+AH80</f>
        <v>10</v>
      </c>
    </row>
    <row r="81" spans="1:35" s="359" customFormat="1" ht="15.75" customHeight="1" x14ac:dyDescent="0.2">
      <c r="A81" s="357"/>
      <c r="B81" s="1005" t="s">
        <v>432</v>
      </c>
      <c r="C81" s="1006"/>
      <c r="D81" s="365">
        <v>135</v>
      </c>
      <c r="E81" s="365">
        <v>0</v>
      </c>
      <c r="F81" s="365">
        <f t="shared" ref="F81:AI81" si="23">SUM(F82:F83)</f>
        <v>0</v>
      </c>
      <c r="G81" s="365">
        <v>0</v>
      </c>
      <c r="H81" s="365">
        <f t="shared" si="23"/>
        <v>0</v>
      </c>
      <c r="I81" s="365">
        <f t="shared" si="23"/>
        <v>0</v>
      </c>
      <c r="J81" s="365">
        <f t="shared" si="23"/>
        <v>0</v>
      </c>
      <c r="K81" s="365">
        <v>120</v>
      </c>
      <c r="L81" s="365">
        <f t="shared" si="23"/>
        <v>42</v>
      </c>
      <c r="M81" s="365">
        <v>6</v>
      </c>
      <c r="N81" s="365">
        <f t="shared" si="23"/>
        <v>0</v>
      </c>
      <c r="O81" s="365">
        <f t="shared" si="23"/>
        <v>0</v>
      </c>
      <c r="P81" s="365">
        <v>10</v>
      </c>
      <c r="Q81" s="365">
        <f t="shared" si="23"/>
        <v>0</v>
      </c>
      <c r="R81" s="365">
        <v>0</v>
      </c>
      <c r="S81" s="365">
        <v>0</v>
      </c>
      <c r="T81" s="365">
        <v>0</v>
      </c>
      <c r="U81" s="365">
        <f t="shared" si="23"/>
        <v>0</v>
      </c>
      <c r="V81" s="365">
        <v>0</v>
      </c>
      <c r="W81" s="365">
        <v>0</v>
      </c>
      <c r="X81" s="365">
        <f t="shared" si="23"/>
        <v>0</v>
      </c>
      <c r="Y81" s="365">
        <v>0</v>
      </c>
      <c r="Z81" s="365">
        <f t="shared" si="23"/>
        <v>0</v>
      </c>
      <c r="AA81" s="365">
        <f t="shared" si="23"/>
        <v>0</v>
      </c>
      <c r="AB81" s="365">
        <f t="shared" si="23"/>
        <v>0</v>
      </c>
      <c r="AC81" s="365">
        <f t="shared" si="23"/>
        <v>0</v>
      </c>
      <c r="AD81" s="365">
        <v>41</v>
      </c>
      <c r="AE81" s="365">
        <v>0</v>
      </c>
      <c r="AF81" s="365">
        <v>50</v>
      </c>
      <c r="AG81" s="365">
        <f t="shared" si="23"/>
        <v>404</v>
      </c>
      <c r="AH81" s="365">
        <f t="shared" si="23"/>
        <v>0</v>
      </c>
      <c r="AI81" s="365">
        <f t="shared" si="23"/>
        <v>404</v>
      </c>
    </row>
    <row r="82" spans="1:35" s="363" customFormat="1" ht="18.75" customHeight="1" x14ac:dyDescent="0.2">
      <c r="A82" s="360">
        <v>56</v>
      </c>
      <c r="B82" s="367">
        <v>61</v>
      </c>
      <c r="C82" s="368">
        <f>[7]стоимость!J65</f>
        <v>113876</v>
      </c>
      <c r="D82" s="381">
        <v>115</v>
      </c>
      <c r="E82" s="369"/>
      <c r="F82" s="369"/>
      <c r="G82" s="369"/>
      <c r="H82" s="369"/>
      <c r="I82" s="369"/>
      <c r="J82" s="369"/>
      <c r="K82" s="369">
        <v>120</v>
      </c>
      <c r="L82" s="369">
        <v>42</v>
      </c>
      <c r="M82" s="369">
        <v>3</v>
      </c>
      <c r="N82" s="369"/>
      <c r="O82" s="369"/>
      <c r="P82" s="369">
        <v>10</v>
      </c>
      <c r="Q82" s="369"/>
      <c r="R82" s="369"/>
      <c r="S82" s="369"/>
      <c r="T82" s="369"/>
      <c r="U82" s="369"/>
      <c r="V82" s="369"/>
      <c r="W82" s="369"/>
      <c r="X82" s="369"/>
      <c r="Y82" s="369"/>
      <c r="Z82" s="371"/>
      <c r="AA82" s="371"/>
      <c r="AB82" s="371"/>
      <c r="AC82" s="371"/>
      <c r="AD82" s="369">
        <v>41</v>
      </c>
      <c r="AE82" s="369"/>
      <c r="AF82" s="369">
        <v>50</v>
      </c>
      <c r="AG82" s="372">
        <f>D82+E82+F82+G82+H82+I82+J82+K82+L82+M82+N82+O82+P82+Q82+R82+S82+T82+U82+V82+W82+X82+Y82+Z82+AA82+AB82+AC82+AD82+AE82+AF82</f>
        <v>381</v>
      </c>
      <c r="AH82" s="371"/>
      <c r="AI82" s="372">
        <f>AG82+AH82</f>
        <v>381</v>
      </c>
    </row>
    <row r="83" spans="1:35" s="363" customFormat="1" ht="18" customHeight="1" x14ac:dyDescent="0.2">
      <c r="A83" s="360">
        <v>57</v>
      </c>
      <c r="B83" s="367">
        <v>62</v>
      </c>
      <c r="C83" s="368">
        <f>[7]стоимость!J66</f>
        <v>168260</v>
      </c>
      <c r="D83" s="381">
        <v>20</v>
      </c>
      <c r="E83" s="369"/>
      <c r="F83" s="369"/>
      <c r="G83" s="369"/>
      <c r="H83" s="369"/>
      <c r="I83" s="369"/>
      <c r="J83" s="369"/>
      <c r="K83" s="369"/>
      <c r="L83" s="369"/>
      <c r="M83" s="369">
        <v>3</v>
      </c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71"/>
      <c r="AA83" s="371"/>
      <c r="AB83" s="371"/>
      <c r="AC83" s="371"/>
      <c r="AD83" s="369"/>
      <c r="AE83" s="369"/>
      <c r="AF83" s="369"/>
      <c r="AG83" s="372">
        <f>D83+E83+F83+G83+H83+I83+J83+K83+L83+M83+N83+O83+P83+Q83+R83+S83+T83+U83+V83+W83+X83+Y83+Z83+AA83+AB83+AC83+AD83+AE83+AF83</f>
        <v>23</v>
      </c>
      <c r="AH83" s="371"/>
      <c r="AI83" s="372">
        <f>AG83+AH83</f>
        <v>23</v>
      </c>
    </row>
    <row r="84" spans="1:35" s="363" customFormat="1" ht="12.75" customHeight="1" x14ac:dyDescent="0.2">
      <c r="A84" s="360"/>
      <c r="B84" s="1005" t="s">
        <v>718</v>
      </c>
      <c r="C84" s="1006"/>
      <c r="D84" s="390">
        <v>186</v>
      </c>
      <c r="E84" s="390">
        <v>0</v>
      </c>
      <c r="F84" s="390">
        <f t="shared" ref="F84:AI84" si="24">SUM(F85:F86)</f>
        <v>0</v>
      </c>
      <c r="G84" s="390">
        <v>0</v>
      </c>
      <c r="H84" s="390">
        <f t="shared" si="24"/>
        <v>0</v>
      </c>
      <c r="I84" s="390">
        <f t="shared" si="24"/>
        <v>0</v>
      </c>
      <c r="J84" s="390">
        <f t="shared" si="24"/>
        <v>0</v>
      </c>
      <c r="K84" s="390">
        <v>0</v>
      </c>
      <c r="L84" s="390">
        <f t="shared" si="24"/>
        <v>7</v>
      </c>
      <c r="M84" s="390">
        <v>0</v>
      </c>
      <c r="N84" s="390">
        <f t="shared" si="24"/>
        <v>0</v>
      </c>
      <c r="O84" s="390">
        <f t="shared" si="24"/>
        <v>0</v>
      </c>
      <c r="P84" s="390">
        <v>76</v>
      </c>
      <c r="Q84" s="390">
        <f t="shared" si="24"/>
        <v>0</v>
      </c>
      <c r="R84" s="390">
        <v>0</v>
      </c>
      <c r="S84" s="390">
        <v>0</v>
      </c>
      <c r="T84" s="390">
        <v>0</v>
      </c>
      <c r="U84" s="390">
        <f t="shared" si="24"/>
        <v>0</v>
      </c>
      <c r="V84" s="390">
        <v>0</v>
      </c>
      <c r="W84" s="390">
        <v>0</v>
      </c>
      <c r="X84" s="390">
        <f t="shared" si="24"/>
        <v>0</v>
      </c>
      <c r="Y84" s="390">
        <v>0</v>
      </c>
      <c r="Z84" s="391">
        <f t="shared" si="24"/>
        <v>0</v>
      </c>
      <c r="AA84" s="391">
        <f t="shared" si="24"/>
        <v>0</v>
      </c>
      <c r="AB84" s="391">
        <f t="shared" si="24"/>
        <v>0</v>
      </c>
      <c r="AC84" s="391">
        <f t="shared" si="24"/>
        <v>0</v>
      </c>
      <c r="AD84" s="390">
        <v>25</v>
      </c>
      <c r="AE84" s="390">
        <v>0</v>
      </c>
      <c r="AF84" s="390">
        <v>0</v>
      </c>
      <c r="AG84" s="390">
        <f t="shared" si="24"/>
        <v>294</v>
      </c>
      <c r="AH84" s="391">
        <f t="shared" si="24"/>
        <v>0</v>
      </c>
      <c r="AI84" s="390">
        <f t="shared" si="24"/>
        <v>294</v>
      </c>
    </row>
    <row r="85" spans="1:35" s="363" customFormat="1" ht="12.75" customHeight="1" x14ac:dyDescent="0.2">
      <c r="A85" s="360">
        <v>1</v>
      </c>
      <c r="B85" s="367">
        <v>63</v>
      </c>
      <c r="C85" s="368">
        <f>[7]стоимость!J67</f>
        <v>197786</v>
      </c>
      <c r="D85" s="381">
        <v>158</v>
      </c>
      <c r="E85" s="369"/>
      <c r="F85" s="369"/>
      <c r="G85" s="369"/>
      <c r="H85" s="369"/>
      <c r="I85" s="369"/>
      <c r="J85" s="369"/>
      <c r="K85" s="369"/>
      <c r="L85" s="369">
        <f>2+5</f>
        <v>7</v>
      </c>
      <c r="M85" s="369"/>
      <c r="N85" s="369"/>
      <c r="O85" s="369"/>
      <c r="P85" s="369">
        <v>70</v>
      </c>
      <c r="Q85" s="369"/>
      <c r="R85" s="369"/>
      <c r="S85" s="369"/>
      <c r="T85" s="369"/>
      <c r="U85" s="369"/>
      <c r="V85" s="369"/>
      <c r="W85" s="369"/>
      <c r="X85" s="369"/>
      <c r="Y85" s="369"/>
      <c r="Z85" s="371"/>
      <c r="AA85" s="371"/>
      <c r="AB85" s="371"/>
      <c r="AC85" s="371"/>
      <c r="AD85" s="369">
        <v>25</v>
      </c>
      <c r="AE85" s="369"/>
      <c r="AF85" s="369"/>
      <c r="AG85" s="372">
        <f>D85+E85+F85+G85+H85+I85+J85+K85+L85+M85+N85+O85+P85+Q85+R85+S85+T85+U85+V85+W85+X85+Y85+Z85+AA85+AB85+AC85+AD85+AE85+AF85</f>
        <v>260</v>
      </c>
      <c r="AH85" s="371"/>
      <c r="AI85" s="372">
        <f>AG85+AH85</f>
        <v>260</v>
      </c>
    </row>
    <row r="86" spans="1:35" s="363" customFormat="1" ht="12.75" customHeight="1" x14ac:dyDescent="0.2">
      <c r="A86" s="360">
        <v>2</v>
      </c>
      <c r="B86" s="367">
        <v>64</v>
      </c>
      <c r="C86" s="368">
        <f>[7]стоимость!J68</f>
        <v>214839</v>
      </c>
      <c r="D86" s="381">
        <v>28</v>
      </c>
      <c r="E86" s="369"/>
      <c r="F86" s="369"/>
      <c r="G86" s="369"/>
      <c r="H86" s="369"/>
      <c r="I86" s="369"/>
      <c r="J86" s="369"/>
      <c r="K86" s="369"/>
      <c r="L86" s="369"/>
      <c r="M86" s="369"/>
      <c r="N86" s="369"/>
      <c r="O86" s="369"/>
      <c r="P86" s="369">
        <v>6</v>
      </c>
      <c r="Q86" s="369"/>
      <c r="R86" s="369"/>
      <c r="S86" s="369"/>
      <c r="T86" s="369"/>
      <c r="U86" s="369"/>
      <c r="V86" s="369"/>
      <c r="W86" s="369"/>
      <c r="X86" s="369"/>
      <c r="Y86" s="369"/>
      <c r="Z86" s="371"/>
      <c r="AA86" s="371"/>
      <c r="AB86" s="371"/>
      <c r="AC86" s="371"/>
      <c r="AD86" s="369"/>
      <c r="AE86" s="369"/>
      <c r="AF86" s="369"/>
      <c r="AG86" s="372">
        <f>D86+E86+F86+G86+H86+I86+J86+K86+L86+M86+N86+O86+P86+Q86+R86+S86+T86+U86+V86+W86+X86+Y86+Z86+AA86+AB86+AC86+AD86+AE86+AF86</f>
        <v>34</v>
      </c>
      <c r="AH86" s="371"/>
      <c r="AI86" s="372">
        <f>AG86+AH86</f>
        <v>34</v>
      </c>
    </row>
    <row r="87" spans="1:35" s="359" customFormat="1" ht="12.75" customHeight="1" x14ac:dyDescent="0.2">
      <c r="A87" s="357"/>
      <c r="B87" s="1005" t="s">
        <v>433</v>
      </c>
      <c r="C87" s="1006"/>
      <c r="D87" s="365">
        <v>0</v>
      </c>
      <c r="E87" s="365">
        <v>0</v>
      </c>
      <c r="F87" s="365">
        <f t="shared" ref="F87:AI87" si="25">F88</f>
        <v>0</v>
      </c>
      <c r="G87" s="365">
        <v>0</v>
      </c>
      <c r="H87" s="365">
        <f t="shared" si="25"/>
        <v>0</v>
      </c>
      <c r="I87" s="365">
        <f t="shared" si="25"/>
        <v>0</v>
      </c>
      <c r="J87" s="365">
        <f t="shared" si="25"/>
        <v>0</v>
      </c>
      <c r="K87" s="365">
        <v>63</v>
      </c>
      <c r="L87" s="365">
        <f t="shared" si="25"/>
        <v>0</v>
      </c>
      <c r="M87" s="365">
        <v>0</v>
      </c>
      <c r="N87" s="365">
        <f t="shared" si="25"/>
        <v>0</v>
      </c>
      <c r="O87" s="365">
        <f t="shared" si="25"/>
        <v>0</v>
      </c>
      <c r="P87" s="365">
        <v>64</v>
      </c>
      <c r="Q87" s="365">
        <f t="shared" si="25"/>
        <v>0</v>
      </c>
      <c r="R87" s="365">
        <v>0</v>
      </c>
      <c r="S87" s="365">
        <v>0</v>
      </c>
      <c r="T87" s="365">
        <v>20</v>
      </c>
      <c r="U87" s="365">
        <f t="shared" si="25"/>
        <v>0</v>
      </c>
      <c r="V87" s="365">
        <v>0</v>
      </c>
      <c r="W87" s="365">
        <v>0</v>
      </c>
      <c r="X87" s="365">
        <f t="shared" si="25"/>
        <v>0</v>
      </c>
      <c r="Y87" s="365">
        <v>0</v>
      </c>
      <c r="Z87" s="365">
        <f t="shared" si="25"/>
        <v>0</v>
      </c>
      <c r="AA87" s="365">
        <f t="shared" si="25"/>
        <v>0</v>
      </c>
      <c r="AB87" s="365">
        <f t="shared" si="25"/>
        <v>0</v>
      </c>
      <c r="AC87" s="365">
        <f t="shared" si="25"/>
        <v>0</v>
      </c>
      <c r="AD87" s="365">
        <v>0</v>
      </c>
      <c r="AE87" s="365">
        <v>0</v>
      </c>
      <c r="AF87" s="365">
        <v>0</v>
      </c>
      <c r="AG87" s="365">
        <f t="shared" si="25"/>
        <v>147</v>
      </c>
      <c r="AH87" s="365">
        <f t="shared" si="25"/>
        <v>0</v>
      </c>
      <c r="AI87" s="365">
        <f t="shared" si="25"/>
        <v>147</v>
      </c>
    </row>
    <row r="88" spans="1:35" s="363" customFormat="1" ht="24.75" customHeight="1" x14ac:dyDescent="0.2">
      <c r="A88" s="360">
        <v>58</v>
      </c>
      <c r="B88" s="367">
        <v>65</v>
      </c>
      <c r="C88" s="368">
        <f>[7]стоимость!J69</f>
        <v>148891</v>
      </c>
      <c r="D88" s="369"/>
      <c r="E88" s="369"/>
      <c r="F88" s="369"/>
      <c r="G88" s="369"/>
      <c r="H88" s="369"/>
      <c r="I88" s="369"/>
      <c r="J88" s="369"/>
      <c r="K88" s="369">
        <v>63</v>
      </c>
      <c r="L88" s="369"/>
      <c r="M88" s="369"/>
      <c r="N88" s="369"/>
      <c r="O88" s="369"/>
      <c r="P88" s="369">
        <v>64</v>
      </c>
      <c r="Q88" s="369"/>
      <c r="R88" s="369"/>
      <c r="S88" s="369"/>
      <c r="T88" s="369">
        <v>20</v>
      </c>
      <c r="U88" s="369"/>
      <c r="V88" s="369"/>
      <c r="W88" s="369"/>
      <c r="X88" s="369"/>
      <c r="Y88" s="369"/>
      <c r="Z88" s="371"/>
      <c r="AA88" s="371"/>
      <c r="AB88" s="371"/>
      <c r="AC88" s="371"/>
      <c r="AD88" s="369"/>
      <c r="AE88" s="369"/>
      <c r="AF88" s="369"/>
      <c r="AG88" s="372">
        <f>D88+E88+F88+G88+H88+I88+J88+K88+L88+M88+N88+O88+P88+Q88+R88+S88+T88+U88+V88+W88+X88+Y88+Z88+AA88+AB88+AC88+AD88+AE88+AF88</f>
        <v>147</v>
      </c>
      <c r="AH88" s="371"/>
      <c r="AI88" s="372">
        <f>AG88+AH88</f>
        <v>147</v>
      </c>
    </row>
    <row r="89" spans="1:35" s="359" customFormat="1" ht="16.5" customHeight="1" x14ac:dyDescent="0.2">
      <c r="A89" s="357"/>
      <c r="B89" s="1005" t="s">
        <v>434</v>
      </c>
      <c r="C89" s="1006"/>
      <c r="D89" s="365">
        <v>10</v>
      </c>
      <c r="E89" s="365">
        <v>0</v>
      </c>
      <c r="F89" s="365">
        <f t="shared" ref="F89:AI89" si="26">F90+F91</f>
        <v>0</v>
      </c>
      <c r="G89" s="365">
        <v>0</v>
      </c>
      <c r="H89" s="365">
        <f t="shared" si="26"/>
        <v>0</v>
      </c>
      <c r="I89" s="365">
        <f t="shared" si="26"/>
        <v>0</v>
      </c>
      <c r="J89" s="365">
        <f t="shared" si="26"/>
        <v>0</v>
      </c>
      <c r="K89" s="365">
        <v>80</v>
      </c>
      <c r="L89" s="365">
        <f t="shared" si="26"/>
        <v>0</v>
      </c>
      <c r="M89" s="365">
        <v>0</v>
      </c>
      <c r="N89" s="365">
        <f t="shared" si="26"/>
        <v>0</v>
      </c>
      <c r="O89" s="365">
        <f t="shared" si="26"/>
        <v>0</v>
      </c>
      <c r="P89" s="365">
        <v>10</v>
      </c>
      <c r="Q89" s="365">
        <f t="shared" si="26"/>
        <v>0</v>
      </c>
      <c r="R89" s="365">
        <v>0</v>
      </c>
      <c r="S89" s="365">
        <v>0</v>
      </c>
      <c r="T89" s="365">
        <v>0</v>
      </c>
      <c r="U89" s="365">
        <f t="shared" si="26"/>
        <v>0</v>
      </c>
      <c r="V89" s="365">
        <v>0</v>
      </c>
      <c r="W89" s="365">
        <v>0</v>
      </c>
      <c r="X89" s="365">
        <f t="shared" si="26"/>
        <v>0</v>
      </c>
      <c r="Y89" s="365">
        <v>0</v>
      </c>
      <c r="Z89" s="365">
        <f t="shared" si="26"/>
        <v>0</v>
      </c>
      <c r="AA89" s="365">
        <f t="shared" si="26"/>
        <v>0</v>
      </c>
      <c r="AB89" s="365">
        <f t="shared" si="26"/>
        <v>0</v>
      </c>
      <c r="AC89" s="365">
        <f t="shared" si="26"/>
        <v>0</v>
      </c>
      <c r="AD89" s="365">
        <v>0</v>
      </c>
      <c r="AE89" s="365">
        <v>0</v>
      </c>
      <c r="AF89" s="365">
        <v>0</v>
      </c>
      <c r="AG89" s="365">
        <f t="shared" si="26"/>
        <v>100</v>
      </c>
      <c r="AH89" s="365">
        <f t="shared" si="26"/>
        <v>0</v>
      </c>
      <c r="AI89" s="365">
        <f t="shared" si="26"/>
        <v>100</v>
      </c>
    </row>
    <row r="90" spans="1:35" s="363" customFormat="1" ht="18.75" customHeight="1" x14ac:dyDescent="0.2">
      <c r="A90" s="360">
        <v>59</v>
      </c>
      <c r="B90" s="367">
        <v>66</v>
      </c>
      <c r="C90" s="368">
        <f>[7]стоимость!J70</f>
        <v>220834</v>
      </c>
      <c r="D90" s="369">
        <v>10</v>
      </c>
      <c r="E90" s="369"/>
      <c r="F90" s="369"/>
      <c r="G90" s="369"/>
      <c r="H90" s="369"/>
      <c r="I90" s="369"/>
      <c r="J90" s="369"/>
      <c r="K90" s="369">
        <v>80</v>
      </c>
      <c r="L90" s="369"/>
      <c r="M90" s="369"/>
      <c r="N90" s="369"/>
      <c r="O90" s="369"/>
      <c r="P90" s="369">
        <v>10</v>
      </c>
      <c r="Q90" s="369"/>
      <c r="R90" s="369"/>
      <c r="S90" s="369"/>
      <c r="T90" s="369"/>
      <c r="U90" s="369"/>
      <c r="V90" s="369"/>
      <c r="W90" s="369"/>
      <c r="X90" s="369"/>
      <c r="Y90" s="369"/>
      <c r="Z90" s="371"/>
      <c r="AA90" s="371"/>
      <c r="AB90" s="371"/>
      <c r="AC90" s="371"/>
      <c r="AD90" s="369"/>
      <c r="AE90" s="369"/>
      <c r="AF90" s="369"/>
      <c r="AG90" s="372">
        <f>D90+E90+F90+G90+H90+I90+J90+K90+L90+M90+N90+O90+P90+Q90+R90+S90+T90+U90+V90+W90+X90+Y90+Z90+AA90+AB90+AC90+AD90+AE90+AF90</f>
        <v>100</v>
      </c>
      <c r="AH90" s="371"/>
      <c r="AI90" s="372">
        <f>AG90+AH90</f>
        <v>100</v>
      </c>
    </row>
    <row r="91" spans="1:35" s="363" customFormat="1" ht="15.75" customHeight="1" x14ac:dyDescent="0.2">
      <c r="A91" s="360">
        <v>60</v>
      </c>
      <c r="B91" s="367">
        <v>67</v>
      </c>
      <c r="C91" s="368">
        <f>[7]стоимость!J71</f>
        <v>123613</v>
      </c>
      <c r="D91" s="369"/>
      <c r="E91" s="369"/>
      <c r="F91" s="369"/>
      <c r="G91" s="369"/>
      <c r="H91" s="369"/>
      <c r="I91" s="36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71"/>
      <c r="AA91" s="371"/>
      <c r="AB91" s="371"/>
      <c r="AC91" s="371"/>
      <c r="AD91" s="369"/>
      <c r="AE91" s="369"/>
      <c r="AF91" s="369"/>
      <c r="AG91" s="372">
        <f>D91+E91+F91+G91+H91+I91+J91+K91+L91+M91+N91+O91+P91+Q91+R91+S91+T91+U91+V91+W91+X91+Y91+Z91+AA91+AB91+AC91+AD91+AE91+AF91</f>
        <v>0</v>
      </c>
      <c r="AH91" s="371"/>
      <c r="AI91" s="372">
        <f>AG91+AH91</f>
        <v>0</v>
      </c>
    </row>
    <row r="92" spans="1:35" s="359" customFormat="1" ht="17.25" customHeight="1" x14ac:dyDescent="0.2">
      <c r="A92" s="357"/>
      <c r="B92" s="1007" t="s">
        <v>6</v>
      </c>
      <c r="C92" s="1008"/>
      <c r="D92" s="392">
        <f>D5+D8+D10+D13+D15+D17+D20+D27+D30+D38+D42+D52+D54+D72+D75+D81+D84+D87+D89+D46</f>
        <v>2896</v>
      </c>
      <c r="E92" s="392">
        <f t="shared" ref="E92:AI92" si="27">E5+E8+E10+E13+E15+E17+E20+E27+E30+E38+E42+E52+E54+E72+E75+E81+E84+E87+E89+E46</f>
        <v>1118</v>
      </c>
      <c r="F92" s="392">
        <f t="shared" si="27"/>
        <v>871</v>
      </c>
      <c r="G92" s="392">
        <f t="shared" si="27"/>
        <v>3680</v>
      </c>
      <c r="H92" s="392">
        <f t="shared" si="27"/>
        <v>1687</v>
      </c>
      <c r="I92" s="392">
        <f t="shared" si="27"/>
        <v>48</v>
      </c>
      <c r="J92" s="392">
        <f t="shared" si="27"/>
        <v>260</v>
      </c>
      <c r="K92" s="392">
        <f t="shared" si="27"/>
        <v>1100</v>
      </c>
      <c r="L92" s="392">
        <f t="shared" si="27"/>
        <v>401</v>
      </c>
      <c r="M92" s="392">
        <f t="shared" si="27"/>
        <v>1265</v>
      </c>
      <c r="N92" s="392">
        <f t="shared" si="27"/>
        <v>369</v>
      </c>
      <c r="O92" s="392">
        <f t="shared" si="27"/>
        <v>786</v>
      </c>
      <c r="P92" s="392">
        <f t="shared" si="27"/>
        <v>1187</v>
      </c>
      <c r="Q92" s="392">
        <f t="shared" si="27"/>
        <v>120</v>
      </c>
      <c r="R92" s="392">
        <f t="shared" si="27"/>
        <v>253</v>
      </c>
      <c r="S92" s="392">
        <f t="shared" si="27"/>
        <v>467</v>
      </c>
      <c r="T92" s="392">
        <f t="shared" si="27"/>
        <v>1218</v>
      </c>
      <c r="U92" s="392">
        <f t="shared" si="27"/>
        <v>125</v>
      </c>
      <c r="V92" s="392">
        <f t="shared" si="27"/>
        <v>269</v>
      </c>
      <c r="W92" s="392">
        <f t="shared" si="27"/>
        <v>203</v>
      </c>
      <c r="X92" s="392">
        <f t="shared" si="27"/>
        <v>20</v>
      </c>
      <c r="Y92" s="392">
        <f t="shared" si="27"/>
        <v>138</v>
      </c>
      <c r="Z92" s="392">
        <f t="shared" si="27"/>
        <v>130</v>
      </c>
      <c r="AA92" s="392">
        <f t="shared" si="27"/>
        <v>0</v>
      </c>
      <c r="AB92" s="392">
        <f t="shared" si="27"/>
        <v>94</v>
      </c>
      <c r="AC92" s="392">
        <f t="shared" si="27"/>
        <v>90</v>
      </c>
      <c r="AD92" s="392">
        <f t="shared" si="27"/>
        <v>303</v>
      </c>
      <c r="AE92" s="392">
        <f t="shared" si="27"/>
        <v>487</v>
      </c>
      <c r="AF92" s="392">
        <f t="shared" si="27"/>
        <v>150</v>
      </c>
      <c r="AG92" s="392">
        <f t="shared" si="27"/>
        <v>19735</v>
      </c>
      <c r="AH92" s="392">
        <f t="shared" si="27"/>
        <v>0</v>
      </c>
      <c r="AI92" s="392">
        <f t="shared" si="27"/>
        <v>19735</v>
      </c>
    </row>
    <row r="93" spans="1:35" ht="18.75" customHeight="1" x14ac:dyDescent="0.25">
      <c r="B93" s="394"/>
      <c r="C93" s="399"/>
      <c r="D93" s="396"/>
      <c r="E93" s="396"/>
      <c r="F93" s="396"/>
      <c r="G93" s="396"/>
      <c r="H93" s="396"/>
      <c r="I93" s="395"/>
      <c r="J93" s="396"/>
    </row>
  </sheetData>
  <autoFilter ref="A5:AL93" xr:uid="{00000000-0009-0000-0000-000001000000}"/>
  <mergeCells count="24">
    <mergeCell ref="B27:C27"/>
    <mergeCell ref="B30:C30"/>
    <mergeCell ref="B10:C10"/>
    <mergeCell ref="B13:C13"/>
    <mergeCell ref="B15:C15"/>
    <mergeCell ref="B17:C17"/>
    <mergeCell ref="B20:C20"/>
    <mergeCell ref="B1:P1"/>
    <mergeCell ref="B2:B3"/>
    <mergeCell ref="C2:C3"/>
    <mergeCell ref="B5:C5"/>
    <mergeCell ref="B8:C8"/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57"/>
  <sheetViews>
    <sheetView zoomScale="90" zoomScaleNormal="90" workbookViewId="0">
      <pane xSplit="3" ySplit="13" topLeftCell="D83" activePane="bottomRight" state="frozen"/>
      <selection pane="topRight" activeCell="D1" sqref="D1"/>
      <selection pane="bottomLeft" activeCell="A14" sqref="A14"/>
      <selection pane="bottomRight" activeCell="C91" sqref="C91"/>
    </sheetView>
  </sheetViews>
  <sheetFormatPr defaultRowHeight="12" x14ac:dyDescent="0.25"/>
  <cols>
    <col min="1" max="1" width="6.28515625" style="98" customWidth="1"/>
    <col min="2" max="2" width="9.5703125" style="98" customWidth="1"/>
    <col min="3" max="3" width="29.42578125" style="99" customWidth="1"/>
    <col min="4" max="4" width="12.42578125" style="100" customWidth="1"/>
    <col min="5" max="5" width="11.42578125" style="100" customWidth="1"/>
    <col min="6" max="6" width="12.28515625" style="100" customWidth="1"/>
    <col min="7" max="7" width="11.42578125" style="100" customWidth="1"/>
    <col min="8" max="8" width="14.140625" style="689" customWidth="1"/>
    <col min="9" max="9" width="11.42578125" style="689" customWidth="1"/>
    <col min="10" max="10" width="10.140625" style="689" customWidth="1"/>
    <col min="11" max="12" width="10.28515625" style="100" customWidth="1"/>
    <col min="13" max="13" width="10.85546875" style="100" customWidth="1"/>
    <col min="14" max="14" width="11.42578125" style="689" customWidth="1"/>
    <col min="15" max="16384" width="9.140625" style="98"/>
  </cols>
  <sheetData>
    <row r="1" spans="1:16" ht="15.75" x14ac:dyDescent="0.25">
      <c r="A1" s="1234" t="s">
        <v>813</v>
      </c>
      <c r="B1" s="1260"/>
      <c r="C1" s="1260"/>
      <c r="D1" s="1260"/>
      <c r="E1" s="1260"/>
      <c r="F1" s="1260"/>
      <c r="G1" s="1260"/>
      <c r="H1" s="1260"/>
      <c r="I1" s="1260"/>
      <c r="J1" s="1260"/>
      <c r="K1" s="1260"/>
      <c r="L1" s="1260"/>
      <c r="M1" s="1260"/>
      <c r="N1" s="1260"/>
    </row>
    <row r="2" spans="1:16" ht="12.75" thickBot="1" x14ac:dyDescent="0.3"/>
    <row r="3" spans="1:16" s="690" customFormat="1" ht="17.25" customHeight="1" x14ac:dyDescent="0.25">
      <c r="A3" s="1261" t="s">
        <v>0</v>
      </c>
      <c r="B3" s="1264" t="s">
        <v>600</v>
      </c>
      <c r="C3" s="1267" t="s">
        <v>292</v>
      </c>
      <c r="D3" s="1270" t="s">
        <v>609</v>
      </c>
      <c r="E3" s="1271"/>
      <c r="F3" s="1271"/>
      <c r="G3" s="1271"/>
      <c r="H3" s="1271"/>
      <c r="I3" s="1271"/>
      <c r="J3" s="1272"/>
      <c r="K3" s="1273" t="s">
        <v>610</v>
      </c>
      <c r="L3" s="1273"/>
      <c r="M3" s="1271"/>
      <c r="N3" s="1274"/>
    </row>
    <row r="4" spans="1:16" s="691" customFormat="1" ht="34.5" customHeight="1" x14ac:dyDescent="0.25">
      <c r="A4" s="1262"/>
      <c r="B4" s="1265"/>
      <c r="C4" s="1268"/>
      <c r="D4" s="1275" t="s">
        <v>611</v>
      </c>
      <c r="E4" s="1276"/>
      <c r="F4" s="1276" t="s">
        <v>612</v>
      </c>
      <c r="G4" s="1276"/>
      <c r="H4" s="1277" t="s">
        <v>814</v>
      </c>
      <c r="I4" s="1277"/>
      <c r="J4" s="1278"/>
      <c r="K4" s="757" t="s">
        <v>815</v>
      </c>
      <c r="L4" s="757" t="s">
        <v>816</v>
      </c>
      <c r="M4" s="758" t="s">
        <v>817</v>
      </c>
      <c r="N4" s="806" t="s">
        <v>6</v>
      </c>
    </row>
    <row r="5" spans="1:16" s="691" customFormat="1" ht="110.25" customHeight="1" x14ac:dyDescent="0.25">
      <c r="A5" s="1263"/>
      <c r="B5" s="1266"/>
      <c r="C5" s="1269"/>
      <c r="D5" s="759" t="s">
        <v>613</v>
      </c>
      <c r="E5" s="758" t="s">
        <v>614</v>
      </c>
      <c r="F5" s="758" t="s">
        <v>613</v>
      </c>
      <c r="G5" s="758" t="s">
        <v>614</v>
      </c>
      <c r="H5" s="760" t="s">
        <v>613</v>
      </c>
      <c r="I5" s="760" t="s">
        <v>614</v>
      </c>
      <c r="J5" s="806" t="s">
        <v>615</v>
      </c>
      <c r="K5" s="1279" t="s">
        <v>818</v>
      </c>
      <c r="L5" s="1279"/>
      <c r="M5" s="1280"/>
      <c r="N5" s="1278"/>
    </row>
    <row r="6" spans="1:16" s="691" customFormat="1" ht="12.75" customHeight="1" thickBot="1" x14ac:dyDescent="0.3">
      <c r="A6" s="807">
        <v>1</v>
      </c>
      <c r="B6" s="808">
        <v>2</v>
      </c>
      <c r="C6" s="809">
        <v>3</v>
      </c>
      <c r="D6" s="810">
        <v>4</v>
      </c>
      <c r="E6" s="319">
        <v>5</v>
      </c>
      <c r="F6" s="319">
        <v>6</v>
      </c>
      <c r="G6" s="319">
        <v>7</v>
      </c>
      <c r="H6" s="319">
        <v>8</v>
      </c>
      <c r="I6" s="319">
        <v>9</v>
      </c>
      <c r="J6" s="811">
        <v>10</v>
      </c>
      <c r="K6" s="812">
        <v>11</v>
      </c>
      <c r="L6" s="812">
        <v>12</v>
      </c>
      <c r="M6" s="813">
        <v>13</v>
      </c>
      <c r="N6" s="814">
        <v>14</v>
      </c>
    </row>
    <row r="7" spans="1:16" ht="14.25" customHeight="1" x14ac:dyDescent="0.25">
      <c r="A7" s="1284" t="s">
        <v>6</v>
      </c>
      <c r="B7" s="1285"/>
      <c r="C7" s="1286"/>
      <c r="D7" s="815">
        <f>SUM(D8:D10)</f>
        <v>73687</v>
      </c>
      <c r="E7" s="816">
        <f t="shared" ref="E7:N7" si="0">SUM(E8:E10)</f>
        <v>11369</v>
      </c>
      <c r="F7" s="816">
        <f t="shared" si="0"/>
        <v>73655</v>
      </c>
      <c r="G7" s="816">
        <f t="shared" si="0"/>
        <v>11354</v>
      </c>
      <c r="H7" s="816">
        <f t="shared" si="0"/>
        <v>147342</v>
      </c>
      <c r="I7" s="816">
        <f t="shared" si="0"/>
        <v>22723</v>
      </c>
      <c r="J7" s="817">
        <f t="shared" si="0"/>
        <v>170065</v>
      </c>
      <c r="K7" s="818">
        <f t="shared" si="0"/>
        <v>50490</v>
      </c>
      <c r="L7" s="818">
        <f t="shared" si="0"/>
        <v>102630</v>
      </c>
      <c r="M7" s="816">
        <f t="shared" si="0"/>
        <v>149820</v>
      </c>
      <c r="N7" s="817">
        <f t="shared" si="0"/>
        <v>302940</v>
      </c>
    </row>
    <row r="8" spans="1:16" ht="14.25" customHeight="1" x14ac:dyDescent="0.25">
      <c r="A8" s="1281" t="s">
        <v>14</v>
      </c>
      <c r="B8" s="1282"/>
      <c r="C8" s="1287"/>
      <c r="D8" s="320"/>
      <c r="E8" s="321"/>
      <c r="F8" s="321"/>
      <c r="G8" s="321"/>
      <c r="H8" s="102"/>
      <c r="I8" s="102"/>
      <c r="J8" s="401"/>
      <c r="K8" s="453"/>
      <c r="L8" s="453"/>
      <c r="M8" s="101"/>
      <c r="N8" s="401"/>
    </row>
    <row r="9" spans="1:16" ht="14.25" customHeight="1" x14ac:dyDescent="0.25">
      <c r="A9" s="1281" t="s">
        <v>444</v>
      </c>
      <c r="B9" s="1282"/>
      <c r="C9" s="1283"/>
      <c r="D9" s="474"/>
      <c r="E9" s="482"/>
      <c r="F9" s="482"/>
      <c r="G9" s="482"/>
      <c r="H9" s="102"/>
      <c r="I9" s="102"/>
      <c r="J9" s="692"/>
      <c r="K9" s="403"/>
      <c r="L9" s="453"/>
      <c r="M9" s="482"/>
      <c r="N9" s="401"/>
      <c r="P9" s="100"/>
    </row>
    <row r="10" spans="1:16" s="693" customFormat="1" x14ac:dyDescent="0.25">
      <c r="A10" s="1281" t="s">
        <v>15</v>
      </c>
      <c r="B10" s="1282"/>
      <c r="C10" s="1283"/>
      <c r="D10" s="458">
        <f>SUM(D11:D155)</f>
        <v>73687</v>
      </c>
      <c r="E10" s="458">
        <f t="shared" ref="E10:N10" si="1">SUM(E11:E155)</f>
        <v>11369</v>
      </c>
      <c r="F10" s="458">
        <f t="shared" si="1"/>
        <v>73655</v>
      </c>
      <c r="G10" s="458">
        <f t="shared" si="1"/>
        <v>11354</v>
      </c>
      <c r="H10" s="458">
        <f t="shared" si="1"/>
        <v>147342</v>
      </c>
      <c r="I10" s="458">
        <f t="shared" si="1"/>
        <v>22723</v>
      </c>
      <c r="J10" s="819">
        <f t="shared" si="1"/>
        <v>170065</v>
      </c>
      <c r="K10" s="402">
        <f t="shared" si="1"/>
        <v>50490</v>
      </c>
      <c r="L10" s="458">
        <f t="shared" si="1"/>
        <v>102630</v>
      </c>
      <c r="M10" s="458">
        <f t="shared" si="1"/>
        <v>149820</v>
      </c>
      <c r="N10" s="820">
        <f t="shared" si="1"/>
        <v>302940</v>
      </c>
      <c r="P10" s="100"/>
    </row>
    <row r="11" spans="1:16" x14ac:dyDescent="0.25">
      <c r="A11" s="761">
        <v>1</v>
      </c>
      <c r="B11" s="322" t="s">
        <v>16</v>
      </c>
      <c r="C11" s="452" t="s">
        <v>17</v>
      </c>
      <c r="D11" s="453"/>
      <c r="E11" s="101"/>
      <c r="F11" s="101"/>
      <c r="G11" s="101"/>
      <c r="H11" s="102"/>
      <c r="I11" s="102"/>
      <c r="J11" s="692"/>
      <c r="K11" s="403">
        <v>550</v>
      </c>
      <c r="L11" s="453">
        <v>1100</v>
      </c>
      <c r="M11" s="487">
        <v>1650</v>
      </c>
      <c r="N11" s="401">
        <f>K11+L11+M11</f>
        <v>3300</v>
      </c>
      <c r="P11" s="100"/>
    </row>
    <row r="12" spans="1:16" x14ac:dyDescent="0.25">
      <c r="A12" s="761">
        <v>2</v>
      </c>
      <c r="B12" s="322" t="s">
        <v>18</v>
      </c>
      <c r="C12" s="452" t="s">
        <v>19</v>
      </c>
      <c r="D12" s="453">
        <v>993</v>
      </c>
      <c r="E12" s="101">
        <v>101</v>
      </c>
      <c r="F12" s="101">
        <v>992</v>
      </c>
      <c r="G12" s="101">
        <v>101</v>
      </c>
      <c r="H12" s="102">
        <f t="shared" ref="H12:I75" si="2">D12+F12</f>
        <v>1985</v>
      </c>
      <c r="I12" s="102">
        <f t="shared" si="2"/>
        <v>202</v>
      </c>
      <c r="J12" s="692">
        <f t="shared" ref="J12:J75" si="3">H12+I12</f>
        <v>2187</v>
      </c>
      <c r="K12" s="403">
        <v>550</v>
      </c>
      <c r="L12" s="453">
        <v>1100</v>
      </c>
      <c r="M12" s="487">
        <v>1650</v>
      </c>
      <c r="N12" s="401">
        <f t="shared" ref="N12:N63" si="4">K12+L12+M12</f>
        <v>3300</v>
      </c>
      <c r="P12" s="100"/>
    </row>
    <row r="13" spans="1:16" x14ac:dyDescent="0.25">
      <c r="A13" s="761">
        <v>3</v>
      </c>
      <c r="B13" s="323" t="s">
        <v>20</v>
      </c>
      <c r="C13" s="821" t="s">
        <v>21</v>
      </c>
      <c r="D13" s="403">
        <v>1124</v>
      </c>
      <c r="E13" s="101">
        <v>229</v>
      </c>
      <c r="F13" s="101">
        <v>1124</v>
      </c>
      <c r="G13" s="101">
        <v>228</v>
      </c>
      <c r="H13" s="102">
        <f t="shared" si="2"/>
        <v>2248</v>
      </c>
      <c r="I13" s="102">
        <f t="shared" si="2"/>
        <v>457</v>
      </c>
      <c r="J13" s="692">
        <f t="shared" si="3"/>
        <v>2705</v>
      </c>
      <c r="K13" s="403">
        <v>880</v>
      </c>
      <c r="L13" s="453">
        <v>1760</v>
      </c>
      <c r="M13" s="487">
        <v>2640</v>
      </c>
      <c r="N13" s="401">
        <f t="shared" si="4"/>
        <v>5280</v>
      </c>
      <c r="P13" s="100"/>
    </row>
    <row r="14" spans="1:16" x14ac:dyDescent="0.25">
      <c r="A14" s="761">
        <v>4</v>
      </c>
      <c r="B14" s="322" t="s">
        <v>22</v>
      </c>
      <c r="C14" s="822" t="s">
        <v>23</v>
      </c>
      <c r="D14" s="403">
        <v>574</v>
      </c>
      <c r="E14" s="101"/>
      <c r="F14" s="101">
        <v>573</v>
      </c>
      <c r="G14" s="101"/>
      <c r="H14" s="102">
        <f t="shared" si="2"/>
        <v>1147</v>
      </c>
      <c r="I14" s="102"/>
      <c r="J14" s="401">
        <f t="shared" si="3"/>
        <v>1147</v>
      </c>
      <c r="K14" s="453">
        <v>550</v>
      </c>
      <c r="L14" s="453">
        <v>1100</v>
      </c>
      <c r="M14" s="487">
        <v>1650</v>
      </c>
      <c r="N14" s="401">
        <f t="shared" si="4"/>
        <v>3300</v>
      </c>
      <c r="P14" s="100"/>
    </row>
    <row r="15" spans="1:16" ht="11.25" customHeight="1" x14ac:dyDescent="0.25">
      <c r="A15" s="761">
        <v>5</v>
      </c>
      <c r="B15" s="322" t="s">
        <v>24</v>
      </c>
      <c r="C15" s="822" t="s">
        <v>25</v>
      </c>
      <c r="D15" s="403"/>
      <c r="E15" s="101"/>
      <c r="F15" s="101"/>
      <c r="G15" s="101"/>
      <c r="H15" s="102"/>
      <c r="I15" s="102"/>
      <c r="J15" s="401">
        <f t="shared" si="3"/>
        <v>0</v>
      </c>
      <c r="K15" s="453">
        <v>550</v>
      </c>
      <c r="L15" s="453">
        <v>1100</v>
      </c>
      <c r="M15" s="487">
        <v>1650</v>
      </c>
      <c r="N15" s="401">
        <f t="shared" si="4"/>
        <v>3300</v>
      </c>
      <c r="P15" s="100"/>
    </row>
    <row r="16" spans="1:16" x14ac:dyDescent="0.25">
      <c r="A16" s="761">
        <v>6</v>
      </c>
      <c r="B16" s="323" t="s">
        <v>26</v>
      </c>
      <c r="C16" s="821" t="s">
        <v>27</v>
      </c>
      <c r="D16" s="403">
        <v>2106</v>
      </c>
      <c r="E16" s="101">
        <f>528-107</f>
        <v>421</v>
      </c>
      <c r="F16" s="101">
        <v>2106</v>
      </c>
      <c r="G16" s="101">
        <f>527-393</f>
        <v>134</v>
      </c>
      <c r="H16" s="102">
        <f t="shared" si="2"/>
        <v>4212</v>
      </c>
      <c r="I16" s="102">
        <f t="shared" si="2"/>
        <v>555</v>
      </c>
      <c r="J16" s="401">
        <f t="shared" si="3"/>
        <v>4767</v>
      </c>
      <c r="K16" s="453">
        <v>1430</v>
      </c>
      <c r="L16" s="453">
        <f>2860-1187</f>
        <v>1673</v>
      </c>
      <c r="M16" s="487">
        <f>3465+825</f>
        <v>4290</v>
      </c>
      <c r="N16" s="401">
        <f t="shared" si="4"/>
        <v>7393</v>
      </c>
      <c r="P16" s="100"/>
    </row>
    <row r="17" spans="1:16" x14ac:dyDescent="0.25">
      <c r="A17" s="761">
        <v>7</v>
      </c>
      <c r="B17" s="483" t="s">
        <v>28</v>
      </c>
      <c r="C17" s="324" t="s">
        <v>29</v>
      </c>
      <c r="D17" s="403">
        <v>1707</v>
      </c>
      <c r="E17" s="101">
        <v>249</v>
      </c>
      <c r="F17" s="101">
        <v>1707</v>
      </c>
      <c r="G17" s="101">
        <v>249</v>
      </c>
      <c r="H17" s="102">
        <f t="shared" si="2"/>
        <v>3414</v>
      </c>
      <c r="I17" s="102">
        <f t="shared" si="2"/>
        <v>498</v>
      </c>
      <c r="J17" s="401">
        <f t="shared" si="3"/>
        <v>3912</v>
      </c>
      <c r="K17" s="453">
        <v>550</v>
      </c>
      <c r="L17" s="453">
        <v>1100</v>
      </c>
      <c r="M17" s="487">
        <v>1650</v>
      </c>
      <c r="N17" s="401">
        <f t="shared" si="4"/>
        <v>3300</v>
      </c>
      <c r="P17" s="100"/>
    </row>
    <row r="18" spans="1:16" x14ac:dyDescent="0.25">
      <c r="A18" s="761">
        <v>8</v>
      </c>
      <c r="B18" s="323" t="s">
        <v>30</v>
      </c>
      <c r="C18" s="821" t="s">
        <v>31</v>
      </c>
      <c r="D18" s="403"/>
      <c r="E18" s="101"/>
      <c r="F18" s="101"/>
      <c r="G18" s="101"/>
      <c r="H18" s="102"/>
      <c r="I18" s="102"/>
      <c r="J18" s="401"/>
      <c r="K18" s="453">
        <v>550</v>
      </c>
      <c r="L18" s="453">
        <v>1100</v>
      </c>
      <c r="M18" s="487">
        <f>1650</f>
        <v>1650</v>
      </c>
      <c r="N18" s="401">
        <f t="shared" si="4"/>
        <v>3300</v>
      </c>
      <c r="P18" s="100"/>
    </row>
    <row r="19" spans="1:16" x14ac:dyDescent="0.25">
      <c r="A19" s="761">
        <v>9</v>
      </c>
      <c r="B19" s="323" t="s">
        <v>32</v>
      </c>
      <c r="C19" s="821" t="s">
        <v>33</v>
      </c>
      <c r="D19" s="403">
        <v>627</v>
      </c>
      <c r="E19" s="101">
        <v>53</v>
      </c>
      <c r="F19" s="101">
        <v>626</v>
      </c>
      <c r="G19" s="101">
        <v>53</v>
      </c>
      <c r="H19" s="102">
        <f t="shared" si="2"/>
        <v>1253</v>
      </c>
      <c r="I19" s="102">
        <f t="shared" si="2"/>
        <v>106</v>
      </c>
      <c r="J19" s="401">
        <f t="shared" si="3"/>
        <v>1359</v>
      </c>
      <c r="K19" s="453">
        <v>275</v>
      </c>
      <c r="L19" s="453">
        <v>550</v>
      </c>
      <c r="M19" s="487">
        <v>825</v>
      </c>
      <c r="N19" s="401">
        <f t="shared" si="4"/>
        <v>1650</v>
      </c>
      <c r="P19" s="100"/>
    </row>
    <row r="20" spans="1:16" x14ac:dyDescent="0.25">
      <c r="A20" s="761">
        <v>10</v>
      </c>
      <c r="B20" s="323" t="s">
        <v>34</v>
      </c>
      <c r="C20" s="821" t="s">
        <v>35</v>
      </c>
      <c r="D20" s="403"/>
      <c r="E20" s="101"/>
      <c r="F20" s="101"/>
      <c r="G20" s="101"/>
      <c r="H20" s="102"/>
      <c r="I20" s="102"/>
      <c r="J20" s="401"/>
      <c r="K20" s="453">
        <v>550</v>
      </c>
      <c r="L20" s="453">
        <v>1100</v>
      </c>
      <c r="M20" s="487">
        <v>1650</v>
      </c>
      <c r="N20" s="401">
        <f t="shared" si="4"/>
        <v>3300</v>
      </c>
      <c r="P20" s="100"/>
    </row>
    <row r="21" spans="1:16" x14ac:dyDescent="0.25">
      <c r="A21" s="761">
        <v>11</v>
      </c>
      <c r="B21" s="323" t="s">
        <v>36</v>
      </c>
      <c r="C21" s="821" t="s">
        <v>37</v>
      </c>
      <c r="D21" s="403"/>
      <c r="E21" s="101"/>
      <c r="F21" s="101"/>
      <c r="G21" s="101"/>
      <c r="H21" s="102"/>
      <c r="I21" s="102"/>
      <c r="J21" s="401"/>
      <c r="K21" s="453">
        <v>550</v>
      </c>
      <c r="L21" s="453">
        <v>1100</v>
      </c>
      <c r="M21" s="487">
        <v>1650</v>
      </c>
      <c r="N21" s="401">
        <f t="shared" si="4"/>
        <v>3300</v>
      </c>
      <c r="P21" s="100"/>
    </row>
    <row r="22" spans="1:16" x14ac:dyDescent="0.25">
      <c r="A22" s="761">
        <v>12</v>
      </c>
      <c r="B22" s="323" t="s">
        <v>38</v>
      </c>
      <c r="C22" s="821" t="s">
        <v>39</v>
      </c>
      <c r="D22" s="403">
        <v>1074</v>
      </c>
      <c r="E22" s="101"/>
      <c r="F22" s="101">
        <v>1073</v>
      </c>
      <c r="G22" s="101"/>
      <c r="H22" s="102">
        <f t="shared" si="2"/>
        <v>2147</v>
      </c>
      <c r="I22" s="102"/>
      <c r="J22" s="401">
        <f t="shared" si="3"/>
        <v>2147</v>
      </c>
      <c r="K22" s="453">
        <v>550</v>
      </c>
      <c r="L22" s="453">
        <v>1100</v>
      </c>
      <c r="M22" s="487">
        <v>1650</v>
      </c>
      <c r="N22" s="401">
        <f t="shared" si="4"/>
        <v>3300</v>
      </c>
      <c r="P22" s="100"/>
    </row>
    <row r="23" spans="1:16" x14ac:dyDescent="0.25">
      <c r="A23" s="761">
        <v>13</v>
      </c>
      <c r="B23" s="325" t="s">
        <v>40</v>
      </c>
      <c r="C23" s="823" t="s">
        <v>41</v>
      </c>
      <c r="D23" s="403"/>
      <c r="E23" s="101"/>
      <c r="F23" s="101"/>
      <c r="G23" s="101"/>
      <c r="H23" s="102"/>
      <c r="I23" s="102"/>
      <c r="J23" s="401"/>
      <c r="K23" s="453"/>
      <c r="L23" s="453"/>
      <c r="M23" s="487"/>
      <c r="N23" s="401"/>
      <c r="P23" s="100"/>
    </row>
    <row r="24" spans="1:16" x14ac:dyDescent="0.25">
      <c r="A24" s="761">
        <v>14</v>
      </c>
      <c r="B24" s="326" t="s">
        <v>42</v>
      </c>
      <c r="C24" s="824" t="s">
        <v>43</v>
      </c>
      <c r="D24" s="403"/>
      <c r="E24" s="101"/>
      <c r="F24" s="101"/>
      <c r="G24" s="101"/>
      <c r="H24" s="102"/>
      <c r="I24" s="102"/>
      <c r="J24" s="401"/>
      <c r="K24" s="453"/>
      <c r="L24" s="453"/>
      <c r="M24" s="487"/>
      <c r="N24" s="401"/>
      <c r="P24" s="100"/>
    </row>
    <row r="25" spans="1:16" x14ac:dyDescent="0.25">
      <c r="A25" s="761">
        <v>15</v>
      </c>
      <c r="B25" s="323" t="s">
        <v>44</v>
      </c>
      <c r="C25" s="821" t="s">
        <v>45</v>
      </c>
      <c r="D25" s="403"/>
      <c r="E25" s="101"/>
      <c r="F25" s="101"/>
      <c r="G25" s="101"/>
      <c r="H25" s="102"/>
      <c r="I25" s="102"/>
      <c r="J25" s="401"/>
      <c r="K25" s="453">
        <v>550</v>
      </c>
      <c r="L25" s="453">
        <v>1100</v>
      </c>
      <c r="M25" s="487">
        <v>1650</v>
      </c>
      <c r="N25" s="401">
        <f t="shared" si="4"/>
        <v>3300</v>
      </c>
      <c r="P25" s="100"/>
    </row>
    <row r="26" spans="1:16" x14ac:dyDescent="0.25">
      <c r="A26" s="761">
        <v>16</v>
      </c>
      <c r="B26" s="323" t="s">
        <v>46</v>
      </c>
      <c r="C26" s="821" t="s">
        <v>47</v>
      </c>
      <c r="D26" s="403"/>
      <c r="E26" s="101"/>
      <c r="F26" s="101"/>
      <c r="G26" s="101"/>
      <c r="H26" s="102"/>
      <c r="I26" s="102"/>
      <c r="J26" s="401"/>
      <c r="K26" s="453">
        <v>550</v>
      </c>
      <c r="L26" s="453">
        <v>1100</v>
      </c>
      <c r="M26" s="487">
        <f>1650</f>
        <v>1650</v>
      </c>
      <c r="N26" s="401">
        <f t="shared" si="4"/>
        <v>3300</v>
      </c>
      <c r="P26" s="100"/>
    </row>
    <row r="27" spans="1:16" x14ac:dyDescent="0.25">
      <c r="A27" s="761">
        <v>17</v>
      </c>
      <c r="B27" s="323" t="s">
        <v>48</v>
      </c>
      <c r="C27" s="821" t="s">
        <v>49</v>
      </c>
      <c r="D27" s="403">
        <v>1083</v>
      </c>
      <c r="E27" s="101">
        <v>172</v>
      </c>
      <c r="F27" s="101">
        <v>1083</v>
      </c>
      <c r="G27" s="101">
        <v>172</v>
      </c>
      <c r="H27" s="102">
        <f t="shared" si="2"/>
        <v>2166</v>
      </c>
      <c r="I27" s="102">
        <f t="shared" si="2"/>
        <v>344</v>
      </c>
      <c r="J27" s="401">
        <f t="shared" si="3"/>
        <v>2510</v>
      </c>
      <c r="K27" s="453">
        <v>605</v>
      </c>
      <c r="L27" s="453">
        <v>1100</v>
      </c>
      <c r="M27" s="487">
        <v>1650</v>
      </c>
      <c r="N27" s="401">
        <f t="shared" si="4"/>
        <v>3355</v>
      </c>
      <c r="P27" s="100"/>
    </row>
    <row r="28" spans="1:16" x14ac:dyDescent="0.25">
      <c r="A28" s="761">
        <v>18</v>
      </c>
      <c r="B28" s="323" t="s">
        <v>50</v>
      </c>
      <c r="C28" s="821" t="s">
        <v>51</v>
      </c>
      <c r="D28" s="403">
        <v>2310</v>
      </c>
      <c r="E28" s="101">
        <f>467-43</f>
        <v>424</v>
      </c>
      <c r="F28" s="101">
        <v>2310</v>
      </c>
      <c r="G28" s="101">
        <f>467-157</f>
        <v>310</v>
      </c>
      <c r="H28" s="102">
        <f t="shared" si="2"/>
        <v>4620</v>
      </c>
      <c r="I28" s="102">
        <f t="shared" si="2"/>
        <v>734</v>
      </c>
      <c r="J28" s="401">
        <f t="shared" si="3"/>
        <v>5354</v>
      </c>
      <c r="K28" s="453">
        <v>1155</v>
      </c>
      <c r="L28" s="453">
        <v>2310</v>
      </c>
      <c r="M28" s="487">
        <v>2640</v>
      </c>
      <c r="N28" s="401">
        <f t="shared" si="4"/>
        <v>6105</v>
      </c>
      <c r="P28" s="100"/>
    </row>
    <row r="29" spans="1:16" x14ac:dyDescent="0.25">
      <c r="A29" s="761">
        <v>19</v>
      </c>
      <c r="B29" s="322" t="s">
        <v>52</v>
      </c>
      <c r="C29" s="822" t="s">
        <v>53</v>
      </c>
      <c r="D29" s="403">
        <v>701</v>
      </c>
      <c r="E29" s="101">
        <v>51</v>
      </c>
      <c r="F29" s="101">
        <v>701</v>
      </c>
      <c r="G29" s="101">
        <v>51</v>
      </c>
      <c r="H29" s="102">
        <f t="shared" si="2"/>
        <v>1402</v>
      </c>
      <c r="I29" s="102">
        <f t="shared" si="2"/>
        <v>102</v>
      </c>
      <c r="J29" s="401">
        <f t="shared" si="3"/>
        <v>1504</v>
      </c>
      <c r="K29" s="453">
        <v>275</v>
      </c>
      <c r="L29" s="453">
        <v>550</v>
      </c>
      <c r="M29" s="487">
        <v>825</v>
      </c>
      <c r="N29" s="401">
        <f t="shared" si="4"/>
        <v>1650</v>
      </c>
      <c r="P29" s="100"/>
    </row>
    <row r="30" spans="1:16" x14ac:dyDescent="0.25">
      <c r="A30" s="761">
        <v>20</v>
      </c>
      <c r="B30" s="322" t="s">
        <v>54</v>
      </c>
      <c r="C30" s="822" t="s">
        <v>55</v>
      </c>
      <c r="D30" s="403">
        <v>680</v>
      </c>
      <c r="E30" s="101">
        <v>133</v>
      </c>
      <c r="F30" s="101">
        <v>679</v>
      </c>
      <c r="G30" s="101">
        <v>132</v>
      </c>
      <c r="H30" s="102">
        <f t="shared" si="2"/>
        <v>1359</v>
      </c>
      <c r="I30" s="102">
        <f t="shared" si="2"/>
        <v>265</v>
      </c>
      <c r="J30" s="401">
        <f t="shared" si="3"/>
        <v>1624</v>
      </c>
      <c r="K30" s="453">
        <v>550</v>
      </c>
      <c r="L30" s="453">
        <v>1100</v>
      </c>
      <c r="M30" s="487">
        <v>1650</v>
      </c>
      <c r="N30" s="401">
        <f t="shared" si="4"/>
        <v>3300</v>
      </c>
      <c r="P30" s="100"/>
    </row>
    <row r="31" spans="1:16" x14ac:dyDescent="0.25">
      <c r="A31" s="761">
        <v>21</v>
      </c>
      <c r="B31" s="322" t="s">
        <v>56</v>
      </c>
      <c r="C31" s="822" t="s">
        <v>57</v>
      </c>
      <c r="D31" s="403">
        <v>1986</v>
      </c>
      <c r="E31" s="101">
        <v>214</v>
      </c>
      <c r="F31" s="101">
        <v>1985</v>
      </c>
      <c r="G31" s="101">
        <v>214</v>
      </c>
      <c r="H31" s="102">
        <f t="shared" si="2"/>
        <v>3971</v>
      </c>
      <c r="I31" s="102">
        <f t="shared" si="2"/>
        <v>428</v>
      </c>
      <c r="J31" s="401">
        <f t="shared" si="3"/>
        <v>4399</v>
      </c>
      <c r="K31" s="453">
        <v>550</v>
      </c>
      <c r="L31" s="453">
        <v>1100</v>
      </c>
      <c r="M31" s="487">
        <v>1650</v>
      </c>
      <c r="N31" s="401">
        <f t="shared" si="4"/>
        <v>3300</v>
      </c>
      <c r="P31" s="100"/>
    </row>
    <row r="32" spans="1:16" x14ac:dyDescent="0.25">
      <c r="A32" s="761">
        <v>22</v>
      </c>
      <c r="B32" s="322" t="s">
        <v>58</v>
      </c>
      <c r="C32" s="822" t="s">
        <v>59</v>
      </c>
      <c r="D32" s="403">
        <v>1771</v>
      </c>
      <c r="E32" s="101">
        <v>185</v>
      </c>
      <c r="F32" s="101">
        <v>1770</v>
      </c>
      <c r="G32" s="101">
        <v>185</v>
      </c>
      <c r="H32" s="102">
        <f t="shared" si="2"/>
        <v>3541</v>
      </c>
      <c r="I32" s="102">
        <f t="shared" si="2"/>
        <v>370</v>
      </c>
      <c r="J32" s="401">
        <f t="shared" si="3"/>
        <v>3911</v>
      </c>
      <c r="K32" s="453">
        <v>880</v>
      </c>
      <c r="L32" s="453">
        <v>1760</v>
      </c>
      <c r="M32" s="487">
        <v>2640</v>
      </c>
      <c r="N32" s="401">
        <f t="shared" si="4"/>
        <v>5280</v>
      </c>
      <c r="P32" s="100"/>
    </row>
    <row r="33" spans="1:16" x14ac:dyDescent="0.25">
      <c r="A33" s="761">
        <v>23</v>
      </c>
      <c r="B33" s="323" t="s">
        <v>60</v>
      </c>
      <c r="C33" s="821" t="s">
        <v>61</v>
      </c>
      <c r="D33" s="403"/>
      <c r="E33" s="101"/>
      <c r="F33" s="101"/>
      <c r="G33" s="101"/>
      <c r="H33" s="102"/>
      <c r="I33" s="102"/>
      <c r="J33" s="401"/>
      <c r="K33" s="453"/>
      <c r="L33" s="453"/>
      <c r="M33" s="487"/>
      <c r="N33" s="401"/>
      <c r="P33" s="100"/>
    </row>
    <row r="34" spans="1:16" x14ac:dyDescent="0.25">
      <c r="A34" s="761">
        <v>24</v>
      </c>
      <c r="B34" s="323" t="s">
        <v>62</v>
      </c>
      <c r="C34" s="821" t="s">
        <v>63</v>
      </c>
      <c r="D34" s="403"/>
      <c r="E34" s="101"/>
      <c r="F34" s="101"/>
      <c r="G34" s="101"/>
      <c r="H34" s="102"/>
      <c r="I34" s="102"/>
      <c r="J34" s="401"/>
      <c r="K34" s="453"/>
      <c r="L34" s="453"/>
      <c r="M34" s="487"/>
      <c r="N34" s="401"/>
      <c r="P34" s="100"/>
    </row>
    <row r="35" spans="1:16" ht="24" x14ac:dyDescent="0.25">
      <c r="A35" s="761">
        <v>25</v>
      </c>
      <c r="B35" s="323" t="s">
        <v>64</v>
      </c>
      <c r="C35" s="821" t="s">
        <v>65</v>
      </c>
      <c r="D35" s="403"/>
      <c r="E35" s="101"/>
      <c r="F35" s="101"/>
      <c r="G35" s="101"/>
      <c r="H35" s="102"/>
      <c r="I35" s="102"/>
      <c r="J35" s="401"/>
      <c r="K35" s="453"/>
      <c r="L35" s="453"/>
      <c r="M35" s="487"/>
      <c r="N35" s="401"/>
      <c r="P35" s="100"/>
    </row>
    <row r="36" spans="1:16" x14ac:dyDescent="0.25">
      <c r="A36" s="761">
        <v>26</v>
      </c>
      <c r="B36" s="322" t="s">
        <v>66</v>
      </c>
      <c r="C36" s="324" t="s">
        <v>67</v>
      </c>
      <c r="D36" s="403">
        <f>0+625+18</f>
        <v>643</v>
      </c>
      <c r="E36" s="101">
        <f>0+123-63</f>
        <v>60</v>
      </c>
      <c r="F36" s="101">
        <f>0+3747</f>
        <v>3747</v>
      </c>
      <c r="G36" s="993">
        <f>0+454-113</f>
        <v>341</v>
      </c>
      <c r="H36" s="102">
        <f t="shared" si="2"/>
        <v>4390</v>
      </c>
      <c r="I36" s="102">
        <f t="shared" si="2"/>
        <v>401</v>
      </c>
      <c r="J36" s="401">
        <f t="shared" si="3"/>
        <v>4791</v>
      </c>
      <c r="K36" s="453">
        <v>1650</v>
      </c>
      <c r="L36" s="453">
        <f>3300-725+275-387</f>
        <v>2463</v>
      </c>
      <c r="M36" s="487">
        <f>4125-1650+1650-825</f>
        <v>3300</v>
      </c>
      <c r="N36" s="401">
        <f t="shared" si="4"/>
        <v>7413</v>
      </c>
      <c r="P36" s="100"/>
    </row>
    <row r="37" spans="1:16" x14ac:dyDescent="0.25">
      <c r="A37" s="761">
        <v>27</v>
      </c>
      <c r="B37" s="323" t="s">
        <v>68</v>
      </c>
      <c r="C37" s="821" t="s">
        <v>69</v>
      </c>
      <c r="D37" s="403">
        <f>3748-625-18</f>
        <v>3105</v>
      </c>
      <c r="E37" s="101">
        <f>848-107-123+63</f>
        <v>681</v>
      </c>
      <c r="F37" s="101"/>
      <c r="G37" s="993"/>
      <c r="H37" s="102">
        <f t="shared" si="2"/>
        <v>3105</v>
      </c>
      <c r="I37" s="102">
        <f t="shared" si="2"/>
        <v>681</v>
      </c>
      <c r="J37" s="401">
        <f t="shared" si="3"/>
        <v>3786</v>
      </c>
      <c r="K37" s="453">
        <v>550</v>
      </c>
      <c r="L37" s="453">
        <f>1100-275+387</f>
        <v>1212</v>
      </c>
      <c r="M37" s="487">
        <f>1650-1650</f>
        <v>0</v>
      </c>
      <c r="N37" s="401">
        <f t="shared" si="4"/>
        <v>1762</v>
      </c>
      <c r="P37" s="100"/>
    </row>
    <row r="38" spans="1:16" x14ac:dyDescent="0.25">
      <c r="A38" s="761">
        <v>28</v>
      </c>
      <c r="B38" s="323" t="s">
        <v>70</v>
      </c>
      <c r="C38" s="821" t="s">
        <v>71</v>
      </c>
      <c r="D38" s="403"/>
      <c r="E38" s="101"/>
      <c r="F38" s="101"/>
      <c r="G38" s="993">
        <f>0+213</f>
        <v>213</v>
      </c>
      <c r="H38" s="102"/>
      <c r="I38" s="102">
        <f t="shared" ref="I38" si="5">E38+G38</f>
        <v>213</v>
      </c>
      <c r="J38" s="401">
        <f t="shared" ref="J38" si="6">H38+I38</f>
        <v>213</v>
      </c>
      <c r="K38" s="453">
        <v>165</v>
      </c>
      <c r="L38" s="453">
        <v>110</v>
      </c>
      <c r="M38" s="487">
        <f>165+250</f>
        <v>415</v>
      </c>
      <c r="N38" s="401">
        <f t="shared" si="4"/>
        <v>690</v>
      </c>
      <c r="P38" s="100"/>
    </row>
    <row r="39" spans="1:16" x14ac:dyDescent="0.25">
      <c r="A39" s="761">
        <v>29</v>
      </c>
      <c r="B39" s="322" t="s">
        <v>72</v>
      </c>
      <c r="C39" s="822" t="s">
        <v>73</v>
      </c>
      <c r="D39" s="403"/>
      <c r="E39" s="101"/>
      <c r="F39" s="101"/>
      <c r="G39" s="993"/>
      <c r="H39" s="102"/>
      <c r="I39" s="102"/>
      <c r="J39" s="401"/>
      <c r="K39" s="453"/>
      <c r="L39" s="453"/>
      <c r="M39" s="487"/>
      <c r="N39" s="401"/>
      <c r="P39" s="100"/>
    </row>
    <row r="40" spans="1:16" ht="24" x14ac:dyDescent="0.25">
      <c r="A40" s="761">
        <v>30</v>
      </c>
      <c r="B40" s="322" t="s">
        <v>74</v>
      </c>
      <c r="C40" s="324" t="s">
        <v>377</v>
      </c>
      <c r="D40" s="403"/>
      <c r="E40" s="101"/>
      <c r="F40" s="101"/>
      <c r="G40" s="993"/>
      <c r="H40" s="102"/>
      <c r="I40" s="102"/>
      <c r="J40" s="401"/>
      <c r="K40" s="453"/>
      <c r="L40" s="453"/>
      <c r="M40" s="487"/>
      <c r="N40" s="401"/>
      <c r="P40" s="100"/>
    </row>
    <row r="41" spans="1:16" ht="23.25" customHeight="1" x14ac:dyDescent="0.25">
      <c r="A41" s="761">
        <v>31</v>
      </c>
      <c r="B41" s="322" t="s">
        <v>75</v>
      </c>
      <c r="C41" s="822" t="s">
        <v>76</v>
      </c>
      <c r="D41" s="403"/>
      <c r="E41" s="101"/>
      <c r="F41" s="101"/>
      <c r="G41" s="993"/>
      <c r="H41" s="102"/>
      <c r="I41" s="102"/>
      <c r="J41" s="401"/>
      <c r="K41" s="453"/>
      <c r="L41" s="453"/>
      <c r="M41" s="487"/>
      <c r="N41" s="401"/>
      <c r="P41" s="100"/>
    </row>
    <row r="42" spans="1:16" x14ac:dyDescent="0.25">
      <c r="A42" s="761">
        <v>32</v>
      </c>
      <c r="B42" s="323" t="s">
        <v>77</v>
      </c>
      <c r="C42" s="821" t="s">
        <v>78</v>
      </c>
      <c r="D42" s="403">
        <v>1876</v>
      </c>
      <c r="E42" s="101">
        <v>342</v>
      </c>
      <c r="F42" s="101">
        <v>1876</v>
      </c>
      <c r="G42" s="993">
        <v>342</v>
      </c>
      <c r="H42" s="102">
        <f t="shared" si="2"/>
        <v>3752</v>
      </c>
      <c r="I42" s="102">
        <f t="shared" si="2"/>
        <v>684</v>
      </c>
      <c r="J42" s="401">
        <f t="shared" si="3"/>
        <v>4436</v>
      </c>
      <c r="K42" s="453">
        <v>880</v>
      </c>
      <c r="L42" s="453">
        <v>1760</v>
      </c>
      <c r="M42" s="487">
        <v>2640</v>
      </c>
      <c r="N42" s="401">
        <f t="shared" si="4"/>
        <v>5280</v>
      </c>
      <c r="P42" s="100"/>
    </row>
    <row r="43" spans="1:16" x14ac:dyDescent="0.25">
      <c r="A43" s="761">
        <v>33</v>
      </c>
      <c r="B43" s="322" t="s">
        <v>79</v>
      </c>
      <c r="C43" s="822" t="s">
        <v>80</v>
      </c>
      <c r="D43" s="403">
        <v>1307</v>
      </c>
      <c r="E43" s="101">
        <v>422</v>
      </c>
      <c r="F43" s="101">
        <v>1307</v>
      </c>
      <c r="G43" s="993">
        <f>421-50</f>
        <v>371</v>
      </c>
      <c r="H43" s="102">
        <f t="shared" si="2"/>
        <v>2614</v>
      </c>
      <c r="I43" s="102">
        <f t="shared" si="2"/>
        <v>793</v>
      </c>
      <c r="J43" s="401">
        <f t="shared" si="3"/>
        <v>3407</v>
      </c>
      <c r="K43" s="453">
        <v>1155</v>
      </c>
      <c r="L43" s="453">
        <v>2200</v>
      </c>
      <c r="M43" s="487">
        <f>3300-825</f>
        <v>2475</v>
      </c>
      <c r="N43" s="401">
        <f t="shared" si="4"/>
        <v>5830</v>
      </c>
      <c r="P43" s="100"/>
    </row>
    <row r="44" spans="1:16" x14ac:dyDescent="0.25">
      <c r="A44" s="761">
        <v>34</v>
      </c>
      <c r="B44" s="483" t="s">
        <v>81</v>
      </c>
      <c r="C44" s="324" t="s">
        <v>82</v>
      </c>
      <c r="D44" s="403">
        <v>823</v>
      </c>
      <c r="E44" s="101">
        <v>78</v>
      </c>
      <c r="F44" s="101">
        <v>823</v>
      </c>
      <c r="G44" s="993">
        <v>77</v>
      </c>
      <c r="H44" s="102">
        <f t="shared" si="2"/>
        <v>1646</v>
      </c>
      <c r="I44" s="102">
        <f t="shared" si="2"/>
        <v>155</v>
      </c>
      <c r="J44" s="401">
        <f t="shared" si="3"/>
        <v>1801</v>
      </c>
      <c r="K44" s="453">
        <v>550</v>
      </c>
      <c r="L44" s="453">
        <v>1100</v>
      </c>
      <c r="M44" s="487">
        <v>1650</v>
      </c>
      <c r="N44" s="401">
        <f t="shared" si="4"/>
        <v>3300</v>
      </c>
      <c r="P44" s="100"/>
    </row>
    <row r="45" spans="1:16" x14ac:dyDescent="0.25">
      <c r="A45" s="761">
        <v>35</v>
      </c>
      <c r="B45" s="322" t="s">
        <v>83</v>
      </c>
      <c r="C45" s="822" t="s">
        <v>84</v>
      </c>
      <c r="D45" s="403">
        <v>1379</v>
      </c>
      <c r="E45" s="101">
        <v>256</v>
      </c>
      <c r="F45" s="101">
        <v>1379</v>
      </c>
      <c r="G45" s="993">
        <f>256-50</f>
        <v>206</v>
      </c>
      <c r="H45" s="102">
        <f t="shared" si="2"/>
        <v>2758</v>
      </c>
      <c r="I45" s="102">
        <f t="shared" si="2"/>
        <v>462</v>
      </c>
      <c r="J45" s="401">
        <f t="shared" si="3"/>
        <v>3220</v>
      </c>
      <c r="K45" s="453">
        <v>825</v>
      </c>
      <c r="L45" s="453">
        <v>1650</v>
      </c>
      <c r="M45" s="487">
        <v>2475</v>
      </c>
      <c r="N45" s="401">
        <f t="shared" si="4"/>
        <v>4950</v>
      </c>
      <c r="P45" s="100"/>
    </row>
    <row r="46" spans="1:16" x14ac:dyDescent="0.25">
      <c r="A46" s="761">
        <v>36</v>
      </c>
      <c r="B46" s="322" t="s">
        <v>85</v>
      </c>
      <c r="C46" s="822" t="s">
        <v>86</v>
      </c>
      <c r="D46" s="403"/>
      <c r="E46" s="101"/>
      <c r="F46" s="101"/>
      <c r="G46" s="101"/>
      <c r="H46" s="102"/>
      <c r="I46" s="102"/>
      <c r="J46" s="401"/>
      <c r="K46" s="453">
        <v>550</v>
      </c>
      <c r="L46" s="453">
        <v>1100</v>
      </c>
      <c r="M46" s="487">
        <v>1650</v>
      </c>
      <c r="N46" s="401">
        <f t="shared" si="4"/>
        <v>3300</v>
      </c>
      <c r="P46" s="100"/>
    </row>
    <row r="47" spans="1:16" x14ac:dyDescent="0.25">
      <c r="A47" s="761">
        <v>37</v>
      </c>
      <c r="B47" s="323" t="s">
        <v>87</v>
      </c>
      <c r="C47" s="821" t="s">
        <v>88</v>
      </c>
      <c r="D47" s="403">
        <v>1617</v>
      </c>
      <c r="E47" s="101">
        <v>296</v>
      </c>
      <c r="F47" s="101">
        <v>1617</v>
      </c>
      <c r="G47" s="101">
        <v>295</v>
      </c>
      <c r="H47" s="102">
        <f t="shared" si="2"/>
        <v>3234</v>
      </c>
      <c r="I47" s="102">
        <f t="shared" si="2"/>
        <v>591</v>
      </c>
      <c r="J47" s="401">
        <f t="shared" si="3"/>
        <v>3825</v>
      </c>
      <c r="K47" s="453">
        <v>825</v>
      </c>
      <c r="L47" s="453">
        <v>1650</v>
      </c>
      <c r="M47" s="487">
        <f>2475-825</f>
        <v>1650</v>
      </c>
      <c r="N47" s="401">
        <f t="shared" si="4"/>
        <v>4125</v>
      </c>
      <c r="P47" s="100"/>
    </row>
    <row r="48" spans="1:16" ht="13.5" customHeight="1" x14ac:dyDescent="0.25">
      <c r="A48" s="761">
        <v>38</v>
      </c>
      <c r="B48" s="322" t="s">
        <v>89</v>
      </c>
      <c r="C48" s="822" t="s">
        <v>90</v>
      </c>
      <c r="D48" s="403"/>
      <c r="E48" s="101"/>
      <c r="F48" s="101"/>
      <c r="G48" s="101"/>
      <c r="H48" s="102"/>
      <c r="I48" s="102"/>
      <c r="J48" s="401"/>
      <c r="K48" s="453">
        <v>550</v>
      </c>
      <c r="L48" s="453">
        <v>1100</v>
      </c>
      <c r="M48" s="487">
        <v>1650</v>
      </c>
      <c r="N48" s="401">
        <f t="shared" si="4"/>
        <v>3300</v>
      </c>
      <c r="P48" s="100"/>
    </row>
    <row r="49" spans="1:16" x14ac:dyDescent="0.25">
      <c r="A49" s="761">
        <v>39</v>
      </c>
      <c r="B49" s="322" t="s">
        <v>91</v>
      </c>
      <c r="C49" s="822" t="s">
        <v>92</v>
      </c>
      <c r="D49" s="403">
        <v>727</v>
      </c>
      <c r="E49" s="101">
        <v>45</v>
      </c>
      <c r="F49" s="101">
        <v>726</v>
      </c>
      <c r="G49" s="101">
        <v>45</v>
      </c>
      <c r="H49" s="102">
        <f t="shared" si="2"/>
        <v>1453</v>
      </c>
      <c r="I49" s="102">
        <f t="shared" si="2"/>
        <v>90</v>
      </c>
      <c r="J49" s="401">
        <f t="shared" si="3"/>
        <v>1543</v>
      </c>
      <c r="K49" s="453">
        <v>550</v>
      </c>
      <c r="L49" s="453">
        <v>1100</v>
      </c>
      <c r="M49" s="487">
        <v>1650</v>
      </c>
      <c r="N49" s="401">
        <f t="shared" si="4"/>
        <v>3300</v>
      </c>
      <c r="P49" s="100"/>
    </row>
    <row r="50" spans="1:16" x14ac:dyDescent="0.25">
      <c r="A50" s="761">
        <v>40</v>
      </c>
      <c r="B50" s="97" t="s">
        <v>93</v>
      </c>
      <c r="C50" s="694" t="s">
        <v>94</v>
      </c>
      <c r="D50" s="403"/>
      <c r="E50" s="101"/>
      <c r="F50" s="101"/>
      <c r="G50" s="101"/>
      <c r="H50" s="102"/>
      <c r="I50" s="102"/>
      <c r="J50" s="401"/>
      <c r="K50" s="453">
        <v>550</v>
      </c>
      <c r="L50" s="453">
        <v>1100</v>
      </c>
      <c r="M50" s="487">
        <f>1650+240</f>
        <v>1890</v>
      </c>
      <c r="N50" s="401">
        <f t="shared" si="4"/>
        <v>3540</v>
      </c>
      <c r="P50" s="100"/>
    </row>
    <row r="51" spans="1:16" x14ac:dyDescent="0.25">
      <c r="A51" s="761">
        <v>41</v>
      </c>
      <c r="B51" s="322" t="s">
        <v>95</v>
      </c>
      <c r="C51" s="822" t="s">
        <v>96</v>
      </c>
      <c r="D51" s="403"/>
      <c r="E51" s="101"/>
      <c r="F51" s="101"/>
      <c r="G51" s="101"/>
      <c r="H51" s="102"/>
      <c r="I51" s="102"/>
      <c r="J51" s="401"/>
      <c r="K51" s="453">
        <v>550</v>
      </c>
      <c r="L51" s="453">
        <v>1100</v>
      </c>
      <c r="M51" s="487">
        <v>1650</v>
      </c>
      <c r="N51" s="401">
        <f t="shared" si="4"/>
        <v>3300</v>
      </c>
      <c r="P51" s="100"/>
    </row>
    <row r="52" spans="1:16" x14ac:dyDescent="0.25">
      <c r="A52" s="761">
        <v>42</v>
      </c>
      <c r="B52" s="483" t="s">
        <v>97</v>
      </c>
      <c r="C52" s="324" t="s">
        <v>98</v>
      </c>
      <c r="D52" s="403"/>
      <c r="E52" s="101"/>
      <c r="F52" s="101"/>
      <c r="G52" s="101"/>
      <c r="H52" s="102"/>
      <c r="I52" s="102"/>
      <c r="J52" s="401"/>
      <c r="K52" s="453"/>
      <c r="L52" s="453"/>
      <c r="M52" s="487"/>
      <c r="N52" s="401"/>
      <c r="P52" s="100"/>
    </row>
    <row r="53" spans="1:16" x14ac:dyDescent="0.25">
      <c r="A53" s="761">
        <v>43</v>
      </c>
      <c r="B53" s="323" t="s">
        <v>99</v>
      </c>
      <c r="C53" s="821" t="s">
        <v>100</v>
      </c>
      <c r="D53" s="403">
        <v>2118</v>
      </c>
      <c r="E53" s="101">
        <v>353</v>
      </c>
      <c r="F53" s="101">
        <v>2117</v>
      </c>
      <c r="G53" s="101">
        <v>352</v>
      </c>
      <c r="H53" s="102">
        <f t="shared" si="2"/>
        <v>4235</v>
      </c>
      <c r="I53" s="102">
        <f t="shared" si="2"/>
        <v>705</v>
      </c>
      <c r="J53" s="401">
        <f t="shared" si="3"/>
        <v>4940</v>
      </c>
      <c r="K53" s="453">
        <v>880</v>
      </c>
      <c r="L53" s="453">
        <v>1760</v>
      </c>
      <c r="M53" s="487">
        <v>2640</v>
      </c>
      <c r="N53" s="401">
        <f t="shared" si="4"/>
        <v>5280</v>
      </c>
      <c r="P53" s="100"/>
    </row>
    <row r="54" spans="1:16" x14ac:dyDescent="0.25">
      <c r="A54" s="761">
        <v>44</v>
      </c>
      <c r="B54" s="322" t="s">
        <v>101</v>
      </c>
      <c r="C54" s="822" t="s">
        <v>102</v>
      </c>
      <c r="D54" s="403">
        <v>874</v>
      </c>
      <c r="E54" s="101">
        <v>144</v>
      </c>
      <c r="F54" s="101">
        <v>873</v>
      </c>
      <c r="G54" s="101">
        <v>144</v>
      </c>
      <c r="H54" s="102">
        <f t="shared" si="2"/>
        <v>1747</v>
      </c>
      <c r="I54" s="102">
        <f t="shared" si="2"/>
        <v>288</v>
      </c>
      <c r="J54" s="401">
        <f t="shared" si="3"/>
        <v>2035</v>
      </c>
      <c r="K54" s="453">
        <v>550</v>
      </c>
      <c r="L54" s="453">
        <v>1100</v>
      </c>
      <c r="M54" s="487">
        <v>1650</v>
      </c>
      <c r="N54" s="401">
        <f t="shared" si="4"/>
        <v>3300</v>
      </c>
      <c r="P54" s="100"/>
    </row>
    <row r="55" spans="1:16" x14ac:dyDescent="0.25">
      <c r="A55" s="761">
        <v>45</v>
      </c>
      <c r="B55" s="323" t="s">
        <v>103</v>
      </c>
      <c r="C55" s="821" t="s">
        <v>104</v>
      </c>
      <c r="D55" s="403">
        <v>2385</v>
      </c>
      <c r="E55" s="101">
        <v>339</v>
      </c>
      <c r="F55" s="101">
        <v>2384</v>
      </c>
      <c r="G55" s="101">
        <v>339</v>
      </c>
      <c r="H55" s="102">
        <f t="shared" si="2"/>
        <v>4769</v>
      </c>
      <c r="I55" s="102">
        <f t="shared" si="2"/>
        <v>678</v>
      </c>
      <c r="J55" s="401">
        <f t="shared" si="3"/>
        <v>5447</v>
      </c>
      <c r="K55" s="453">
        <v>1100</v>
      </c>
      <c r="L55" s="453">
        <v>2200</v>
      </c>
      <c r="M55" s="487">
        <f>3300</f>
        <v>3300</v>
      </c>
      <c r="N55" s="401">
        <f t="shared" si="4"/>
        <v>6600</v>
      </c>
      <c r="P55" s="100"/>
    </row>
    <row r="56" spans="1:16" x14ac:dyDescent="0.25">
      <c r="A56" s="761">
        <v>46</v>
      </c>
      <c r="B56" s="322" t="s">
        <v>105</v>
      </c>
      <c r="C56" s="822" t="s">
        <v>106</v>
      </c>
      <c r="D56" s="403"/>
      <c r="E56" s="101"/>
      <c r="F56" s="101"/>
      <c r="G56" s="101"/>
      <c r="H56" s="102"/>
      <c r="I56" s="102"/>
      <c r="J56" s="401"/>
      <c r="K56" s="453">
        <v>550</v>
      </c>
      <c r="L56" s="453">
        <v>1100</v>
      </c>
      <c r="M56" s="487">
        <v>1650</v>
      </c>
      <c r="N56" s="401">
        <f t="shared" si="4"/>
        <v>3300</v>
      </c>
      <c r="P56" s="100"/>
    </row>
    <row r="57" spans="1:16" x14ac:dyDescent="0.25">
      <c r="A57" s="761">
        <v>47</v>
      </c>
      <c r="B57" s="322" t="s">
        <v>107</v>
      </c>
      <c r="C57" s="822" t="s">
        <v>108</v>
      </c>
      <c r="D57" s="403"/>
      <c r="E57" s="101"/>
      <c r="F57" s="101"/>
      <c r="G57" s="101"/>
      <c r="H57" s="102"/>
      <c r="I57" s="102"/>
      <c r="J57" s="401"/>
      <c r="K57" s="453">
        <v>550</v>
      </c>
      <c r="L57" s="453">
        <v>1100</v>
      </c>
      <c r="M57" s="487">
        <v>1650</v>
      </c>
      <c r="N57" s="401">
        <f t="shared" si="4"/>
        <v>3300</v>
      </c>
      <c r="P57" s="100"/>
    </row>
    <row r="58" spans="1:16" x14ac:dyDescent="0.25">
      <c r="A58" s="761">
        <v>48</v>
      </c>
      <c r="B58" s="323" t="s">
        <v>109</v>
      </c>
      <c r="C58" s="821" t="s">
        <v>110</v>
      </c>
      <c r="D58" s="403">
        <v>930</v>
      </c>
      <c r="E58" s="101">
        <v>236</v>
      </c>
      <c r="F58" s="101">
        <v>929</v>
      </c>
      <c r="G58" s="101">
        <v>236</v>
      </c>
      <c r="H58" s="102">
        <f t="shared" si="2"/>
        <v>1859</v>
      </c>
      <c r="I58" s="102">
        <f t="shared" si="2"/>
        <v>472</v>
      </c>
      <c r="J58" s="401">
        <f t="shared" si="3"/>
        <v>2331</v>
      </c>
      <c r="K58" s="453">
        <v>550</v>
      </c>
      <c r="L58" s="453">
        <v>1100</v>
      </c>
      <c r="M58" s="487">
        <f>1650-240</f>
        <v>1410</v>
      </c>
      <c r="N58" s="401">
        <f t="shared" si="4"/>
        <v>3060</v>
      </c>
      <c r="P58" s="100"/>
    </row>
    <row r="59" spans="1:16" ht="12" customHeight="1" x14ac:dyDescent="0.25">
      <c r="A59" s="761">
        <v>49</v>
      </c>
      <c r="B59" s="323" t="s">
        <v>111</v>
      </c>
      <c r="C59" s="821" t="s">
        <v>112</v>
      </c>
      <c r="D59" s="403">
        <v>574</v>
      </c>
      <c r="E59" s="101"/>
      <c r="F59" s="101">
        <v>573</v>
      </c>
      <c r="G59" s="101"/>
      <c r="H59" s="102">
        <f t="shared" si="2"/>
        <v>1147</v>
      </c>
      <c r="I59" s="102"/>
      <c r="J59" s="401">
        <f t="shared" si="3"/>
        <v>1147</v>
      </c>
      <c r="K59" s="453">
        <v>550</v>
      </c>
      <c r="L59" s="453">
        <v>1100</v>
      </c>
      <c r="M59" s="487">
        <f>1650</f>
        <v>1650</v>
      </c>
      <c r="N59" s="401">
        <f t="shared" si="4"/>
        <v>3300</v>
      </c>
      <c r="P59" s="100"/>
    </row>
    <row r="60" spans="1:16" x14ac:dyDescent="0.25">
      <c r="A60" s="761">
        <v>50</v>
      </c>
      <c r="B60" s="322" t="s">
        <v>113</v>
      </c>
      <c r="C60" s="822" t="s">
        <v>114</v>
      </c>
      <c r="D60" s="403">
        <v>910</v>
      </c>
      <c r="E60" s="101">
        <v>61</v>
      </c>
      <c r="F60" s="101">
        <v>909</v>
      </c>
      <c r="G60" s="101">
        <v>60</v>
      </c>
      <c r="H60" s="102">
        <f t="shared" si="2"/>
        <v>1819</v>
      </c>
      <c r="I60" s="102">
        <f t="shared" si="2"/>
        <v>121</v>
      </c>
      <c r="J60" s="401">
        <f t="shared" si="3"/>
        <v>1940</v>
      </c>
      <c r="K60" s="453">
        <v>550</v>
      </c>
      <c r="L60" s="453">
        <v>1100</v>
      </c>
      <c r="M60" s="487">
        <f>1650</f>
        <v>1650</v>
      </c>
      <c r="N60" s="401">
        <f t="shared" si="4"/>
        <v>3300</v>
      </c>
      <c r="P60" s="100"/>
    </row>
    <row r="61" spans="1:16" x14ac:dyDescent="0.25">
      <c r="A61" s="761">
        <v>51</v>
      </c>
      <c r="B61" s="323" t="s">
        <v>115</v>
      </c>
      <c r="C61" s="821" t="s">
        <v>116</v>
      </c>
      <c r="D61" s="403">
        <v>975</v>
      </c>
      <c r="E61" s="101"/>
      <c r="F61" s="101">
        <v>975</v>
      </c>
      <c r="G61" s="101"/>
      <c r="H61" s="102">
        <f t="shared" si="2"/>
        <v>1950</v>
      </c>
      <c r="I61" s="102"/>
      <c r="J61" s="401">
        <f t="shared" si="3"/>
        <v>1950</v>
      </c>
      <c r="K61" s="453">
        <v>550</v>
      </c>
      <c r="L61" s="453">
        <v>1100</v>
      </c>
      <c r="M61" s="487">
        <v>1650</v>
      </c>
      <c r="N61" s="401">
        <f t="shared" si="4"/>
        <v>3300</v>
      </c>
      <c r="P61" s="100"/>
    </row>
    <row r="62" spans="1:16" x14ac:dyDescent="0.25">
      <c r="A62" s="761">
        <v>52</v>
      </c>
      <c r="B62" s="322" t="s">
        <v>117</v>
      </c>
      <c r="C62" s="822" t="s">
        <v>118</v>
      </c>
      <c r="D62" s="403">
        <v>1687</v>
      </c>
      <c r="E62" s="101">
        <f>450-43</f>
        <v>407</v>
      </c>
      <c r="F62" s="101">
        <v>1686</v>
      </c>
      <c r="G62" s="101">
        <f>450-157</f>
        <v>293</v>
      </c>
      <c r="H62" s="102">
        <f t="shared" si="2"/>
        <v>3373</v>
      </c>
      <c r="I62" s="102">
        <f t="shared" si="2"/>
        <v>700</v>
      </c>
      <c r="J62" s="401">
        <f t="shared" si="3"/>
        <v>4073</v>
      </c>
      <c r="K62" s="453">
        <v>1100</v>
      </c>
      <c r="L62" s="453">
        <f>2200-1187</f>
        <v>1013</v>
      </c>
      <c r="M62" s="487">
        <f>2475+825</f>
        <v>3300</v>
      </c>
      <c r="N62" s="401">
        <f t="shared" si="4"/>
        <v>5413</v>
      </c>
      <c r="P62" s="100"/>
    </row>
    <row r="63" spans="1:16" x14ac:dyDescent="0.25">
      <c r="A63" s="761">
        <v>53</v>
      </c>
      <c r="B63" s="323" t="s">
        <v>119</v>
      </c>
      <c r="C63" s="821" t="s">
        <v>120</v>
      </c>
      <c r="D63" s="403">
        <v>765</v>
      </c>
      <c r="E63" s="101"/>
      <c r="F63" s="101">
        <v>764</v>
      </c>
      <c r="G63" s="101"/>
      <c r="H63" s="102">
        <f t="shared" si="2"/>
        <v>1529</v>
      </c>
      <c r="I63" s="102"/>
      <c r="J63" s="401">
        <f t="shared" si="3"/>
        <v>1529</v>
      </c>
      <c r="K63" s="453">
        <v>550</v>
      </c>
      <c r="L63" s="453">
        <v>1100</v>
      </c>
      <c r="M63" s="487">
        <v>1650</v>
      </c>
      <c r="N63" s="401">
        <f t="shared" si="4"/>
        <v>3300</v>
      </c>
      <c r="P63" s="100"/>
    </row>
    <row r="64" spans="1:16" x14ac:dyDescent="0.25">
      <c r="A64" s="761">
        <v>54</v>
      </c>
      <c r="B64" s="323" t="s">
        <v>121</v>
      </c>
      <c r="C64" s="821" t="s">
        <v>122</v>
      </c>
      <c r="D64" s="403"/>
      <c r="E64" s="101"/>
      <c r="F64" s="101"/>
      <c r="G64" s="101"/>
      <c r="H64" s="102"/>
      <c r="I64" s="102"/>
      <c r="J64" s="401"/>
      <c r="K64" s="453"/>
      <c r="L64" s="453"/>
      <c r="M64" s="487"/>
      <c r="N64" s="401"/>
      <c r="P64" s="100"/>
    </row>
    <row r="65" spans="1:16" x14ac:dyDescent="0.25">
      <c r="A65" s="761">
        <v>55</v>
      </c>
      <c r="B65" s="323" t="s">
        <v>123</v>
      </c>
      <c r="C65" s="821" t="s">
        <v>124</v>
      </c>
      <c r="D65" s="403"/>
      <c r="E65" s="101"/>
      <c r="F65" s="101"/>
      <c r="G65" s="101"/>
      <c r="H65" s="102"/>
      <c r="I65" s="102"/>
      <c r="J65" s="401"/>
      <c r="K65" s="453"/>
      <c r="L65" s="453"/>
      <c r="M65" s="487"/>
      <c r="N65" s="401"/>
      <c r="P65" s="100"/>
    </row>
    <row r="66" spans="1:16" x14ac:dyDescent="0.25">
      <c r="A66" s="761">
        <v>56</v>
      </c>
      <c r="B66" s="762" t="s">
        <v>125</v>
      </c>
      <c r="C66" s="327" t="s">
        <v>126</v>
      </c>
      <c r="D66" s="403"/>
      <c r="E66" s="101"/>
      <c r="F66" s="101"/>
      <c r="G66" s="101"/>
      <c r="H66" s="102"/>
      <c r="I66" s="102"/>
      <c r="J66" s="401"/>
      <c r="K66" s="453"/>
      <c r="L66" s="453"/>
      <c r="M66" s="487"/>
      <c r="N66" s="401"/>
      <c r="P66" s="100"/>
    </row>
    <row r="67" spans="1:16" ht="24" x14ac:dyDescent="0.25">
      <c r="A67" s="761">
        <v>57</v>
      </c>
      <c r="B67" s="323" t="s">
        <v>127</v>
      </c>
      <c r="C67" s="821" t="s">
        <v>128</v>
      </c>
      <c r="D67" s="403"/>
      <c r="E67" s="101"/>
      <c r="F67" s="101"/>
      <c r="G67" s="101"/>
      <c r="H67" s="102"/>
      <c r="I67" s="102"/>
      <c r="J67" s="401"/>
      <c r="K67" s="453"/>
      <c r="L67" s="453"/>
      <c r="M67" s="487"/>
      <c r="N67" s="401"/>
      <c r="P67" s="100"/>
    </row>
    <row r="68" spans="1:16" ht="24" x14ac:dyDescent="0.25">
      <c r="A68" s="761">
        <v>58</v>
      </c>
      <c r="B68" s="323" t="s">
        <v>129</v>
      </c>
      <c r="C68" s="821" t="s">
        <v>459</v>
      </c>
      <c r="D68" s="403"/>
      <c r="E68" s="101"/>
      <c r="F68" s="101"/>
      <c r="G68" s="101"/>
      <c r="H68" s="102"/>
      <c r="I68" s="102"/>
      <c r="J68" s="401"/>
      <c r="K68" s="453"/>
      <c r="L68" s="453"/>
      <c r="M68" s="487"/>
      <c r="N68" s="401"/>
      <c r="P68" s="100"/>
    </row>
    <row r="69" spans="1:16" ht="24" customHeight="1" x14ac:dyDescent="0.25">
      <c r="A69" s="761">
        <v>59</v>
      </c>
      <c r="B69" s="323" t="s">
        <v>131</v>
      </c>
      <c r="C69" s="821" t="s">
        <v>132</v>
      </c>
      <c r="D69" s="403"/>
      <c r="E69" s="101"/>
      <c r="F69" s="101"/>
      <c r="G69" s="101"/>
      <c r="H69" s="102"/>
      <c r="I69" s="102"/>
      <c r="J69" s="401"/>
      <c r="K69" s="453"/>
      <c r="L69" s="453"/>
      <c r="M69" s="487"/>
      <c r="N69" s="401"/>
      <c r="P69" s="100"/>
    </row>
    <row r="70" spans="1:16" ht="24" x14ac:dyDescent="0.25">
      <c r="A70" s="761">
        <v>60</v>
      </c>
      <c r="B70" s="322" t="s">
        <v>133</v>
      </c>
      <c r="C70" s="821" t="s">
        <v>299</v>
      </c>
      <c r="D70" s="403"/>
      <c r="E70" s="101">
        <f>288-90</f>
        <v>198</v>
      </c>
      <c r="F70" s="101"/>
      <c r="G70" s="101">
        <v>287</v>
      </c>
      <c r="H70" s="102"/>
      <c r="I70" s="102">
        <f t="shared" si="2"/>
        <v>485</v>
      </c>
      <c r="J70" s="401">
        <f t="shared" si="3"/>
        <v>485</v>
      </c>
      <c r="K70" s="453"/>
      <c r="L70" s="453"/>
      <c r="M70" s="487"/>
      <c r="N70" s="401"/>
      <c r="P70" s="100"/>
    </row>
    <row r="71" spans="1:16" ht="24" x14ac:dyDescent="0.25">
      <c r="A71" s="761">
        <v>61</v>
      </c>
      <c r="B71" s="483" t="s">
        <v>135</v>
      </c>
      <c r="C71" s="821" t="s">
        <v>461</v>
      </c>
      <c r="D71" s="403"/>
      <c r="E71" s="101"/>
      <c r="F71" s="101"/>
      <c r="G71" s="101"/>
      <c r="H71" s="102"/>
      <c r="I71" s="102"/>
      <c r="J71" s="401"/>
      <c r="K71" s="453"/>
      <c r="L71" s="453"/>
      <c r="M71" s="487"/>
      <c r="N71" s="401"/>
      <c r="P71" s="100"/>
    </row>
    <row r="72" spans="1:16" ht="24" x14ac:dyDescent="0.25">
      <c r="A72" s="761">
        <v>62</v>
      </c>
      <c r="B72" s="322" t="s">
        <v>137</v>
      </c>
      <c r="C72" s="821" t="s">
        <v>639</v>
      </c>
      <c r="D72" s="403"/>
      <c r="E72" s="101"/>
      <c r="F72" s="101"/>
      <c r="G72" s="101"/>
      <c r="H72" s="102"/>
      <c r="I72" s="102"/>
      <c r="J72" s="401"/>
      <c r="K72" s="453"/>
      <c r="L72" s="453"/>
      <c r="M72" s="487"/>
      <c r="N72" s="401"/>
      <c r="P72" s="100"/>
    </row>
    <row r="73" spans="1:16" ht="24" x14ac:dyDescent="0.25">
      <c r="A73" s="761">
        <v>63</v>
      </c>
      <c r="B73" s="323" t="s">
        <v>139</v>
      </c>
      <c r="C73" s="821" t="s">
        <v>640</v>
      </c>
      <c r="D73" s="403"/>
      <c r="E73" s="101"/>
      <c r="F73" s="101"/>
      <c r="G73" s="101"/>
      <c r="H73" s="102"/>
      <c r="I73" s="102"/>
      <c r="J73" s="401"/>
      <c r="K73" s="453"/>
      <c r="L73" s="453"/>
      <c r="M73" s="487"/>
      <c r="N73" s="401"/>
      <c r="P73" s="100"/>
    </row>
    <row r="74" spans="1:16" ht="12" customHeight="1" x14ac:dyDescent="0.25">
      <c r="A74" s="761">
        <v>64</v>
      </c>
      <c r="B74" s="322" t="s">
        <v>141</v>
      </c>
      <c r="C74" s="821" t="s">
        <v>456</v>
      </c>
      <c r="D74" s="403">
        <f>2783-47</f>
        <v>2736</v>
      </c>
      <c r="E74" s="101">
        <v>552</v>
      </c>
      <c r="F74" s="101">
        <f>2783-172</f>
        <v>2611</v>
      </c>
      <c r="G74" s="101">
        <f>0+314</f>
        <v>314</v>
      </c>
      <c r="H74" s="102">
        <f t="shared" si="2"/>
        <v>5347</v>
      </c>
      <c r="I74" s="102">
        <f t="shared" si="2"/>
        <v>866</v>
      </c>
      <c r="J74" s="401">
        <f t="shared" si="3"/>
        <v>6213</v>
      </c>
      <c r="K74" s="453"/>
      <c r="L74" s="453"/>
      <c r="M74" s="487"/>
      <c r="N74" s="401"/>
      <c r="P74" s="100"/>
    </row>
    <row r="75" spans="1:16" x14ac:dyDescent="0.25">
      <c r="A75" s="761">
        <v>65</v>
      </c>
      <c r="B75" s="322" t="s">
        <v>143</v>
      </c>
      <c r="C75" s="821" t="s">
        <v>144</v>
      </c>
      <c r="D75" s="403">
        <f>2191-29</f>
        <v>2162</v>
      </c>
      <c r="E75" s="101">
        <v>545</v>
      </c>
      <c r="F75" s="101">
        <f>2191-108</f>
        <v>2083</v>
      </c>
      <c r="G75" s="101">
        <f>0+440</f>
        <v>440</v>
      </c>
      <c r="H75" s="102">
        <f t="shared" si="2"/>
        <v>4245</v>
      </c>
      <c r="I75" s="102">
        <f t="shared" si="2"/>
        <v>985</v>
      </c>
      <c r="J75" s="401">
        <f t="shared" si="3"/>
        <v>5230</v>
      </c>
      <c r="K75" s="453"/>
      <c r="L75" s="453"/>
      <c r="M75" s="487"/>
      <c r="N75" s="401"/>
      <c r="P75" s="100"/>
    </row>
    <row r="76" spans="1:16" x14ac:dyDescent="0.25">
      <c r="A76" s="761">
        <v>66</v>
      </c>
      <c r="B76" s="322" t="s">
        <v>145</v>
      </c>
      <c r="C76" s="821" t="s">
        <v>457</v>
      </c>
      <c r="D76" s="403">
        <f>3429-67</f>
        <v>3362</v>
      </c>
      <c r="E76" s="101"/>
      <c r="F76" s="101">
        <f>3427-245</f>
        <v>3182</v>
      </c>
      <c r="G76" s="101"/>
      <c r="H76" s="102">
        <f t="shared" ref="H76:I139" si="7">D76+F76</f>
        <v>6544</v>
      </c>
      <c r="I76" s="102"/>
      <c r="J76" s="401">
        <f t="shared" ref="J76:J139" si="8">H76+I76</f>
        <v>6544</v>
      </c>
      <c r="K76" s="453"/>
      <c r="L76" s="453"/>
      <c r="M76" s="487"/>
      <c r="N76" s="401"/>
      <c r="P76" s="100"/>
    </row>
    <row r="77" spans="1:16" ht="24" x14ac:dyDescent="0.25">
      <c r="A77" s="761">
        <v>67</v>
      </c>
      <c r="B77" s="322" t="s">
        <v>147</v>
      </c>
      <c r="C77" s="821" t="s">
        <v>641</v>
      </c>
      <c r="D77" s="403"/>
      <c r="E77" s="101"/>
      <c r="F77" s="101"/>
      <c r="G77" s="101"/>
      <c r="H77" s="102"/>
      <c r="I77" s="102"/>
      <c r="J77" s="401"/>
      <c r="K77" s="453"/>
      <c r="L77" s="453"/>
      <c r="M77" s="487"/>
      <c r="N77" s="401"/>
      <c r="P77" s="100"/>
    </row>
    <row r="78" spans="1:16" ht="24" x14ac:dyDescent="0.25">
      <c r="A78" s="761">
        <v>68</v>
      </c>
      <c r="B78" s="322" t="s">
        <v>149</v>
      </c>
      <c r="C78" s="821" t="s">
        <v>463</v>
      </c>
      <c r="D78" s="403"/>
      <c r="E78" s="101"/>
      <c r="F78" s="101"/>
      <c r="G78" s="101"/>
      <c r="H78" s="102"/>
      <c r="I78" s="102"/>
      <c r="J78" s="401"/>
      <c r="K78" s="453"/>
      <c r="L78" s="453"/>
      <c r="M78" s="487"/>
      <c r="N78" s="401"/>
      <c r="P78" s="100"/>
    </row>
    <row r="79" spans="1:16" ht="24" x14ac:dyDescent="0.25">
      <c r="A79" s="761">
        <v>69</v>
      </c>
      <c r="B79" s="322" t="s">
        <v>151</v>
      </c>
      <c r="C79" s="821" t="s">
        <v>642</v>
      </c>
      <c r="D79" s="403"/>
      <c r="E79" s="101"/>
      <c r="F79" s="101"/>
      <c r="G79" s="101"/>
      <c r="H79" s="102"/>
      <c r="I79" s="102"/>
      <c r="J79" s="401"/>
      <c r="K79" s="453"/>
      <c r="L79" s="453"/>
      <c r="M79" s="487"/>
      <c r="N79" s="401"/>
      <c r="P79" s="100"/>
    </row>
    <row r="80" spans="1:16" ht="24" x14ac:dyDescent="0.25">
      <c r="A80" s="761">
        <v>70</v>
      </c>
      <c r="B80" s="322" t="s">
        <v>153</v>
      </c>
      <c r="C80" s="821" t="s">
        <v>643</v>
      </c>
      <c r="D80" s="403"/>
      <c r="E80" s="101"/>
      <c r="F80" s="101"/>
      <c r="G80" s="101"/>
      <c r="H80" s="102"/>
      <c r="I80" s="102"/>
      <c r="J80" s="401"/>
      <c r="K80" s="453"/>
      <c r="L80" s="453"/>
      <c r="M80" s="487"/>
      <c r="N80" s="401"/>
      <c r="P80" s="100"/>
    </row>
    <row r="81" spans="1:16" ht="24" x14ac:dyDescent="0.25">
      <c r="A81" s="761">
        <v>71</v>
      </c>
      <c r="B81" s="323" t="s">
        <v>155</v>
      </c>
      <c r="C81" s="821" t="s">
        <v>644</v>
      </c>
      <c r="D81" s="403"/>
      <c r="E81" s="101"/>
      <c r="F81" s="101"/>
      <c r="G81" s="101"/>
      <c r="H81" s="102"/>
      <c r="I81" s="102"/>
      <c r="J81" s="401"/>
      <c r="K81" s="453"/>
      <c r="L81" s="453"/>
      <c r="M81" s="487"/>
      <c r="N81" s="401"/>
      <c r="P81" s="100"/>
    </row>
    <row r="82" spans="1:16" ht="24" x14ac:dyDescent="0.25">
      <c r="A82" s="761">
        <v>72</v>
      </c>
      <c r="B82" s="322" t="s">
        <v>157</v>
      </c>
      <c r="C82" s="822" t="s">
        <v>645</v>
      </c>
      <c r="D82" s="403"/>
      <c r="E82" s="101"/>
      <c r="F82" s="101"/>
      <c r="G82" s="101"/>
      <c r="H82" s="102"/>
      <c r="I82" s="102"/>
      <c r="J82" s="401"/>
      <c r="K82" s="453"/>
      <c r="L82" s="453"/>
      <c r="M82" s="487"/>
      <c r="N82" s="401"/>
      <c r="P82" s="100"/>
    </row>
    <row r="83" spans="1:16" ht="24" x14ac:dyDescent="0.25">
      <c r="A83" s="761">
        <v>73</v>
      </c>
      <c r="B83" s="323" t="s">
        <v>159</v>
      </c>
      <c r="C83" s="821" t="s">
        <v>646</v>
      </c>
      <c r="D83" s="403"/>
      <c r="E83" s="101"/>
      <c r="F83" s="101"/>
      <c r="G83" s="101"/>
      <c r="H83" s="102"/>
      <c r="I83" s="102"/>
      <c r="J83" s="401"/>
      <c r="K83" s="453"/>
      <c r="L83" s="453"/>
      <c r="M83" s="487"/>
      <c r="N83" s="401"/>
      <c r="P83" s="100"/>
    </row>
    <row r="84" spans="1:16" ht="18" customHeight="1" x14ac:dyDescent="0.25">
      <c r="A84" s="761">
        <v>74</v>
      </c>
      <c r="B84" s="322" t="s">
        <v>161</v>
      </c>
      <c r="C84" s="821" t="s">
        <v>162</v>
      </c>
      <c r="D84" s="403">
        <f>1143-49</f>
        <v>1094</v>
      </c>
      <c r="E84" s="101"/>
      <c r="F84" s="101">
        <f>1142-182</f>
        <v>960</v>
      </c>
      <c r="G84" s="101"/>
      <c r="H84" s="102">
        <f t="shared" si="7"/>
        <v>2054</v>
      </c>
      <c r="I84" s="102"/>
      <c r="J84" s="401">
        <f t="shared" si="8"/>
        <v>2054</v>
      </c>
      <c r="K84" s="453"/>
      <c r="L84" s="453">
        <v>1650</v>
      </c>
      <c r="M84" s="487">
        <v>2475</v>
      </c>
      <c r="N84" s="401">
        <f t="shared" ref="N84:N139" si="9">K84+L84+M84</f>
        <v>4125</v>
      </c>
      <c r="P84" s="100"/>
    </row>
    <row r="85" spans="1:16" x14ac:dyDescent="0.25">
      <c r="A85" s="761">
        <v>75</v>
      </c>
      <c r="B85" s="323" t="s">
        <v>163</v>
      </c>
      <c r="C85" s="821" t="s">
        <v>458</v>
      </c>
      <c r="D85" s="403">
        <f>4113-135</f>
        <v>3978</v>
      </c>
      <c r="E85" s="101">
        <f>543-90+90</f>
        <v>543</v>
      </c>
      <c r="F85" s="101">
        <f>4112-499</f>
        <v>3613</v>
      </c>
      <c r="G85" s="101">
        <f>0+550</f>
        <v>550</v>
      </c>
      <c r="H85" s="102">
        <f t="shared" si="7"/>
        <v>7591</v>
      </c>
      <c r="I85" s="102">
        <f t="shared" si="7"/>
        <v>1093</v>
      </c>
      <c r="J85" s="401">
        <f t="shared" si="8"/>
        <v>8684</v>
      </c>
      <c r="K85" s="453">
        <v>1650</v>
      </c>
      <c r="L85" s="453">
        <v>3300</v>
      </c>
      <c r="M85" s="487">
        <f>4950+745</f>
        <v>5695</v>
      </c>
      <c r="N85" s="401">
        <f t="shared" si="9"/>
        <v>10645</v>
      </c>
      <c r="P85" s="100"/>
    </row>
    <row r="86" spans="1:16" x14ac:dyDescent="0.25">
      <c r="A86" s="761">
        <v>76</v>
      </c>
      <c r="B86" s="323" t="s">
        <v>165</v>
      </c>
      <c r="C86" s="821" t="s">
        <v>166</v>
      </c>
      <c r="D86" s="403">
        <f>2243-50</f>
        <v>2193</v>
      </c>
      <c r="E86" s="101">
        <v>323</v>
      </c>
      <c r="F86" s="101">
        <f>2242-185</f>
        <v>2057</v>
      </c>
      <c r="G86" s="101">
        <f>323-131</f>
        <v>192</v>
      </c>
      <c r="H86" s="102">
        <f t="shared" si="7"/>
        <v>4250</v>
      </c>
      <c r="I86" s="102">
        <f t="shared" si="7"/>
        <v>515</v>
      </c>
      <c r="J86" s="401">
        <f t="shared" si="8"/>
        <v>4765</v>
      </c>
      <c r="K86" s="453">
        <v>1925</v>
      </c>
      <c r="L86" s="453">
        <v>3190</v>
      </c>
      <c r="M86" s="487">
        <f>3135-1485+1130</f>
        <v>2780</v>
      </c>
      <c r="N86" s="401">
        <f t="shared" si="9"/>
        <v>7895</v>
      </c>
      <c r="P86" s="100"/>
    </row>
    <row r="87" spans="1:16" s="404" customFormat="1" x14ac:dyDescent="0.25">
      <c r="A87" s="761">
        <v>77</v>
      </c>
      <c r="B87" s="322" t="s">
        <v>167</v>
      </c>
      <c r="C87" s="821" t="s">
        <v>168</v>
      </c>
      <c r="D87" s="320">
        <f>483-15</f>
        <v>468</v>
      </c>
      <c r="E87" s="321">
        <f>383-80</f>
        <v>303</v>
      </c>
      <c r="F87" s="321">
        <f>482-54</f>
        <v>428</v>
      </c>
      <c r="G87" s="321"/>
      <c r="H87" s="102">
        <f t="shared" si="7"/>
        <v>896</v>
      </c>
      <c r="I87" s="102">
        <f t="shared" si="7"/>
        <v>303</v>
      </c>
      <c r="J87" s="401">
        <f t="shared" si="8"/>
        <v>1199</v>
      </c>
      <c r="K87" s="453">
        <v>825</v>
      </c>
      <c r="L87" s="453">
        <v>1650</v>
      </c>
      <c r="M87" s="487">
        <v>2475</v>
      </c>
      <c r="N87" s="401">
        <f t="shared" si="9"/>
        <v>4950</v>
      </c>
      <c r="P87" s="100"/>
    </row>
    <row r="88" spans="1:16" s="404" customFormat="1" x14ac:dyDescent="0.25">
      <c r="A88" s="761">
        <v>78</v>
      </c>
      <c r="B88" s="322" t="s">
        <v>169</v>
      </c>
      <c r="C88" s="821" t="s">
        <v>170</v>
      </c>
      <c r="D88" s="320">
        <f>840-39</f>
        <v>801</v>
      </c>
      <c r="E88" s="321">
        <v>500</v>
      </c>
      <c r="F88" s="321">
        <f>840-145</f>
        <v>695</v>
      </c>
      <c r="G88" s="101">
        <f>0+224</f>
        <v>224</v>
      </c>
      <c r="H88" s="102">
        <f t="shared" si="7"/>
        <v>1496</v>
      </c>
      <c r="I88" s="102">
        <f t="shared" si="7"/>
        <v>724</v>
      </c>
      <c r="J88" s="401">
        <f t="shared" si="8"/>
        <v>2220</v>
      </c>
      <c r="K88" s="453">
        <v>825</v>
      </c>
      <c r="L88" s="453">
        <v>1650</v>
      </c>
      <c r="M88" s="487">
        <v>2475</v>
      </c>
      <c r="N88" s="401">
        <f t="shared" si="9"/>
        <v>4950</v>
      </c>
      <c r="P88" s="100"/>
    </row>
    <row r="89" spans="1:16" s="404" customFormat="1" x14ac:dyDescent="0.25">
      <c r="A89" s="761">
        <v>79</v>
      </c>
      <c r="B89" s="322" t="s">
        <v>171</v>
      </c>
      <c r="C89" s="821" t="s">
        <v>172</v>
      </c>
      <c r="D89" s="320"/>
      <c r="E89" s="321">
        <f>263-90</f>
        <v>173</v>
      </c>
      <c r="F89" s="321"/>
      <c r="G89" s="321">
        <v>263</v>
      </c>
      <c r="H89" s="102"/>
      <c r="I89" s="102">
        <f t="shared" si="7"/>
        <v>436</v>
      </c>
      <c r="J89" s="401">
        <f t="shared" si="8"/>
        <v>436</v>
      </c>
      <c r="K89" s="453">
        <v>550</v>
      </c>
      <c r="L89" s="453">
        <v>1540</v>
      </c>
      <c r="M89" s="487">
        <f>2310-660-380</f>
        <v>1270</v>
      </c>
      <c r="N89" s="401">
        <f t="shared" si="9"/>
        <v>3360</v>
      </c>
      <c r="P89" s="100"/>
    </row>
    <row r="90" spans="1:16" x14ac:dyDescent="0.25">
      <c r="A90" s="761">
        <v>80</v>
      </c>
      <c r="B90" s="322" t="s">
        <v>173</v>
      </c>
      <c r="C90" s="821" t="s">
        <v>616</v>
      </c>
      <c r="D90" s="403">
        <f>2667-67</f>
        <v>2600</v>
      </c>
      <c r="E90" s="101"/>
      <c r="F90" s="101">
        <f>2665-247</f>
        <v>2418</v>
      </c>
      <c r="G90" s="101"/>
      <c r="H90" s="102">
        <f t="shared" si="7"/>
        <v>5018</v>
      </c>
      <c r="I90" s="102"/>
      <c r="J90" s="401">
        <f t="shared" si="8"/>
        <v>5018</v>
      </c>
      <c r="K90" s="453">
        <f>1815-10</f>
        <v>1805</v>
      </c>
      <c r="L90" s="453">
        <v>3080</v>
      </c>
      <c r="M90" s="487">
        <f>1650+990</f>
        <v>2640</v>
      </c>
      <c r="N90" s="401">
        <f t="shared" si="9"/>
        <v>7525</v>
      </c>
      <c r="P90" s="100"/>
    </row>
    <row r="91" spans="1:16" x14ac:dyDescent="0.25">
      <c r="A91" s="761">
        <v>81</v>
      </c>
      <c r="B91" s="322" t="s">
        <v>175</v>
      </c>
      <c r="C91" s="115" t="s">
        <v>746</v>
      </c>
      <c r="D91" s="403"/>
      <c r="E91" s="101"/>
      <c r="F91" s="101"/>
      <c r="G91" s="101"/>
      <c r="H91" s="102"/>
      <c r="I91" s="102"/>
      <c r="J91" s="401"/>
      <c r="K91" s="453"/>
      <c r="L91" s="453"/>
      <c r="M91" s="487"/>
      <c r="N91" s="401"/>
      <c r="P91" s="100"/>
    </row>
    <row r="92" spans="1:16" x14ac:dyDescent="0.25">
      <c r="A92" s="761">
        <v>82</v>
      </c>
      <c r="B92" s="328" t="s">
        <v>177</v>
      </c>
      <c r="C92" s="327" t="s">
        <v>749</v>
      </c>
      <c r="D92" s="403"/>
      <c r="E92" s="101"/>
      <c r="F92" s="101"/>
      <c r="G92" s="101"/>
      <c r="H92" s="102"/>
      <c r="I92" s="102"/>
      <c r="J92" s="401"/>
      <c r="K92" s="453"/>
      <c r="L92" s="453"/>
      <c r="M92" s="487"/>
      <c r="N92" s="401"/>
      <c r="P92" s="100"/>
    </row>
    <row r="93" spans="1:16" ht="24" x14ac:dyDescent="0.25">
      <c r="A93" s="1254">
        <v>83</v>
      </c>
      <c r="B93" s="1257" t="s">
        <v>178</v>
      </c>
      <c r="C93" s="329" t="s">
        <v>750</v>
      </c>
      <c r="D93" s="403"/>
      <c r="E93" s="101"/>
      <c r="F93" s="101"/>
      <c r="G93" s="101"/>
      <c r="H93" s="102"/>
      <c r="I93" s="102"/>
      <c r="J93" s="401"/>
      <c r="K93" s="453"/>
      <c r="L93" s="453"/>
      <c r="M93" s="487"/>
      <c r="N93" s="401"/>
      <c r="P93" s="100"/>
    </row>
    <row r="94" spans="1:16" ht="24" x14ac:dyDescent="0.25">
      <c r="A94" s="1255"/>
      <c r="B94" s="1258"/>
      <c r="C94" s="327" t="s">
        <v>179</v>
      </c>
      <c r="D94" s="403"/>
      <c r="E94" s="101"/>
      <c r="F94" s="101"/>
      <c r="G94" s="101"/>
      <c r="H94" s="102"/>
      <c r="I94" s="102"/>
      <c r="J94" s="401"/>
      <c r="K94" s="453"/>
      <c r="L94" s="453"/>
      <c r="M94" s="487"/>
      <c r="N94" s="401"/>
      <c r="P94" s="100"/>
    </row>
    <row r="95" spans="1:16" ht="24" x14ac:dyDescent="0.25">
      <c r="A95" s="1255"/>
      <c r="B95" s="1258"/>
      <c r="C95" s="327" t="s">
        <v>180</v>
      </c>
      <c r="D95" s="403"/>
      <c r="E95" s="101"/>
      <c r="F95" s="101"/>
      <c r="G95" s="101"/>
      <c r="H95" s="102"/>
      <c r="I95" s="102"/>
      <c r="J95" s="401"/>
      <c r="K95" s="453"/>
      <c r="L95" s="453"/>
      <c r="M95" s="487"/>
      <c r="N95" s="401"/>
      <c r="P95" s="100"/>
    </row>
    <row r="96" spans="1:16" ht="48" x14ac:dyDescent="0.25">
      <c r="A96" s="1256"/>
      <c r="B96" s="1259"/>
      <c r="C96" s="330" t="s">
        <v>509</v>
      </c>
      <c r="D96" s="403"/>
      <c r="E96" s="101"/>
      <c r="F96" s="101"/>
      <c r="G96" s="101"/>
      <c r="H96" s="102"/>
      <c r="I96" s="102"/>
      <c r="J96" s="401"/>
      <c r="K96" s="453"/>
      <c r="L96" s="453"/>
      <c r="M96" s="487"/>
      <c r="N96" s="401"/>
      <c r="P96" s="100"/>
    </row>
    <row r="97" spans="1:16" ht="24" x14ac:dyDescent="0.25">
      <c r="A97" s="761">
        <v>84</v>
      </c>
      <c r="B97" s="323" t="s">
        <v>181</v>
      </c>
      <c r="C97" s="821" t="s">
        <v>182</v>
      </c>
      <c r="D97" s="403"/>
      <c r="E97" s="101"/>
      <c r="F97" s="101"/>
      <c r="G97" s="101"/>
      <c r="H97" s="102"/>
      <c r="I97" s="102"/>
      <c r="J97" s="401"/>
      <c r="K97" s="453"/>
      <c r="L97" s="453"/>
      <c r="M97" s="487"/>
      <c r="N97" s="401"/>
      <c r="P97" s="100"/>
    </row>
    <row r="98" spans="1:16" x14ac:dyDescent="0.25">
      <c r="A98" s="761">
        <v>85</v>
      </c>
      <c r="B98" s="322" t="s">
        <v>183</v>
      </c>
      <c r="C98" s="821" t="s">
        <v>184</v>
      </c>
      <c r="D98" s="403"/>
      <c r="E98" s="101"/>
      <c r="F98" s="101"/>
      <c r="G98" s="101"/>
      <c r="H98" s="102"/>
      <c r="I98" s="102"/>
      <c r="J98" s="401"/>
      <c r="K98" s="453"/>
      <c r="L98" s="453"/>
      <c r="M98" s="487"/>
      <c r="N98" s="401"/>
      <c r="P98" s="100"/>
    </row>
    <row r="99" spans="1:16" x14ac:dyDescent="0.25">
      <c r="A99" s="761">
        <v>86</v>
      </c>
      <c r="B99" s="323" t="s">
        <v>185</v>
      </c>
      <c r="C99" s="821" t="s">
        <v>186</v>
      </c>
      <c r="D99" s="403"/>
      <c r="E99" s="101"/>
      <c r="F99" s="101"/>
      <c r="G99" s="101"/>
      <c r="H99" s="102"/>
      <c r="I99" s="102"/>
      <c r="J99" s="401"/>
      <c r="K99" s="453"/>
      <c r="L99" s="453"/>
      <c r="M99" s="487"/>
      <c r="N99" s="401"/>
      <c r="P99" s="100"/>
    </row>
    <row r="100" spans="1:16" x14ac:dyDescent="0.25">
      <c r="A100" s="761">
        <v>87</v>
      </c>
      <c r="B100" s="483" t="s">
        <v>187</v>
      </c>
      <c r="C100" s="324" t="s">
        <v>188</v>
      </c>
      <c r="D100" s="403"/>
      <c r="E100" s="101"/>
      <c r="F100" s="101"/>
      <c r="G100" s="101"/>
      <c r="H100" s="102"/>
      <c r="I100" s="102"/>
      <c r="J100" s="401"/>
      <c r="K100" s="453">
        <v>550</v>
      </c>
      <c r="L100" s="453">
        <v>1100</v>
      </c>
      <c r="M100" s="487">
        <v>1650</v>
      </c>
      <c r="N100" s="401">
        <f t="shared" si="9"/>
        <v>3300</v>
      </c>
      <c r="P100" s="100"/>
    </row>
    <row r="101" spans="1:16" x14ac:dyDescent="0.25">
      <c r="A101" s="761">
        <v>88</v>
      </c>
      <c r="B101" s="322" t="s">
        <v>189</v>
      </c>
      <c r="C101" s="821" t="s">
        <v>190</v>
      </c>
      <c r="D101" s="403"/>
      <c r="E101" s="101"/>
      <c r="F101" s="101"/>
      <c r="G101" s="101"/>
      <c r="H101" s="102"/>
      <c r="I101" s="102"/>
      <c r="J101" s="401"/>
      <c r="K101" s="453">
        <v>550</v>
      </c>
      <c r="L101" s="453">
        <v>1100</v>
      </c>
      <c r="M101" s="487">
        <v>1650</v>
      </c>
      <c r="N101" s="401">
        <f t="shared" si="9"/>
        <v>3300</v>
      </c>
      <c r="P101" s="100"/>
    </row>
    <row r="102" spans="1:16" x14ac:dyDescent="0.25">
      <c r="A102" s="761">
        <v>89</v>
      </c>
      <c r="B102" s="322" t="s">
        <v>191</v>
      </c>
      <c r="C102" s="821" t="s">
        <v>192</v>
      </c>
      <c r="D102" s="403">
        <v>942</v>
      </c>
      <c r="E102" s="101">
        <v>115</v>
      </c>
      <c r="F102" s="101">
        <v>942</v>
      </c>
      <c r="G102" s="101">
        <v>114</v>
      </c>
      <c r="H102" s="102">
        <f t="shared" si="7"/>
        <v>1884</v>
      </c>
      <c r="I102" s="102">
        <f t="shared" si="7"/>
        <v>229</v>
      </c>
      <c r="J102" s="401">
        <f t="shared" si="8"/>
        <v>2113</v>
      </c>
      <c r="K102" s="453">
        <v>550</v>
      </c>
      <c r="L102" s="453">
        <v>1100</v>
      </c>
      <c r="M102" s="487">
        <v>1650</v>
      </c>
      <c r="N102" s="401">
        <f t="shared" si="9"/>
        <v>3300</v>
      </c>
      <c r="P102" s="100"/>
    </row>
    <row r="103" spans="1:16" x14ac:dyDescent="0.25">
      <c r="A103" s="761">
        <v>90</v>
      </c>
      <c r="B103" s="483" t="s">
        <v>193</v>
      </c>
      <c r="C103" s="324" t="s">
        <v>194</v>
      </c>
      <c r="D103" s="403">
        <v>620</v>
      </c>
      <c r="E103" s="101">
        <v>65</v>
      </c>
      <c r="F103" s="101">
        <v>620</v>
      </c>
      <c r="G103" s="101">
        <v>65</v>
      </c>
      <c r="H103" s="102">
        <f t="shared" si="7"/>
        <v>1240</v>
      </c>
      <c r="I103" s="102">
        <f t="shared" si="7"/>
        <v>130</v>
      </c>
      <c r="J103" s="401">
        <f t="shared" si="8"/>
        <v>1370</v>
      </c>
      <c r="K103" s="453">
        <v>275</v>
      </c>
      <c r="L103" s="453">
        <v>550</v>
      </c>
      <c r="M103" s="487">
        <v>825</v>
      </c>
      <c r="N103" s="401">
        <f t="shared" si="9"/>
        <v>1650</v>
      </c>
      <c r="P103" s="100"/>
    </row>
    <row r="104" spans="1:16" x14ac:dyDescent="0.25">
      <c r="A104" s="761">
        <v>91</v>
      </c>
      <c r="B104" s="322" t="s">
        <v>195</v>
      </c>
      <c r="C104" s="821" t="s">
        <v>196</v>
      </c>
      <c r="D104" s="403">
        <v>574</v>
      </c>
      <c r="E104" s="101"/>
      <c r="F104" s="101">
        <v>573</v>
      </c>
      <c r="G104" s="101"/>
      <c r="H104" s="102">
        <f t="shared" si="7"/>
        <v>1147</v>
      </c>
      <c r="I104" s="102"/>
      <c r="J104" s="401">
        <f t="shared" si="8"/>
        <v>1147</v>
      </c>
      <c r="K104" s="453">
        <v>550</v>
      </c>
      <c r="L104" s="453">
        <v>1100</v>
      </c>
      <c r="M104" s="487">
        <v>1650</v>
      </c>
      <c r="N104" s="401">
        <f t="shared" si="9"/>
        <v>3300</v>
      </c>
      <c r="P104" s="100"/>
    </row>
    <row r="105" spans="1:16" x14ac:dyDescent="0.25">
      <c r="A105" s="761">
        <v>92</v>
      </c>
      <c r="B105" s="483" t="s">
        <v>197</v>
      </c>
      <c r="C105" s="324" t="s">
        <v>198</v>
      </c>
      <c r="D105" s="403">
        <v>774</v>
      </c>
      <c r="E105" s="101">
        <v>153</v>
      </c>
      <c r="F105" s="101">
        <v>773</v>
      </c>
      <c r="G105" s="101">
        <v>153</v>
      </c>
      <c r="H105" s="102">
        <f t="shared" si="7"/>
        <v>1547</v>
      </c>
      <c r="I105" s="102">
        <f t="shared" si="7"/>
        <v>306</v>
      </c>
      <c r="J105" s="401">
        <f t="shared" si="8"/>
        <v>1853</v>
      </c>
      <c r="K105" s="453">
        <v>550</v>
      </c>
      <c r="L105" s="453">
        <v>1100</v>
      </c>
      <c r="M105" s="487">
        <v>1650</v>
      </c>
      <c r="N105" s="401">
        <f t="shared" si="9"/>
        <v>3300</v>
      </c>
      <c r="P105" s="100"/>
    </row>
    <row r="106" spans="1:16" x14ac:dyDescent="0.25">
      <c r="A106" s="761">
        <v>93</v>
      </c>
      <c r="B106" s="322" t="s">
        <v>199</v>
      </c>
      <c r="C106" s="821" t="s">
        <v>200</v>
      </c>
      <c r="D106" s="403">
        <v>946</v>
      </c>
      <c r="E106" s="101">
        <v>188</v>
      </c>
      <c r="F106" s="101">
        <v>946</v>
      </c>
      <c r="G106" s="101">
        <v>187</v>
      </c>
      <c r="H106" s="102">
        <f t="shared" si="7"/>
        <v>1892</v>
      </c>
      <c r="I106" s="102">
        <f t="shared" si="7"/>
        <v>375</v>
      </c>
      <c r="J106" s="401">
        <f t="shared" si="8"/>
        <v>2267</v>
      </c>
      <c r="K106" s="453">
        <v>550</v>
      </c>
      <c r="L106" s="453">
        <v>1100</v>
      </c>
      <c r="M106" s="487">
        <v>1650</v>
      </c>
      <c r="N106" s="401">
        <f t="shared" si="9"/>
        <v>3300</v>
      </c>
      <c r="P106" s="100"/>
    </row>
    <row r="107" spans="1:16" x14ac:dyDescent="0.25">
      <c r="A107" s="761">
        <v>94</v>
      </c>
      <c r="B107" s="323" t="s">
        <v>201</v>
      </c>
      <c r="C107" s="821" t="s">
        <v>202</v>
      </c>
      <c r="D107" s="403"/>
      <c r="E107" s="101"/>
      <c r="F107" s="101"/>
      <c r="G107" s="101"/>
      <c r="H107" s="102"/>
      <c r="I107" s="102"/>
      <c r="J107" s="401"/>
      <c r="K107" s="453">
        <v>275</v>
      </c>
      <c r="L107" s="453">
        <v>550</v>
      </c>
      <c r="M107" s="487">
        <v>825</v>
      </c>
      <c r="N107" s="401">
        <f t="shared" si="9"/>
        <v>1650</v>
      </c>
      <c r="P107" s="100"/>
    </row>
    <row r="108" spans="1:16" x14ac:dyDescent="0.25">
      <c r="A108" s="761">
        <v>95</v>
      </c>
      <c r="B108" s="322" t="s">
        <v>203</v>
      </c>
      <c r="C108" s="822" t="s">
        <v>204</v>
      </c>
      <c r="D108" s="403">
        <v>881</v>
      </c>
      <c r="E108" s="101"/>
      <c r="F108" s="101">
        <v>880</v>
      </c>
      <c r="G108" s="101"/>
      <c r="H108" s="102">
        <f t="shared" si="7"/>
        <v>1761</v>
      </c>
      <c r="I108" s="102"/>
      <c r="J108" s="401">
        <f t="shared" si="8"/>
        <v>1761</v>
      </c>
      <c r="K108" s="453">
        <v>550</v>
      </c>
      <c r="L108" s="453">
        <v>1100</v>
      </c>
      <c r="M108" s="487">
        <v>1650</v>
      </c>
      <c r="N108" s="401">
        <f t="shared" si="9"/>
        <v>3300</v>
      </c>
      <c r="P108" s="100"/>
    </row>
    <row r="109" spans="1:16" x14ac:dyDescent="0.25">
      <c r="A109" s="761">
        <v>96</v>
      </c>
      <c r="B109" s="322" t="s">
        <v>205</v>
      </c>
      <c r="C109" s="324" t="s">
        <v>206</v>
      </c>
      <c r="D109" s="403"/>
      <c r="E109" s="101"/>
      <c r="F109" s="101"/>
      <c r="G109" s="101"/>
      <c r="H109" s="102"/>
      <c r="I109" s="102"/>
      <c r="J109" s="401"/>
      <c r="K109" s="453">
        <v>550</v>
      </c>
      <c r="L109" s="453">
        <v>1100</v>
      </c>
      <c r="M109" s="487">
        <v>1650</v>
      </c>
      <c r="N109" s="401">
        <f t="shared" si="9"/>
        <v>3300</v>
      </c>
      <c r="P109" s="100"/>
    </row>
    <row r="110" spans="1:16" x14ac:dyDescent="0.25">
      <c r="A110" s="761">
        <v>97</v>
      </c>
      <c r="B110" s="323" t="s">
        <v>207</v>
      </c>
      <c r="C110" s="821" t="s">
        <v>208</v>
      </c>
      <c r="D110" s="403">
        <v>1930</v>
      </c>
      <c r="E110" s="101">
        <v>265</v>
      </c>
      <c r="F110" s="101">
        <v>1929</v>
      </c>
      <c r="G110" s="101">
        <v>265</v>
      </c>
      <c r="H110" s="102">
        <f t="shared" si="7"/>
        <v>3859</v>
      </c>
      <c r="I110" s="102">
        <f t="shared" si="7"/>
        <v>530</v>
      </c>
      <c r="J110" s="401">
        <f t="shared" si="8"/>
        <v>4389</v>
      </c>
      <c r="K110" s="453">
        <v>605</v>
      </c>
      <c r="L110" s="453">
        <v>1210</v>
      </c>
      <c r="M110" s="487">
        <f>1815</f>
        <v>1815</v>
      </c>
      <c r="N110" s="401">
        <f t="shared" si="9"/>
        <v>3630</v>
      </c>
      <c r="P110" s="100"/>
    </row>
    <row r="111" spans="1:16" x14ac:dyDescent="0.25">
      <c r="A111" s="761">
        <v>98</v>
      </c>
      <c r="B111" s="322" t="s">
        <v>209</v>
      </c>
      <c r="C111" s="822" t="s">
        <v>210</v>
      </c>
      <c r="D111" s="403">
        <v>478</v>
      </c>
      <c r="E111" s="101"/>
      <c r="F111" s="101">
        <v>478</v>
      </c>
      <c r="G111" s="101"/>
      <c r="H111" s="102">
        <f t="shared" si="7"/>
        <v>956</v>
      </c>
      <c r="I111" s="102"/>
      <c r="J111" s="401">
        <f t="shared" si="8"/>
        <v>956</v>
      </c>
      <c r="K111" s="453">
        <v>550</v>
      </c>
      <c r="L111" s="453">
        <v>1100</v>
      </c>
      <c r="M111" s="487">
        <v>1650</v>
      </c>
      <c r="N111" s="401">
        <f t="shared" si="9"/>
        <v>3300</v>
      </c>
      <c r="P111" s="100"/>
    </row>
    <row r="112" spans="1:16" x14ac:dyDescent="0.25">
      <c r="A112" s="761">
        <v>99</v>
      </c>
      <c r="B112" s="323" t="s">
        <v>211</v>
      </c>
      <c r="C112" s="821" t="s">
        <v>212</v>
      </c>
      <c r="D112" s="403">
        <v>1353</v>
      </c>
      <c r="E112" s="101">
        <v>198</v>
      </c>
      <c r="F112" s="101">
        <v>1353</v>
      </c>
      <c r="G112" s="101">
        <v>197</v>
      </c>
      <c r="H112" s="102">
        <f t="shared" si="7"/>
        <v>2706</v>
      </c>
      <c r="I112" s="102">
        <f t="shared" si="7"/>
        <v>395</v>
      </c>
      <c r="J112" s="401">
        <f t="shared" si="8"/>
        <v>3101</v>
      </c>
      <c r="K112" s="453">
        <v>550</v>
      </c>
      <c r="L112" s="453">
        <v>1100</v>
      </c>
      <c r="M112" s="487">
        <v>1650</v>
      </c>
      <c r="N112" s="401">
        <f t="shared" si="9"/>
        <v>3300</v>
      </c>
      <c r="P112" s="100"/>
    </row>
    <row r="113" spans="1:16" x14ac:dyDescent="0.25">
      <c r="A113" s="761">
        <v>100</v>
      </c>
      <c r="B113" s="323" t="s">
        <v>213</v>
      </c>
      <c r="C113" s="821" t="s">
        <v>214</v>
      </c>
      <c r="D113" s="403">
        <v>1213</v>
      </c>
      <c r="E113" s="101">
        <v>208</v>
      </c>
      <c r="F113" s="101">
        <v>1213</v>
      </c>
      <c r="G113" s="101">
        <v>208</v>
      </c>
      <c r="H113" s="102">
        <f t="shared" si="7"/>
        <v>2426</v>
      </c>
      <c r="I113" s="102">
        <f t="shared" si="7"/>
        <v>416</v>
      </c>
      <c r="J113" s="401">
        <f t="shared" si="8"/>
        <v>2842</v>
      </c>
      <c r="K113" s="453">
        <v>550</v>
      </c>
      <c r="L113" s="453">
        <v>1100</v>
      </c>
      <c r="M113" s="487">
        <v>1650</v>
      </c>
      <c r="N113" s="401">
        <f t="shared" si="9"/>
        <v>3300</v>
      </c>
      <c r="P113" s="100"/>
    </row>
    <row r="114" spans="1:16" x14ac:dyDescent="0.25">
      <c r="A114" s="761">
        <v>101</v>
      </c>
      <c r="B114" s="322" t="s">
        <v>215</v>
      </c>
      <c r="C114" s="324" t="s">
        <v>216</v>
      </c>
      <c r="D114" s="403"/>
      <c r="E114" s="101"/>
      <c r="F114" s="101"/>
      <c r="G114" s="101"/>
      <c r="H114" s="102"/>
      <c r="I114" s="102"/>
      <c r="J114" s="401"/>
      <c r="K114" s="453">
        <v>550</v>
      </c>
      <c r="L114" s="453">
        <v>1100</v>
      </c>
      <c r="M114" s="487">
        <v>1650</v>
      </c>
      <c r="N114" s="401">
        <f t="shared" si="9"/>
        <v>3300</v>
      </c>
      <c r="P114" s="100"/>
    </row>
    <row r="115" spans="1:16" x14ac:dyDescent="0.25">
      <c r="A115" s="761">
        <v>102</v>
      </c>
      <c r="B115" s="322" t="s">
        <v>217</v>
      </c>
      <c r="C115" s="822" t="s">
        <v>218</v>
      </c>
      <c r="D115" s="403"/>
      <c r="E115" s="101"/>
      <c r="F115" s="101"/>
      <c r="G115" s="101"/>
      <c r="H115" s="102"/>
      <c r="I115" s="102"/>
      <c r="J115" s="401"/>
      <c r="K115" s="453"/>
      <c r="L115" s="453"/>
      <c r="M115" s="487"/>
      <c r="N115" s="401"/>
      <c r="P115" s="100"/>
    </row>
    <row r="116" spans="1:16" x14ac:dyDescent="0.25">
      <c r="A116" s="761">
        <v>103</v>
      </c>
      <c r="B116" s="322" t="s">
        <v>219</v>
      </c>
      <c r="C116" s="822" t="s">
        <v>220</v>
      </c>
      <c r="D116" s="403"/>
      <c r="E116" s="101"/>
      <c r="F116" s="101"/>
      <c r="G116" s="101"/>
      <c r="H116" s="102"/>
      <c r="I116" s="102"/>
      <c r="J116" s="401"/>
      <c r="K116" s="453"/>
      <c r="L116" s="453"/>
      <c r="M116" s="487"/>
      <c r="N116" s="401"/>
      <c r="P116" s="100"/>
    </row>
    <row r="117" spans="1:16" x14ac:dyDescent="0.25">
      <c r="A117" s="761">
        <v>104</v>
      </c>
      <c r="B117" s="322" t="s">
        <v>221</v>
      </c>
      <c r="C117" s="822" t="s">
        <v>222</v>
      </c>
      <c r="D117" s="403"/>
      <c r="E117" s="101"/>
      <c r="F117" s="101"/>
      <c r="G117" s="101"/>
      <c r="H117" s="102"/>
      <c r="I117" s="102"/>
      <c r="J117" s="401"/>
      <c r="K117" s="453"/>
      <c r="L117" s="453"/>
      <c r="M117" s="487"/>
      <c r="N117" s="401"/>
      <c r="P117" s="100"/>
    </row>
    <row r="118" spans="1:16" x14ac:dyDescent="0.25">
      <c r="A118" s="761">
        <v>105</v>
      </c>
      <c r="B118" s="323" t="s">
        <v>223</v>
      </c>
      <c r="C118" s="821" t="s">
        <v>224</v>
      </c>
      <c r="D118" s="403"/>
      <c r="E118" s="101"/>
      <c r="F118" s="101"/>
      <c r="G118" s="101"/>
      <c r="H118" s="102"/>
      <c r="I118" s="102"/>
      <c r="J118" s="401"/>
      <c r="K118" s="453"/>
      <c r="L118" s="453"/>
      <c r="M118" s="487"/>
      <c r="N118" s="401"/>
      <c r="P118" s="100"/>
    </row>
    <row r="119" spans="1:16" x14ac:dyDescent="0.25">
      <c r="A119" s="761">
        <v>106</v>
      </c>
      <c r="B119" s="483" t="s">
        <v>225</v>
      </c>
      <c r="C119" s="324" t="s">
        <v>226</v>
      </c>
      <c r="D119" s="403"/>
      <c r="E119" s="101"/>
      <c r="F119" s="101"/>
      <c r="G119" s="101"/>
      <c r="H119" s="102"/>
      <c r="I119" s="102"/>
      <c r="J119" s="401"/>
      <c r="K119" s="453"/>
      <c r="L119" s="453"/>
      <c r="M119" s="487"/>
      <c r="N119" s="401"/>
      <c r="P119" s="100"/>
    </row>
    <row r="120" spans="1:16" ht="24" x14ac:dyDescent="0.25">
      <c r="A120" s="761">
        <v>107</v>
      </c>
      <c r="B120" s="322" t="s">
        <v>227</v>
      </c>
      <c r="C120" s="822" t="s">
        <v>228</v>
      </c>
      <c r="D120" s="403"/>
      <c r="E120" s="101"/>
      <c r="F120" s="101"/>
      <c r="G120" s="101"/>
      <c r="H120" s="102"/>
      <c r="I120" s="102"/>
      <c r="J120" s="401"/>
      <c r="K120" s="453"/>
      <c r="L120" s="453"/>
      <c r="M120" s="487"/>
      <c r="N120" s="401"/>
      <c r="P120" s="100"/>
    </row>
    <row r="121" spans="1:16" x14ac:dyDescent="0.25">
      <c r="A121" s="761">
        <v>108</v>
      </c>
      <c r="B121" s="322" t="s">
        <v>229</v>
      </c>
      <c r="C121" s="822" t="s">
        <v>230</v>
      </c>
      <c r="D121" s="403"/>
      <c r="E121" s="101"/>
      <c r="F121" s="101"/>
      <c r="G121" s="101"/>
      <c r="H121" s="102"/>
      <c r="I121" s="102"/>
      <c r="J121" s="401"/>
      <c r="K121" s="453"/>
      <c r="L121" s="453"/>
      <c r="M121" s="487"/>
      <c r="N121" s="401"/>
      <c r="P121" s="100"/>
    </row>
    <row r="122" spans="1:16" x14ac:dyDescent="0.25">
      <c r="A122" s="761">
        <v>109</v>
      </c>
      <c r="B122" s="323" t="s">
        <v>231</v>
      </c>
      <c r="C122" s="821" t="s">
        <v>232</v>
      </c>
      <c r="D122" s="403"/>
      <c r="E122" s="101"/>
      <c r="F122" s="101"/>
      <c r="G122" s="101"/>
      <c r="H122" s="102"/>
      <c r="I122" s="102"/>
      <c r="J122" s="401"/>
      <c r="K122" s="453"/>
      <c r="L122" s="453"/>
      <c r="M122" s="487"/>
      <c r="N122" s="401"/>
      <c r="P122" s="100"/>
    </row>
    <row r="123" spans="1:16" x14ac:dyDescent="0.25">
      <c r="A123" s="761">
        <v>110</v>
      </c>
      <c r="B123" s="323" t="s">
        <v>233</v>
      </c>
      <c r="C123" s="821" t="s">
        <v>234</v>
      </c>
      <c r="D123" s="403"/>
      <c r="E123" s="101"/>
      <c r="F123" s="101"/>
      <c r="G123" s="101"/>
      <c r="H123" s="102"/>
      <c r="I123" s="102"/>
      <c r="J123" s="401"/>
      <c r="K123" s="453"/>
      <c r="L123" s="453"/>
      <c r="M123" s="487"/>
      <c r="N123" s="401"/>
      <c r="P123" s="100"/>
    </row>
    <row r="124" spans="1:16" x14ac:dyDescent="0.25">
      <c r="A124" s="761">
        <v>111</v>
      </c>
      <c r="B124" s="2" t="s">
        <v>235</v>
      </c>
      <c r="C124" s="822" t="s">
        <v>236</v>
      </c>
      <c r="D124" s="403"/>
      <c r="E124" s="101"/>
      <c r="F124" s="101"/>
      <c r="G124" s="101"/>
      <c r="H124" s="102"/>
      <c r="I124" s="102"/>
      <c r="J124" s="401"/>
      <c r="K124" s="453"/>
      <c r="L124" s="453"/>
      <c r="M124" s="487"/>
      <c r="N124" s="401"/>
      <c r="P124" s="100"/>
    </row>
    <row r="125" spans="1:16" x14ac:dyDescent="0.25">
      <c r="A125" s="761">
        <v>112</v>
      </c>
      <c r="B125" s="322" t="s">
        <v>237</v>
      </c>
      <c r="C125" s="822" t="s">
        <v>238</v>
      </c>
      <c r="D125" s="403"/>
      <c r="E125" s="101"/>
      <c r="F125" s="101"/>
      <c r="G125" s="101"/>
      <c r="H125" s="102"/>
      <c r="I125" s="102"/>
      <c r="J125" s="401"/>
      <c r="K125" s="453"/>
      <c r="L125" s="453"/>
      <c r="M125" s="487"/>
      <c r="N125" s="401"/>
      <c r="P125" s="100"/>
    </row>
    <row r="126" spans="1:16" x14ac:dyDescent="0.25">
      <c r="A126" s="761">
        <v>113</v>
      </c>
      <c r="B126" s="322" t="s">
        <v>239</v>
      </c>
      <c r="C126" s="821" t="s">
        <v>240</v>
      </c>
      <c r="D126" s="403"/>
      <c r="E126" s="101"/>
      <c r="F126" s="101"/>
      <c r="G126" s="101"/>
      <c r="H126" s="102"/>
      <c r="I126" s="102"/>
      <c r="J126" s="401"/>
      <c r="K126" s="453"/>
      <c r="L126" s="453"/>
      <c r="M126" s="487"/>
      <c r="N126" s="401"/>
      <c r="P126" s="100"/>
    </row>
    <row r="127" spans="1:16" ht="13.5" customHeight="1" x14ac:dyDescent="0.25">
      <c r="A127" s="761">
        <v>114</v>
      </c>
      <c r="B127" s="322" t="s">
        <v>241</v>
      </c>
      <c r="C127" s="822" t="s">
        <v>242</v>
      </c>
      <c r="D127" s="403"/>
      <c r="E127" s="101"/>
      <c r="F127" s="101"/>
      <c r="G127" s="101"/>
      <c r="H127" s="102"/>
      <c r="I127" s="102"/>
      <c r="J127" s="401"/>
      <c r="K127" s="453"/>
      <c r="L127" s="453"/>
      <c r="M127" s="487"/>
      <c r="N127" s="401"/>
      <c r="P127" s="100"/>
    </row>
    <row r="128" spans="1:16" x14ac:dyDescent="0.25">
      <c r="A128" s="761">
        <v>115</v>
      </c>
      <c r="B128" s="762" t="s">
        <v>243</v>
      </c>
      <c r="C128" s="327" t="s">
        <v>385</v>
      </c>
      <c r="D128" s="403"/>
      <c r="E128" s="101"/>
      <c r="F128" s="101"/>
      <c r="G128" s="101"/>
      <c r="H128" s="102"/>
      <c r="I128" s="102"/>
      <c r="J128" s="401"/>
      <c r="K128" s="453"/>
      <c r="L128" s="453"/>
      <c r="M128" s="487"/>
      <c r="N128" s="401"/>
      <c r="P128" s="100"/>
    </row>
    <row r="129" spans="1:16" x14ac:dyDescent="0.25">
      <c r="A129" s="761">
        <v>116</v>
      </c>
      <c r="B129" s="323" t="s">
        <v>244</v>
      </c>
      <c r="C129" s="821" t="s">
        <v>648</v>
      </c>
      <c r="D129" s="403"/>
      <c r="E129" s="101"/>
      <c r="F129" s="101"/>
      <c r="G129" s="101"/>
      <c r="H129" s="102"/>
      <c r="I129" s="102"/>
      <c r="J129" s="401"/>
      <c r="K129" s="453"/>
      <c r="L129" s="453"/>
      <c r="M129" s="487"/>
      <c r="N129" s="401"/>
      <c r="P129" s="100"/>
    </row>
    <row r="130" spans="1:16" x14ac:dyDescent="0.25">
      <c r="A130" s="761">
        <v>117</v>
      </c>
      <c r="B130" s="323" t="s">
        <v>246</v>
      </c>
      <c r="C130" s="821" t="s">
        <v>247</v>
      </c>
      <c r="D130" s="403"/>
      <c r="E130" s="101"/>
      <c r="F130" s="101"/>
      <c r="G130" s="101"/>
      <c r="H130" s="102"/>
      <c r="I130" s="102"/>
      <c r="J130" s="401"/>
      <c r="K130" s="453"/>
      <c r="L130" s="453"/>
      <c r="M130" s="487"/>
      <c r="N130" s="401"/>
      <c r="P130" s="100"/>
    </row>
    <row r="131" spans="1:16" x14ac:dyDescent="0.25">
      <c r="A131" s="761">
        <v>118</v>
      </c>
      <c r="B131" s="323" t="s">
        <v>248</v>
      </c>
      <c r="C131" s="821" t="s">
        <v>249</v>
      </c>
      <c r="D131" s="403"/>
      <c r="E131" s="101"/>
      <c r="F131" s="101"/>
      <c r="G131" s="101"/>
      <c r="H131" s="102"/>
      <c r="I131" s="102"/>
      <c r="J131" s="401"/>
      <c r="K131" s="453"/>
      <c r="L131" s="453"/>
      <c r="M131" s="487"/>
      <c r="N131" s="401"/>
      <c r="P131" s="100"/>
    </row>
    <row r="132" spans="1:16" x14ac:dyDescent="0.25">
      <c r="A132" s="761">
        <v>119</v>
      </c>
      <c r="B132" s="323" t="s">
        <v>250</v>
      </c>
      <c r="C132" s="821" t="s">
        <v>251</v>
      </c>
      <c r="D132" s="403"/>
      <c r="E132" s="101"/>
      <c r="F132" s="101"/>
      <c r="G132" s="101"/>
      <c r="H132" s="102"/>
      <c r="I132" s="102"/>
      <c r="J132" s="401"/>
      <c r="K132" s="453"/>
      <c r="L132" s="453"/>
      <c r="M132" s="487"/>
      <c r="N132" s="401"/>
      <c r="P132" s="100"/>
    </row>
    <row r="133" spans="1:16" x14ac:dyDescent="0.25">
      <c r="A133" s="761">
        <v>120</v>
      </c>
      <c r="B133" s="101" t="s">
        <v>252</v>
      </c>
      <c r="C133" s="825" t="s">
        <v>253</v>
      </c>
      <c r="D133" s="403"/>
      <c r="E133" s="101"/>
      <c r="F133" s="101"/>
      <c r="G133" s="101"/>
      <c r="H133" s="102"/>
      <c r="I133" s="102"/>
      <c r="J133" s="401"/>
      <c r="K133" s="453"/>
      <c r="L133" s="453"/>
      <c r="M133" s="487"/>
      <c r="N133" s="401"/>
      <c r="P133" s="100"/>
    </row>
    <row r="134" spans="1:16" x14ac:dyDescent="0.25">
      <c r="A134" s="761">
        <v>121</v>
      </c>
      <c r="B134" s="322" t="s">
        <v>254</v>
      </c>
      <c r="C134" s="822" t="s">
        <v>255</v>
      </c>
      <c r="D134" s="403"/>
      <c r="E134" s="101"/>
      <c r="F134" s="101"/>
      <c r="G134" s="101"/>
      <c r="H134" s="102"/>
      <c r="I134" s="102"/>
      <c r="J134" s="401"/>
      <c r="K134" s="453"/>
      <c r="L134" s="453"/>
      <c r="M134" s="487"/>
      <c r="N134" s="401"/>
      <c r="P134" s="100"/>
    </row>
    <row r="135" spans="1:16" x14ac:dyDescent="0.25">
      <c r="A135" s="761">
        <v>122</v>
      </c>
      <c r="B135" s="323" t="s">
        <v>256</v>
      </c>
      <c r="C135" s="821" t="s">
        <v>257</v>
      </c>
      <c r="D135" s="403"/>
      <c r="E135" s="101"/>
      <c r="F135" s="101"/>
      <c r="G135" s="101"/>
      <c r="H135" s="102"/>
      <c r="I135" s="102"/>
      <c r="J135" s="401"/>
      <c r="K135" s="453"/>
      <c r="L135" s="453"/>
      <c r="M135" s="487"/>
      <c r="N135" s="401"/>
      <c r="P135" s="100"/>
    </row>
    <row r="136" spans="1:16" x14ac:dyDescent="0.25">
      <c r="A136" s="761">
        <v>123</v>
      </c>
      <c r="B136" s="322" t="s">
        <v>258</v>
      </c>
      <c r="C136" s="821" t="s">
        <v>259</v>
      </c>
      <c r="D136" s="403"/>
      <c r="E136" s="101"/>
      <c r="F136" s="101"/>
      <c r="G136" s="101"/>
      <c r="H136" s="102"/>
      <c r="I136" s="102"/>
      <c r="J136" s="401"/>
      <c r="K136" s="453"/>
      <c r="L136" s="453"/>
      <c r="M136" s="487"/>
      <c r="N136" s="401"/>
      <c r="P136" s="100"/>
    </row>
    <row r="137" spans="1:16" x14ac:dyDescent="0.25">
      <c r="A137" s="761">
        <v>124</v>
      </c>
      <c r="B137" s="323" t="s">
        <v>260</v>
      </c>
      <c r="C137" s="821" t="s">
        <v>261</v>
      </c>
      <c r="D137" s="403">
        <f>0+604</f>
        <v>604</v>
      </c>
      <c r="E137" s="101">
        <f>0+300</f>
        <v>300</v>
      </c>
      <c r="F137" s="101">
        <f>0+2229</f>
        <v>2229</v>
      </c>
      <c r="G137" s="101">
        <f>0+1100-500</f>
        <v>600</v>
      </c>
      <c r="H137" s="102">
        <f t="shared" si="7"/>
        <v>2833</v>
      </c>
      <c r="I137" s="102">
        <f t="shared" si="7"/>
        <v>900</v>
      </c>
      <c r="J137" s="401">
        <f t="shared" si="8"/>
        <v>3733</v>
      </c>
      <c r="K137" s="453">
        <v>1100</v>
      </c>
      <c r="L137" s="453">
        <f>2200+4749</f>
        <v>6949</v>
      </c>
      <c r="M137" s="487">
        <v>3300</v>
      </c>
      <c r="N137" s="401">
        <f t="shared" si="9"/>
        <v>11349</v>
      </c>
      <c r="P137" s="100"/>
    </row>
    <row r="138" spans="1:16" x14ac:dyDescent="0.25">
      <c r="A138" s="761">
        <v>125</v>
      </c>
      <c r="B138" s="323" t="s">
        <v>262</v>
      </c>
      <c r="C138" s="821" t="s">
        <v>263</v>
      </c>
      <c r="D138" s="403"/>
      <c r="E138" s="101"/>
      <c r="F138" s="101"/>
      <c r="G138" s="101"/>
      <c r="H138" s="102"/>
      <c r="I138" s="102"/>
      <c r="J138" s="401"/>
      <c r="K138" s="453"/>
      <c r="L138" s="453"/>
      <c r="M138" s="487"/>
      <c r="N138" s="401"/>
      <c r="P138" s="100"/>
    </row>
    <row r="139" spans="1:16" x14ac:dyDescent="0.25">
      <c r="A139" s="761">
        <v>126</v>
      </c>
      <c r="B139" s="322" t="s">
        <v>264</v>
      </c>
      <c r="C139" s="821" t="s">
        <v>265</v>
      </c>
      <c r="D139" s="403"/>
      <c r="E139" s="101">
        <v>173</v>
      </c>
      <c r="F139" s="101"/>
      <c r="G139" s="101">
        <v>172</v>
      </c>
      <c r="H139" s="102"/>
      <c r="I139" s="102">
        <f t="shared" si="7"/>
        <v>345</v>
      </c>
      <c r="J139" s="401">
        <f t="shared" si="8"/>
        <v>345</v>
      </c>
      <c r="K139" s="453">
        <v>165</v>
      </c>
      <c r="L139" s="453">
        <v>330</v>
      </c>
      <c r="M139" s="487">
        <f>495+130</f>
        <v>625</v>
      </c>
      <c r="N139" s="401">
        <f t="shared" si="9"/>
        <v>1120</v>
      </c>
      <c r="P139" s="100"/>
    </row>
    <row r="140" spans="1:16" x14ac:dyDescent="0.25">
      <c r="A140" s="761">
        <v>127</v>
      </c>
      <c r="B140" s="323" t="s">
        <v>266</v>
      </c>
      <c r="C140" s="821" t="s">
        <v>267</v>
      </c>
      <c r="D140" s="403"/>
      <c r="E140" s="101"/>
      <c r="F140" s="101"/>
      <c r="G140" s="101"/>
      <c r="H140" s="102"/>
      <c r="I140" s="102"/>
      <c r="J140" s="401"/>
      <c r="K140" s="453"/>
      <c r="L140" s="453"/>
      <c r="M140" s="487"/>
      <c r="N140" s="401"/>
      <c r="P140" s="100"/>
    </row>
    <row r="141" spans="1:16" x14ac:dyDescent="0.25">
      <c r="A141" s="761">
        <v>128</v>
      </c>
      <c r="B141" s="322" t="s">
        <v>268</v>
      </c>
      <c r="C141" s="822" t="s">
        <v>269</v>
      </c>
      <c r="D141" s="403"/>
      <c r="E141" s="101"/>
      <c r="F141" s="101"/>
      <c r="G141" s="101"/>
      <c r="H141" s="102"/>
      <c r="I141" s="102"/>
      <c r="J141" s="401"/>
      <c r="K141" s="453"/>
      <c r="L141" s="453"/>
      <c r="M141" s="487"/>
      <c r="N141" s="401"/>
      <c r="P141" s="100"/>
    </row>
    <row r="142" spans="1:16" x14ac:dyDescent="0.25">
      <c r="A142" s="761">
        <v>129</v>
      </c>
      <c r="B142" s="322" t="s">
        <v>270</v>
      </c>
      <c r="C142" s="822" t="s">
        <v>271</v>
      </c>
      <c r="D142" s="403"/>
      <c r="E142" s="101"/>
      <c r="F142" s="101"/>
      <c r="G142" s="101"/>
      <c r="H142" s="102"/>
      <c r="I142" s="102"/>
      <c r="J142" s="401"/>
      <c r="K142" s="453"/>
      <c r="L142" s="453"/>
      <c r="M142" s="487"/>
      <c r="N142" s="401"/>
      <c r="P142" s="100"/>
    </row>
    <row r="143" spans="1:16" x14ac:dyDescent="0.25">
      <c r="A143" s="761">
        <v>130</v>
      </c>
      <c r="B143" s="323" t="s">
        <v>272</v>
      </c>
      <c r="C143" s="821" t="s">
        <v>273</v>
      </c>
      <c r="D143" s="403"/>
      <c r="E143" s="101"/>
      <c r="F143" s="101"/>
      <c r="G143" s="101"/>
      <c r="H143" s="102"/>
      <c r="I143" s="102"/>
      <c r="J143" s="401"/>
      <c r="K143" s="453"/>
      <c r="L143" s="453"/>
      <c r="M143" s="321"/>
      <c r="N143" s="401"/>
      <c r="P143" s="100"/>
    </row>
    <row r="144" spans="1:16" x14ac:dyDescent="0.25">
      <c r="A144" s="761">
        <v>131</v>
      </c>
      <c r="B144" s="323" t="s">
        <v>274</v>
      </c>
      <c r="C144" s="821" t="s">
        <v>275</v>
      </c>
      <c r="D144" s="403">
        <v>1336</v>
      </c>
      <c r="E144" s="101"/>
      <c r="F144" s="101">
        <v>1335</v>
      </c>
      <c r="G144" s="101"/>
      <c r="H144" s="102">
        <f t="shared" ref="H144:I154" si="10">D144+F144</f>
        <v>2671</v>
      </c>
      <c r="I144" s="102"/>
      <c r="J144" s="401">
        <f t="shared" ref="J144:J154" si="11">H144+I144</f>
        <v>2671</v>
      </c>
      <c r="K144" s="453">
        <v>3850</v>
      </c>
      <c r="L144" s="453">
        <v>7700</v>
      </c>
      <c r="M144" s="487">
        <f>9570+1980</f>
        <v>11550</v>
      </c>
      <c r="N144" s="401">
        <f t="shared" ref="N144:N155" si="12">K144+L144+M144</f>
        <v>23100</v>
      </c>
      <c r="P144" s="100"/>
    </row>
    <row r="145" spans="1:16" x14ac:dyDescent="0.25">
      <c r="A145" s="761">
        <v>132</v>
      </c>
      <c r="B145" s="323" t="s">
        <v>276</v>
      </c>
      <c r="C145" s="821" t="s">
        <v>277</v>
      </c>
      <c r="D145" s="403">
        <f>1524-36</f>
        <v>1488</v>
      </c>
      <c r="E145" s="101"/>
      <c r="F145" s="101">
        <f>1523-134</f>
        <v>1389</v>
      </c>
      <c r="G145" s="101"/>
      <c r="H145" s="102">
        <f t="shared" si="10"/>
        <v>2877</v>
      </c>
      <c r="I145" s="102"/>
      <c r="J145" s="401">
        <f t="shared" si="11"/>
        <v>2877</v>
      </c>
      <c r="K145" s="453"/>
      <c r="L145" s="453"/>
      <c r="M145" s="487"/>
      <c r="N145" s="401"/>
      <c r="P145" s="100"/>
    </row>
    <row r="146" spans="1:16" x14ac:dyDescent="0.25">
      <c r="A146" s="761">
        <v>133</v>
      </c>
      <c r="B146" s="323" t="s">
        <v>278</v>
      </c>
      <c r="C146" s="821" t="s">
        <v>279</v>
      </c>
      <c r="D146" s="403">
        <f>1793-70</f>
        <v>1723</v>
      </c>
      <c r="E146" s="101">
        <v>355</v>
      </c>
      <c r="F146" s="101">
        <f>1792-258</f>
        <v>1534</v>
      </c>
      <c r="G146" s="101">
        <f>0+150</f>
        <v>150</v>
      </c>
      <c r="H146" s="102">
        <f t="shared" si="10"/>
        <v>3257</v>
      </c>
      <c r="I146" s="102">
        <f t="shared" si="10"/>
        <v>505</v>
      </c>
      <c r="J146" s="401">
        <f t="shared" si="11"/>
        <v>3762</v>
      </c>
      <c r="K146" s="453">
        <f>550+10</f>
        <v>560</v>
      </c>
      <c r="L146" s="453"/>
      <c r="M146" s="487"/>
      <c r="N146" s="401">
        <f t="shared" si="12"/>
        <v>560</v>
      </c>
      <c r="P146" s="100"/>
    </row>
    <row r="147" spans="1:16" x14ac:dyDescent="0.25">
      <c r="A147" s="761">
        <v>134</v>
      </c>
      <c r="B147" s="323" t="s">
        <v>280</v>
      </c>
      <c r="C147" s="821" t="s">
        <v>281</v>
      </c>
      <c r="D147" s="403"/>
      <c r="E147" s="101"/>
      <c r="F147" s="101"/>
      <c r="G147" s="101"/>
      <c r="H147" s="102"/>
      <c r="I147" s="102"/>
      <c r="J147" s="401"/>
      <c r="K147" s="453"/>
      <c r="L147" s="453"/>
      <c r="M147" s="487"/>
      <c r="N147" s="401"/>
      <c r="P147" s="100"/>
    </row>
    <row r="148" spans="1:16" x14ac:dyDescent="0.25">
      <c r="A148" s="761">
        <v>135</v>
      </c>
      <c r="B148" s="322" t="s">
        <v>282</v>
      </c>
      <c r="C148" s="822" t="s">
        <v>283</v>
      </c>
      <c r="D148" s="403"/>
      <c r="E148" s="101"/>
      <c r="F148" s="101"/>
      <c r="G148" s="101"/>
      <c r="H148" s="102"/>
      <c r="I148" s="102"/>
      <c r="J148" s="401"/>
      <c r="K148" s="453"/>
      <c r="L148" s="453"/>
      <c r="M148" s="321"/>
      <c r="N148" s="401"/>
      <c r="P148" s="100"/>
    </row>
    <row r="149" spans="1:16" x14ac:dyDescent="0.25">
      <c r="A149" s="761">
        <v>136</v>
      </c>
      <c r="B149" s="695" t="s">
        <v>284</v>
      </c>
      <c r="C149" s="826" t="s">
        <v>285</v>
      </c>
      <c r="D149" s="403"/>
      <c r="E149" s="101"/>
      <c r="F149" s="101"/>
      <c r="G149" s="101"/>
      <c r="H149" s="102"/>
      <c r="I149" s="102"/>
      <c r="J149" s="401"/>
      <c r="K149" s="453"/>
      <c r="L149" s="453"/>
      <c r="M149" s="648"/>
      <c r="N149" s="401"/>
      <c r="P149" s="100"/>
    </row>
    <row r="150" spans="1:16" x14ac:dyDescent="0.25">
      <c r="A150" s="761">
        <v>137</v>
      </c>
      <c r="B150" s="331" t="s">
        <v>387</v>
      </c>
      <c r="C150" s="694" t="s">
        <v>388</v>
      </c>
      <c r="D150" s="403"/>
      <c r="E150" s="101"/>
      <c r="F150" s="101"/>
      <c r="G150" s="101"/>
      <c r="H150" s="102"/>
      <c r="I150" s="102"/>
      <c r="J150" s="401"/>
      <c r="K150" s="453"/>
      <c r="L150" s="453"/>
      <c r="M150" s="321"/>
      <c r="N150" s="401"/>
      <c r="P150" s="100"/>
    </row>
    <row r="151" spans="1:16" x14ac:dyDescent="0.25">
      <c r="A151" s="761">
        <v>138</v>
      </c>
      <c r="B151" s="332" t="s">
        <v>389</v>
      </c>
      <c r="C151" s="333" t="s">
        <v>390</v>
      </c>
      <c r="D151" s="403"/>
      <c r="E151" s="101"/>
      <c r="F151" s="101"/>
      <c r="G151" s="101"/>
      <c r="H151" s="102"/>
      <c r="I151" s="102"/>
      <c r="J151" s="401"/>
      <c r="K151" s="453"/>
      <c r="L151" s="453"/>
      <c r="M151" s="321"/>
      <c r="N151" s="401"/>
      <c r="P151" s="100"/>
    </row>
    <row r="152" spans="1:16" x14ac:dyDescent="0.25">
      <c r="A152" s="761">
        <v>139</v>
      </c>
      <c r="B152" s="334" t="s">
        <v>391</v>
      </c>
      <c r="C152" s="827" t="s">
        <v>392</v>
      </c>
      <c r="D152" s="403"/>
      <c r="E152" s="101"/>
      <c r="F152" s="101"/>
      <c r="G152" s="101"/>
      <c r="H152" s="102"/>
      <c r="I152" s="102"/>
      <c r="J152" s="401"/>
      <c r="K152" s="453"/>
      <c r="L152" s="453">
        <v>660</v>
      </c>
      <c r="M152" s="648">
        <v>990</v>
      </c>
      <c r="N152" s="401">
        <f t="shared" si="12"/>
        <v>1650</v>
      </c>
      <c r="P152" s="100"/>
    </row>
    <row r="153" spans="1:16" x14ac:dyDescent="0.25">
      <c r="A153" s="761">
        <v>140</v>
      </c>
      <c r="B153" s="828" t="s">
        <v>393</v>
      </c>
      <c r="C153" s="829" t="s">
        <v>394</v>
      </c>
      <c r="D153" s="403"/>
      <c r="E153" s="101"/>
      <c r="F153" s="101"/>
      <c r="G153" s="696"/>
      <c r="H153" s="102"/>
      <c r="I153" s="102"/>
      <c r="J153" s="401"/>
      <c r="K153" s="453"/>
      <c r="L153" s="101"/>
      <c r="M153" s="321"/>
      <c r="N153" s="401"/>
      <c r="P153" s="100"/>
    </row>
    <row r="154" spans="1:16" x14ac:dyDescent="0.25">
      <c r="A154" s="761">
        <v>141</v>
      </c>
      <c r="B154" s="699" t="s">
        <v>801</v>
      </c>
      <c r="C154" s="829" t="s">
        <v>800</v>
      </c>
      <c r="D154" s="403"/>
      <c r="E154" s="101">
        <f>0+260</f>
        <v>260</v>
      </c>
      <c r="F154" s="101"/>
      <c r="G154" s="101">
        <f>0+2877-1047</f>
        <v>1830</v>
      </c>
      <c r="H154" s="102"/>
      <c r="I154" s="102">
        <f t="shared" si="10"/>
        <v>2090</v>
      </c>
      <c r="J154" s="401">
        <f t="shared" si="11"/>
        <v>2090</v>
      </c>
      <c r="K154" s="453"/>
      <c r="L154" s="101"/>
      <c r="M154" s="321"/>
      <c r="N154" s="401"/>
      <c r="P154" s="100"/>
    </row>
    <row r="155" spans="1:16" ht="12.75" thickBot="1" x14ac:dyDescent="0.3">
      <c r="A155" s="335">
        <v>142</v>
      </c>
      <c r="B155" s="577" t="s">
        <v>810</v>
      </c>
      <c r="C155" s="337" t="s">
        <v>811</v>
      </c>
      <c r="D155" s="697"/>
      <c r="E155" s="405"/>
      <c r="F155" s="405"/>
      <c r="G155" s="405"/>
      <c r="H155" s="698"/>
      <c r="I155" s="698"/>
      <c r="J155" s="830"/>
      <c r="K155" s="406"/>
      <c r="L155" s="405"/>
      <c r="M155" s="700">
        <f>0+8525-500</f>
        <v>8025</v>
      </c>
      <c r="N155" s="830">
        <f t="shared" si="12"/>
        <v>8025</v>
      </c>
      <c r="P155" s="100"/>
    </row>
    <row r="156" spans="1:16" x14ac:dyDescent="0.25">
      <c r="C156" s="576"/>
      <c r="H156" s="100"/>
      <c r="I156" s="100"/>
      <c r="J156" s="100"/>
      <c r="N156" s="100"/>
    </row>
    <row r="157" spans="1:16" x14ac:dyDescent="0.25">
      <c r="H157" s="100"/>
      <c r="I157" s="100"/>
      <c r="J157" s="100"/>
      <c r="N157" s="100"/>
    </row>
  </sheetData>
  <mergeCells count="16">
    <mergeCell ref="A93:A96"/>
    <mergeCell ref="B93:B96"/>
    <mergeCell ref="A1:N1"/>
    <mergeCell ref="A3:A5"/>
    <mergeCell ref="B3:B5"/>
    <mergeCell ref="C3:C5"/>
    <mergeCell ref="D3:J3"/>
    <mergeCell ref="K3:N3"/>
    <mergeCell ref="D4:E4"/>
    <mergeCell ref="F4:G4"/>
    <mergeCell ref="H4:J4"/>
    <mergeCell ref="K5:N5"/>
    <mergeCell ref="A9:C9"/>
    <mergeCell ref="A10:C10"/>
    <mergeCell ref="A7:C7"/>
    <mergeCell ref="A8:C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4"/>
  <sheetViews>
    <sheetView zoomScale="90" zoomScaleNormal="90" workbookViewId="0">
      <pane xSplit="3" ySplit="7" topLeftCell="D86" activePane="bottomRight" state="frozen"/>
      <selection pane="topRight" activeCell="D1" sqref="D1"/>
      <selection pane="bottomLeft" activeCell="A8" sqref="A8"/>
      <selection pane="bottomRight" activeCell="C89" sqref="C89"/>
    </sheetView>
  </sheetViews>
  <sheetFormatPr defaultRowHeight="12" x14ac:dyDescent="0.25"/>
  <cols>
    <col min="1" max="1" width="4.7109375" style="404" customWidth="1"/>
    <col min="2" max="2" width="8" style="404" customWidth="1"/>
    <col min="3" max="3" width="33.28515625" style="462" customWidth="1"/>
    <col min="4" max="5" width="14.7109375" style="103" customWidth="1"/>
    <col min="6" max="6" width="12.5703125" style="103" customWidth="1"/>
    <col min="7" max="7" width="11.28515625" style="404" customWidth="1"/>
    <col min="8" max="8" width="10.7109375" style="404" customWidth="1"/>
    <col min="9" max="9" width="11.140625" style="404" customWidth="1"/>
    <col min="10" max="16384" width="9.140625" style="404"/>
  </cols>
  <sheetData>
    <row r="1" spans="1:9" ht="15.75" x14ac:dyDescent="0.25">
      <c r="A1" s="1288" t="s">
        <v>622</v>
      </c>
      <c r="B1" s="1289"/>
      <c r="C1" s="1289"/>
      <c r="D1" s="1289"/>
      <c r="E1" s="1289"/>
      <c r="F1" s="1289"/>
      <c r="G1" s="1289"/>
      <c r="H1" s="1289"/>
      <c r="I1" s="1289"/>
    </row>
    <row r="2" spans="1:9" ht="12.75" thickBot="1" x14ac:dyDescent="0.3"/>
    <row r="3" spans="1:9" s="463" customFormat="1" ht="27" customHeight="1" x14ac:dyDescent="0.25">
      <c r="A3" s="1261" t="s">
        <v>0</v>
      </c>
      <c r="B3" s="1264" t="s">
        <v>600</v>
      </c>
      <c r="C3" s="1267" t="s">
        <v>292</v>
      </c>
      <c r="D3" s="1293" t="s">
        <v>796</v>
      </c>
      <c r="E3" s="1294"/>
      <c r="F3" s="1293" t="s">
        <v>617</v>
      </c>
      <c r="G3" s="1295"/>
      <c r="H3" s="1296" t="s">
        <v>618</v>
      </c>
      <c r="I3" s="1295"/>
    </row>
    <row r="4" spans="1:9" s="463" customFormat="1" ht="39.75" customHeight="1" thickBot="1" x14ac:dyDescent="0.3">
      <c r="A4" s="1290"/>
      <c r="B4" s="1291"/>
      <c r="C4" s="1292"/>
      <c r="D4" s="460" t="s">
        <v>289</v>
      </c>
      <c r="E4" s="461" t="s">
        <v>604</v>
      </c>
      <c r="F4" s="464" t="s">
        <v>619</v>
      </c>
      <c r="G4" s="465" t="s">
        <v>606</v>
      </c>
      <c r="H4" s="466" t="s">
        <v>607</v>
      </c>
      <c r="I4" s="465" t="s">
        <v>608</v>
      </c>
    </row>
    <row r="5" spans="1:9" s="469" customFormat="1" x14ac:dyDescent="0.25">
      <c r="A5" s="1297" t="s">
        <v>6</v>
      </c>
      <c r="B5" s="1298"/>
      <c r="C5" s="1299"/>
      <c r="D5" s="455">
        <f>SUM(D6:D8)</f>
        <v>50318</v>
      </c>
      <c r="E5" s="467">
        <f t="shared" ref="E5:I5" si="0">SUM(E6:E8)</f>
        <v>6273</v>
      </c>
      <c r="F5" s="455">
        <f t="shared" si="0"/>
        <v>4364</v>
      </c>
      <c r="G5" s="456">
        <f t="shared" si="0"/>
        <v>135036</v>
      </c>
      <c r="H5" s="468">
        <f t="shared" si="0"/>
        <v>4075</v>
      </c>
      <c r="I5" s="456">
        <f t="shared" si="0"/>
        <v>85560</v>
      </c>
    </row>
    <row r="6" spans="1:9" s="469" customFormat="1" x14ac:dyDescent="0.25">
      <c r="A6" s="1303" t="s">
        <v>14</v>
      </c>
      <c r="B6" s="1304"/>
      <c r="C6" s="1305"/>
      <c r="D6" s="320"/>
      <c r="E6" s="470"/>
      <c r="F6" s="485"/>
      <c r="G6" s="457"/>
      <c r="H6" s="471"/>
      <c r="I6" s="457"/>
    </row>
    <row r="7" spans="1:9" s="469" customFormat="1" x14ac:dyDescent="0.25">
      <c r="A7" s="1303" t="s">
        <v>444</v>
      </c>
      <c r="B7" s="1304"/>
      <c r="C7" s="1305"/>
      <c r="D7" s="320"/>
      <c r="E7" s="470"/>
      <c r="F7" s="485"/>
      <c r="G7" s="457"/>
      <c r="H7" s="471"/>
      <c r="I7" s="457"/>
    </row>
    <row r="8" spans="1:9" x14ac:dyDescent="0.25">
      <c r="A8" s="1303" t="s">
        <v>15</v>
      </c>
      <c r="B8" s="1304"/>
      <c r="C8" s="1305"/>
      <c r="D8" s="459">
        <f>SUM(D9:D151)</f>
        <v>50318</v>
      </c>
      <c r="E8" s="472">
        <f t="shared" ref="E8:I8" si="1">SUM(E9:E151)</f>
        <v>6273</v>
      </c>
      <c r="F8" s="459">
        <f t="shared" si="1"/>
        <v>4364</v>
      </c>
      <c r="G8" s="473">
        <f t="shared" si="1"/>
        <v>135036</v>
      </c>
      <c r="H8" s="474">
        <f t="shared" si="1"/>
        <v>4075</v>
      </c>
      <c r="I8" s="473">
        <f t="shared" si="1"/>
        <v>85560</v>
      </c>
    </row>
    <row r="9" spans="1:9" x14ac:dyDescent="0.25">
      <c r="A9" s="485">
        <v>1</v>
      </c>
      <c r="B9" s="483" t="s">
        <v>16</v>
      </c>
      <c r="C9" s="324" t="s">
        <v>17</v>
      </c>
      <c r="D9" s="320"/>
      <c r="E9" s="470"/>
      <c r="F9" s="320"/>
      <c r="G9" s="457"/>
      <c r="H9" s="471"/>
      <c r="I9" s="457"/>
    </row>
    <row r="10" spans="1:9" x14ac:dyDescent="0.25">
      <c r="A10" s="485">
        <v>2</v>
      </c>
      <c r="B10" s="483" t="s">
        <v>18</v>
      </c>
      <c r="C10" s="324" t="s">
        <v>19</v>
      </c>
      <c r="D10" s="320"/>
      <c r="E10" s="470"/>
      <c r="F10" s="320"/>
      <c r="G10" s="457"/>
      <c r="H10" s="471"/>
      <c r="I10" s="457"/>
    </row>
    <row r="11" spans="1:9" x14ac:dyDescent="0.25">
      <c r="A11" s="485">
        <v>3</v>
      </c>
      <c r="B11" s="331" t="s">
        <v>20</v>
      </c>
      <c r="C11" s="324" t="s">
        <v>21</v>
      </c>
      <c r="D11" s="320">
        <v>1460</v>
      </c>
      <c r="E11" s="470">
        <v>88</v>
      </c>
      <c r="F11" s="320"/>
      <c r="G11" s="457"/>
      <c r="H11" s="471">
        <v>221</v>
      </c>
      <c r="I11" s="457">
        <v>4650</v>
      </c>
    </row>
    <row r="12" spans="1:9" x14ac:dyDescent="0.25">
      <c r="A12" s="485">
        <v>4</v>
      </c>
      <c r="B12" s="483" t="s">
        <v>22</v>
      </c>
      <c r="C12" s="324" t="s">
        <v>23</v>
      </c>
      <c r="D12" s="320"/>
      <c r="E12" s="470"/>
      <c r="F12" s="320"/>
      <c r="G12" s="457"/>
      <c r="H12" s="471"/>
      <c r="I12" s="457"/>
    </row>
    <row r="13" spans="1:9" x14ac:dyDescent="0.25">
      <c r="A13" s="485">
        <v>5</v>
      </c>
      <c r="B13" s="483" t="s">
        <v>24</v>
      </c>
      <c r="C13" s="324" t="s">
        <v>25</v>
      </c>
      <c r="D13" s="320"/>
      <c r="E13" s="470"/>
      <c r="F13" s="320"/>
      <c r="G13" s="457"/>
      <c r="H13" s="471"/>
      <c r="I13" s="457"/>
    </row>
    <row r="14" spans="1:9" x14ac:dyDescent="0.25">
      <c r="A14" s="485">
        <v>6</v>
      </c>
      <c r="B14" s="331" t="s">
        <v>26</v>
      </c>
      <c r="C14" s="324" t="s">
        <v>27</v>
      </c>
      <c r="D14" s="320"/>
      <c r="E14" s="470"/>
      <c r="F14" s="320"/>
      <c r="G14" s="457"/>
      <c r="H14" s="471"/>
      <c r="I14" s="457"/>
    </row>
    <row r="15" spans="1:9" x14ac:dyDescent="0.25">
      <c r="A15" s="485">
        <v>7</v>
      </c>
      <c r="B15" s="483" t="s">
        <v>28</v>
      </c>
      <c r="C15" s="324" t="s">
        <v>29</v>
      </c>
      <c r="D15" s="320"/>
      <c r="E15" s="470"/>
      <c r="F15" s="320"/>
      <c r="G15" s="457"/>
      <c r="H15" s="471"/>
      <c r="I15" s="457"/>
    </row>
    <row r="16" spans="1:9" x14ac:dyDescent="0.25">
      <c r="A16" s="485">
        <v>8</v>
      </c>
      <c r="B16" s="331" t="s">
        <v>30</v>
      </c>
      <c r="C16" s="324" t="s">
        <v>31</v>
      </c>
      <c r="D16" s="320"/>
      <c r="E16" s="470"/>
      <c r="F16" s="320"/>
      <c r="G16" s="457"/>
      <c r="H16" s="471"/>
      <c r="I16" s="457"/>
    </row>
    <row r="17" spans="1:9" x14ac:dyDescent="0.25">
      <c r="A17" s="485">
        <v>9</v>
      </c>
      <c r="B17" s="331" t="s">
        <v>32</v>
      </c>
      <c r="C17" s="324" t="s">
        <v>33</v>
      </c>
      <c r="D17" s="320"/>
      <c r="E17" s="470"/>
      <c r="F17" s="320"/>
      <c r="G17" s="457"/>
      <c r="H17" s="471"/>
      <c r="I17" s="457"/>
    </row>
    <row r="18" spans="1:9" x14ac:dyDescent="0.25">
      <c r="A18" s="485">
        <v>10</v>
      </c>
      <c r="B18" s="331" t="s">
        <v>34</v>
      </c>
      <c r="C18" s="324" t="s">
        <v>35</v>
      </c>
      <c r="D18" s="320">
        <v>1460</v>
      </c>
      <c r="E18" s="470">
        <v>125</v>
      </c>
      <c r="F18" s="320">
        <v>330</v>
      </c>
      <c r="G18" s="457">
        <v>9900</v>
      </c>
      <c r="H18" s="471"/>
      <c r="I18" s="457"/>
    </row>
    <row r="19" spans="1:9" x14ac:dyDescent="0.25">
      <c r="A19" s="485">
        <v>11</v>
      </c>
      <c r="B19" s="331" t="s">
        <v>36</v>
      </c>
      <c r="C19" s="324" t="s">
        <v>37</v>
      </c>
      <c r="D19" s="320"/>
      <c r="E19" s="470"/>
      <c r="F19" s="320"/>
      <c r="G19" s="457"/>
      <c r="H19" s="471"/>
      <c r="I19" s="457"/>
    </row>
    <row r="20" spans="1:9" x14ac:dyDescent="0.25">
      <c r="A20" s="485">
        <v>12</v>
      </c>
      <c r="B20" s="331" t="s">
        <v>38</v>
      </c>
      <c r="C20" s="324" t="s">
        <v>39</v>
      </c>
      <c r="D20" s="320"/>
      <c r="E20" s="470"/>
      <c r="F20" s="320"/>
      <c r="G20" s="457"/>
      <c r="H20" s="471"/>
      <c r="I20" s="457"/>
    </row>
    <row r="21" spans="1:9" ht="12" customHeight="1" x14ac:dyDescent="0.25">
      <c r="A21" s="485">
        <v>13</v>
      </c>
      <c r="B21" s="486" t="s">
        <v>40</v>
      </c>
      <c r="C21" s="327" t="s">
        <v>41</v>
      </c>
      <c r="D21" s="320"/>
      <c r="E21" s="470"/>
      <c r="F21" s="320"/>
      <c r="G21" s="457"/>
      <c r="H21" s="471"/>
      <c r="I21" s="457"/>
    </row>
    <row r="22" spans="1:9" x14ac:dyDescent="0.25">
      <c r="A22" s="485">
        <v>14</v>
      </c>
      <c r="B22" s="348" t="s">
        <v>42</v>
      </c>
      <c r="C22" s="327" t="s">
        <v>43</v>
      </c>
      <c r="D22" s="320"/>
      <c r="E22" s="470"/>
      <c r="F22" s="320"/>
      <c r="G22" s="457"/>
      <c r="H22" s="471"/>
      <c r="I22" s="457"/>
    </row>
    <row r="23" spans="1:9" x14ac:dyDescent="0.25">
      <c r="A23" s="485">
        <v>15</v>
      </c>
      <c r="B23" s="331" t="s">
        <v>44</v>
      </c>
      <c r="C23" s="324" t="s">
        <v>45</v>
      </c>
      <c r="D23" s="320"/>
      <c r="E23" s="470"/>
      <c r="F23" s="320"/>
      <c r="G23" s="457"/>
      <c r="H23" s="471"/>
      <c r="I23" s="457"/>
    </row>
    <row r="24" spans="1:9" x14ac:dyDescent="0.25">
      <c r="A24" s="485">
        <v>16</v>
      </c>
      <c r="B24" s="331" t="s">
        <v>46</v>
      </c>
      <c r="C24" s="324" t="s">
        <v>47</v>
      </c>
      <c r="D24" s="320"/>
      <c r="E24" s="470"/>
      <c r="F24" s="320"/>
      <c r="G24" s="457"/>
      <c r="H24" s="471"/>
      <c r="I24" s="457"/>
    </row>
    <row r="25" spans="1:9" x14ac:dyDescent="0.25">
      <c r="A25" s="485">
        <v>17</v>
      </c>
      <c r="B25" s="331" t="s">
        <v>48</v>
      </c>
      <c r="C25" s="324" t="s">
        <v>49</v>
      </c>
      <c r="D25" s="320"/>
      <c r="E25" s="470"/>
      <c r="F25" s="320"/>
      <c r="G25" s="457"/>
      <c r="H25" s="471"/>
      <c r="I25" s="457"/>
    </row>
    <row r="26" spans="1:9" x14ac:dyDescent="0.25">
      <c r="A26" s="485">
        <v>18</v>
      </c>
      <c r="B26" s="331" t="s">
        <v>50</v>
      </c>
      <c r="C26" s="324" t="s">
        <v>51</v>
      </c>
      <c r="D26" s="320">
        <v>3710</v>
      </c>
      <c r="E26" s="470">
        <v>447</v>
      </c>
      <c r="F26" s="320"/>
      <c r="G26" s="457"/>
      <c r="H26" s="471"/>
      <c r="I26" s="457"/>
    </row>
    <row r="27" spans="1:9" x14ac:dyDescent="0.25">
      <c r="A27" s="485">
        <v>19</v>
      </c>
      <c r="B27" s="483" t="s">
        <v>52</v>
      </c>
      <c r="C27" s="324" t="s">
        <v>53</v>
      </c>
      <c r="D27" s="320"/>
      <c r="E27" s="470"/>
      <c r="F27" s="320"/>
      <c r="G27" s="457"/>
      <c r="H27" s="471"/>
      <c r="I27" s="457"/>
    </row>
    <row r="28" spans="1:9" x14ac:dyDescent="0.25">
      <c r="A28" s="485">
        <v>20</v>
      </c>
      <c r="B28" s="483" t="s">
        <v>54</v>
      </c>
      <c r="C28" s="324" t="s">
        <v>55</v>
      </c>
      <c r="D28" s="320"/>
      <c r="E28" s="470"/>
      <c r="F28" s="320"/>
      <c r="G28" s="457"/>
      <c r="H28" s="471"/>
      <c r="I28" s="457"/>
    </row>
    <row r="29" spans="1:9" x14ac:dyDescent="0.25">
      <c r="A29" s="485">
        <v>21</v>
      </c>
      <c r="B29" s="483" t="s">
        <v>56</v>
      </c>
      <c r="C29" s="324" t="s">
        <v>57</v>
      </c>
      <c r="D29" s="320">
        <v>1460</v>
      </c>
      <c r="E29" s="470">
        <v>125</v>
      </c>
      <c r="F29" s="320">
        <v>330</v>
      </c>
      <c r="G29" s="457">
        <v>9900</v>
      </c>
      <c r="H29" s="471"/>
      <c r="I29" s="457"/>
    </row>
    <row r="30" spans="1:9" x14ac:dyDescent="0.25">
      <c r="A30" s="485">
        <v>22</v>
      </c>
      <c r="B30" s="483" t="s">
        <v>58</v>
      </c>
      <c r="C30" s="324" t="s">
        <v>59</v>
      </c>
      <c r="D30" s="320">
        <v>1459</v>
      </c>
      <c r="E30" s="470">
        <v>88</v>
      </c>
      <c r="F30" s="320">
        <v>165</v>
      </c>
      <c r="G30" s="457">
        <v>4950</v>
      </c>
      <c r="H30" s="471"/>
      <c r="I30" s="457"/>
    </row>
    <row r="31" spans="1:9" x14ac:dyDescent="0.25">
      <c r="A31" s="485">
        <v>23</v>
      </c>
      <c r="B31" s="331" t="s">
        <v>60</v>
      </c>
      <c r="C31" s="324" t="s">
        <v>61</v>
      </c>
      <c r="D31" s="320"/>
      <c r="E31" s="470"/>
      <c r="F31" s="320"/>
      <c r="G31" s="457"/>
      <c r="H31" s="471"/>
      <c r="I31" s="457"/>
    </row>
    <row r="32" spans="1:9" x14ac:dyDescent="0.25">
      <c r="A32" s="485">
        <v>24</v>
      </c>
      <c r="B32" s="331" t="s">
        <v>62</v>
      </c>
      <c r="C32" s="324" t="s">
        <v>63</v>
      </c>
      <c r="D32" s="320"/>
      <c r="E32" s="470"/>
      <c r="F32" s="320"/>
      <c r="G32" s="457"/>
      <c r="H32" s="471"/>
      <c r="I32" s="457"/>
    </row>
    <row r="33" spans="1:9" ht="24" x14ac:dyDescent="0.25">
      <c r="A33" s="485">
        <v>25</v>
      </c>
      <c r="B33" s="331" t="s">
        <v>64</v>
      </c>
      <c r="C33" s="324" t="s">
        <v>65</v>
      </c>
      <c r="D33" s="320"/>
      <c r="E33" s="470"/>
      <c r="F33" s="320"/>
      <c r="G33" s="457"/>
      <c r="H33" s="471"/>
      <c r="I33" s="457"/>
    </row>
    <row r="34" spans="1:9" x14ac:dyDescent="0.25">
      <c r="A34" s="485">
        <v>26</v>
      </c>
      <c r="B34" s="483" t="s">
        <v>66</v>
      </c>
      <c r="C34" s="324" t="s">
        <v>67</v>
      </c>
      <c r="D34" s="320">
        <v>1459</v>
      </c>
      <c r="E34" s="470">
        <v>125</v>
      </c>
      <c r="F34" s="320">
        <v>330</v>
      </c>
      <c r="G34" s="457">
        <v>9900</v>
      </c>
      <c r="H34" s="471">
        <v>221</v>
      </c>
      <c r="I34" s="457">
        <v>4650</v>
      </c>
    </row>
    <row r="35" spans="1:9" x14ac:dyDescent="0.25">
      <c r="A35" s="485">
        <v>27</v>
      </c>
      <c r="B35" s="331" t="s">
        <v>68</v>
      </c>
      <c r="C35" s="324" t="s">
        <v>69</v>
      </c>
      <c r="D35" s="320"/>
      <c r="E35" s="470"/>
      <c r="F35" s="320"/>
      <c r="G35" s="457"/>
      <c r="H35" s="471"/>
      <c r="I35" s="457"/>
    </row>
    <row r="36" spans="1:9" x14ac:dyDescent="0.25">
      <c r="A36" s="485">
        <v>28</v>
      </c>
      <c r="B36" s="331" t="s">
        <v>70</v>
      </c>
      <c r="C36" s="324" t="s">
        <v>71</v>
      </c>
      <c r="D36" s="320"/>
      <c r="E36" s="470"/>
      <c r="F36" s="320"/>
      <c r="G36" s="457"/>
      <c r="H36" s="471"/>
      <c r="I36" s="457"/>
    </row>
    <row r="37" spans="1:9" x14ac:dyDescent="0.25">
      <c r="A37" s="485">
        <v>29</v>
      </c>
      <c r="B37" s="483" t="s">
        <v>72</v>
      </c>
      <c r="C37" s="324" t="s">
        <v>73</v>
      </c>
      <c r="D37" s="320"/>
      <c r="E37" s="470"/>
      <c r="F37" s="320"/>
      <c r="G37" s="457"/>
      <c r="H37" s="471"/>
      <c r="I37" s="457"/>
    </row>
    <row r="38" spans="1:9" ht="24" x14ac:dyDescent="0.25">
      <c r="A38" s="485">
        <v>30</v>
      </c>
      <c r="B38" s="483" t="s">
        <v>74</v>
      </c>
      <c r="C38" s="324" t="s">
        <v>377</v>
      </c>
      <c r="D38" s="320"/>
      <c r="E38" s="470"/>
      <c r="F38" s="320"/>
      <c r="G38" s="457"/>
      <c r="H38" s="471"/>
      <c r="I38" s="457"/>
    </row>
    <row r="39" spans="1:9" x14ac:dyDescent="0.25">
      <c r="A39" s="485">
        <v>31</v>
      </c>
      <c r="B39" s="483" t="s">
        <v>75</v>
      </c>
      <c r="C39" s="324" t="s">
        <v>76</v>
      </c>
      <c r="D39" s="320"/>
      <c r="E39" s="470"/>
      <c r="F39" s="320"/>
      <c r="G39" s="457"/>
      <c r="H39" s="471"/>
      <c r="I39" s="457"/>
    </row>
    <row r="40" spans="1:9" x14ac:dyDescent="0.25">
      <c r="A40" s="485">
        <v>32</v>
      </c>
      <c r="B40" s="331" t="s">
        <v>77</v>
      </c>
      <c r="C40" s="324" t="s">
        <v>78</v>
      </c>
      <c r="D40" s="320">
        <v>1460</v>
      </c>
      <c r="E40" s="470">
        <v>125</v>
      </c>
      <c r="F40" s="320"/>
      <c r="G40" s="457"/>
      <c r="H40" s="471">
        <v>221</v>
      </c>
      <c r="I40" s="457">
        <v>4650</v>
      </c>
    </row>
    <row r="41" spans="1:9" x14ac:dyDescent="0.25">
      <c r="A41" s="485">
        <v>33</v>
      </c>
      <c r="B41" s="483" t="s">
        <v>79</v>
      </c>
      <c r="C41" s="324" t="s">
        <v>80</v>
      </c>
      <c r="D41" s="320"/>
      <c r="E41" s="470"/>
      <c r="F41" s="320"/>
      <c r="G41" s="457"/>
      <c r="H41" s="471"/>
      <c r="I41" s="457"/>
    </row>
    <row r="42" spans="1:9" x14ac:dyDescent="0.25">
      <c r="A42" s="485">
        <v>34</v>
      </c>
      <c r="B42" s="483" t="s">
        <v>81</v>
      </c>
      <c r="C42" s="324" t="s">
        <v>82</v>
      </c>
      <c r="D42" s="320"/>
      <c r="E42" s="470"/>
      <c r="F42" s="320"/>
      <c r="G42" s="457"/>
      <c r="H42" s="471"/>
      <c r="I42" s="457"/>
    </row>
    <row r="43" spans="1:9" x14ac:dyDescent="0.25">
      <c r="A43" s="485">
        <v>35</v>
      </c>
      <c r="B43" s="483" t="s">
        <v>83</v>
      </c>
      <c r="C43" s="324" t="s">
        <v>84</v>
      </c>
      <c r="D43" s="320"/>
      <c r="E43" s="470"/>
      <c r="F43" s="320"/>
      <c r="G43" s="457"/>
      <c r="H43" s="471"/>
      <c r="I43" s="457"/>
    </row>
    <row r="44" spans="1:9" x14ac:dyDescent="0.25">
      <c r="A44" s="485">
        <v>36</v>
      </c>
      <c r="B44" s="483" t="s">
        <v>85</v>
      </c>
      <c r="C44" s="324" t="s">
        <v>86</v>
      </c>
      <c r="D44" s="320"/>
      <c r="E44" s="470"/>
      <c r="F44" s="320"/>
      <c r="G44" s="457"/>
      <c r="H44" s="471"/>
      <c r="I44" s="457"/>
    </row>
    <row r="45" spans="1:9" x14ac:dyDescent="0.25">
      <c r="A45" s="485">
        <v>37</v>
      </c>
      <c r="B45" s="331" t="s">
        <v>87</v>
      </c>
      <c r="C45" s="324" t="s">
        <v>88</v>
      </c>
      <c r="D45" s="320">
        <v>1460</v>
      </c>
      <c r="E45" s="470">
        <v>125</v>
      </c>
      <c r="F45" s="320">
        <v>330</v>
      </c>
      <c r="G45" s="457">
        <v>9900</v>
      </c>
      <c r="H45" s="471"/>
      <c r="I45" s="457"/>
    </row>
    <row r="46" spans="1:9" x14ac:dyDescent="0.25">
      <c r="A46" s="485">
        <v>38</v>
      </c>
      <c r="B46" s="483" t="s">
        <v>89</v>
      </c>
      <c r="C46" s="324" t="s">
        <v>90</v>
      </c>
      <c r="D46" s="320">
        <v>1459</v>
      </c>
      <c r="E46" s="470">
        <v>88</v>
      </c>
      <c r="F46" s="320"/>
      <c r="G46" s="457"/>
      <c r="H46" s="471">
        <v>148</v>
      </c>
      <c r="I46" s="457">
        <v>3100</v>
      </c>
    </row>
    <row r="47" spans="1:9" x14ac:dyDescent="0.25">
      <c r="A47" s="485">
        <v>39</v>
      </c>
      <c r="B47" s="483" t="s">
        <v>91</v>
      </c>
      <c r="C47" s="324" t="s">
        <v>92</v>
      </c>
      <c r="D47" s="320"/>
      <c r="E47" s="470"/>
      <c r="F47" s="320"/>
      <c r="G47" s="457"/>
      <c r="H47" s="471"/>
      <c r="I47" s="457"/>
    </row>
    <row r="48" spans="1:9" x14ac:dyDescent="0.25">
      <c r="A48" s="485">
        <v>40</v>
      </c>
      <c r="B48" s="484" t="s">
        <v>93</v>
      </c>
      <c r="C48" s="333" t="s">
        <v>94</v>
      </c>
      <c r="D48" s="320"/>
      <c r="E48" s="470"/>
      <c r="F48" s="320"/>
      <c r="G48" s="457"/>
      <c r="H48" s="471"/>
      <c r="I48" s="457"/>
    </row>
    <row r="49" spans="1:9" x14ac:dyDescent="0.25">
      <c r="A49" s="485">
        <v>41</v>
      </c>
      <c r="B49" s="483" t="s">
        <v>95</v>
      </c>
      <c r="C49" s="324" t="s">
        <v>96</v>
      </c>
      <c r="D49" s="320"/>
      <c r="E49" s="470"/>
      <c r="F49" s="320"/>
      <c r="G49" s="457"/>
      <c r="H49" s="471"/>
      <c r="I49" s="457"/>
    </row>
    <row r="50" spans="1:9" x14ac:dyDescent="0.25">
      <c r="A50" s="485">
        <v>42</v>
      </c>
      <c r="B50" s="483" t="s">
        <v>97</v>
      </c>
      <c r="C50" s="324" t="s">
        <v>98</v>
      </c>
      <c r="D50" s="320"/>
      <c r="E50" s="470"/>
      <c r="F50" s="320"/>
      <c r="G50" s="457"/>
      <c r="H50" s="471"/>
      <c r="I50" s="457"/>
    </row>
    <row r="51" spans="1:9" x14ac:dyDescent="0.25">
      <c r="A51" s="485">
        <v>43</v>
      </c>
      <c r="B51" s="331" t="s">
        <v>99</v>
      </c>
      <c r="C51" s="324" t="s">
        <v>100</v>
      </c>
      <c r="D51" s="320"/>
      <c r="E51" s="470"/>
      <c r="F51" s="320"/>
      <c r="G51" s="457"/>
      <c r="H51" s="471"/>
      <c r="I51" s="457"/>
    </row>
    <row r="52" spans="1:9" x14ac:dyDescent="0.25">
      <c r="A52" s="485">
        <v>44</v>
      </c>
      <c r="B52" s="483" t="s">
        <v>101</v>
      </c>
      <c r="C52" s="324" t="s">
        <v>102</v>
      </c>
      <c r="D52" s="320">
        <v>1459</v>
      </c>
      <c r="E52" s="470">
        <v>88</v>
      </c>
      <c r="F52" s="320"/>
      <c r="G52" s="457"/>
      <c r="H52" s="471">
        <v>148</v>
      </c>
      <c r="I52" s="457">
        <v>3100</v>
      </c>
    </row>
    <row r="53" spans="1:9" x14ac:dyDescent="0.25">
      <c r="A53" s="485">
        <v>45</v>
      </c>
      <c r="B53" s="331" t="s">
        <v>103</v>
      </c>
      <c r="C53" s="324" t="s">
        <v>104</v>
      </c>
      <c r="D53" s="320"/>
      <c r="E53" s="470"/>
      <c r="F53" s="320"/>
      <c r="G53" s="457"/>
      <c r="H53" s="471"/>
      <c r="I53" s="457"/>
    </row>
    <row r="54" spans="1:9" x14ac:dyDescent="0.25">
      <c r="A54" s="485">
        <v>46</v>
      </c>
      <c r="B54" s="483" t="s">
        <v>105</v>
      </c>
      <c r="C54" s="324" t="s">
        <v>106</v>
      </c>
      <c r="D54" s="320"/>
      <c r="E54" s="470"/>
      <c r="F54" s="320"/>
      <c r="G54" s="457"/>
      <c r="H54" s="471"/>
      <c r="I54" s="457"/>
    </row>
    <row r="55" spans="1:9" x14ac:dyDescent="0.25">
      <c r="A55" s="485">
        <v>47</v>
      </c>
      <c r="B55" s="483" t="s">
        <v>107</v>
      </c>
      <c r="C55" s="324" t="s">
        <v>108</v>
      </c>
      <c r="D55" s="320">
        <v>1460</v>
      </c>
      <c r="E55" s="470">
        <v>125</v>
      </c>
      <c r="F55" s="320">
        <v>330</v>
      </c>
      <c r="G55" s="457">
        <v>9900</v>
      </c>
      <c r="H55" s="471"/>
      <c r="I55" s="457"/>
    </row>
    <row r="56" spans="1:9" x14ac:dyDescent="0.25">
      <c r="A56" s="485">
        <v>48</v>
      </c>
      <c r="B56" s="331" t="s">
        <v>109</v>
      </c>
      <c r="C56" s="324" t="s">
        <v>110</v>
      </c>
      <c r="D56" s="320"/>
      <c r="E56" s="470"/>
      <c r="F56" s="320"/>
      <c r="G56" s="457"/>
      <c r="H56" s="471"/>
      <c r="I56" s="457"/>
    </row>
    <row r="57" spans="1:9" x14ac:dyDescent="0.25">
      <c r="A57" s="485">
        <v>49</v>
      </c>
      <c r="B57" s="331" t="s">
        <v>111</v>
      </c>
      <c r="C57" s="324" t="s">
        <v>112</v>
      </c>
      <c r="D57" s="320"/>
      <c r="E57" s="470"/>
      <c r="F57" s="320"/>
      <c r="G57" s="457"/>
      <c r="H57" s="471"/>
      <c r="I57" s="457"/>
    </row>
    <row r="58" spans="1:9" x14ac:dyDescent="0.25">
      <c r="A58" s="485">
        <v>50</v>
      </c>
      <c r="B58" s="483" t="s">
        <v>113</v>
      </c>
      <c r="C58" s="324" t="s">
        <v>114</v>
      </c>
      <c r="D58" s="320"/>
      <c r="E58" s="470"/>
      <c r="F58" s="320"/>
      <c r="G58" s="457"/>
      <c r="H58" s="471"/>
      <c r="I58" s="457"/>
    </row>
    <row r="59" spans="1:9" x14ac:dyDescent="0.25">
      <c r="A59" s="485">
        <v>51</v>
      </c>
      <c r="B59" s="331" t="s">
        <v>115</v>
      </c>
      <c r="C59" s="324" t="s">
        <v>116</v>
      </c>
      <c r="D59" s="320"/>
      <c r="E59" s="470"/>
      <c r="F59" s="320"/>
      <c r="G59" s="457"/>
      <c r="H59" s="471"/>
      <c r="I59" s="457"/>
    </row>
    <row r="60" spans="1:9" x14ac:dyDescent="0.25">
      <c r="A60" s="485">
        <v>52</v>
      </c>
      <c r="B60" s="483" t="s">
        <v>117</v>
      </c>
      <c r="C60" s="324" t="s">
        <v>118</v>
      </c>
      <c r="D60" s="320"/>
      <c r="E60" s="470"/>
      <c r="F60" s="320"/>
      <c r="G60" s="457"/>
      <c r="H60" s="471"/>
      <c r="I60" s="457"/>
    </row>
    <row r="61" spans="1:9" x14ac:dyDescent="0.25">
      <c r="A61" s="485">
        <v>53</v>
      </c>
      <c r="B61" s="331" t="s">
        <v>119</v>
      </c>
      <c r="C61" s="324" t="s">
        <v>120</v>
      </c>
      <c r="D61" s="320"/>
      <c r="E61" s="470"/>
      <c r="F61" s="320"/>
      <c r="G61" s="457"/>
      <c r="H61" s="471"/>
      <c r="I61" s="457"/>
    </row>
    <row r="62" spans="1:9" ht="11.25" customHeight="1" x14ac:dyDescent="0.25">
      <c r="A62" s="485">
        <v>54</v>
      </c>
      <c r="B62" s="331" t="s">
        <v>121</v>
      </c>
      <c r="C62" s="324" t="s">
        <v>122</v>
      </c>
      <c r="D62" s="320"/>
      <c r="E62" s="470"/>
      <c r="F62" s="320"/>
      <c r="G62" s="457"/>
      <c r="H62" s="471"/>
      <c r="I62" s="457"/>
    </row>
    <row r="63" spans="1:9" x14ac:dyDescent="0.25">
      <c r="A63" s="485">
        <v>55</v>
      </c>
      <c r="B63" s="331" t="s">
        <v>123</v>
      </c>
      <c r="C63" s="324" t="s">
        <v>124</v>
      </c>
      <c r="D63" s="320"/>
      <c r="E63" s="470"/>
      <c r="F63" s="320"/>
      <c r="G63" s="457"/>
      <c r="H63" s="471"/>
      <c r="I63" s="457"/>
    </row>
    <row r="64" spans="1:9" ht="11.25" customHeight="1" x14ac:dyDescent="0.25">
      <c r="A64" s="485">
        <v>56</v>
      </c>
      <c r="B64" s="486" t="s">
        <v>125</v>
      </c>
      <c r="C64" s="327" t="s">
        <v>126</v>
      </c>
      <c r="D64" s="320"/>
      <c r="E64" s="470"/>
      <c r="F64" s="320"/>
      <c r="G64" s="457"/>
      <c r="H64" s="471"/>
      <c r="I64" s="457"/>
    </row>
    <row r="65" spans="1:9" x14ac:dyDescent="0.25">
      <c r="A65" s="485">
        <v>57</v>
      </c>
      <c r="B65" s="331" t="s">
        <v>127</v>
      </c>
      <c r="C65" s="324" t="s">
        <v>128</v>
      </c>
      <c r="D65" s="320"/>
      <c r="E65" s="470"/>
      <c r="F65" s="320"/>
      <c r="G65" s="457"/>
      <c r="H65" s="471"/>
      <c r="I65" s="457"/>
    </row>
    <row r="66" spans="1:9" x14ac:dyDescent="0.25">
      <c r="A66" s="485">
        <v>58</v>
      </c>
      <c r="B66" s="331" t="s">
        <v>129</v>
      </c>
      <c r="C66" s="324" t="s">
        <v>459</v>
      </c>
      <c r="D66" s="320"/>
      <c r="E66" s="470"/>
      <c r="F66" s="320"/>
      <c r="G66" s="457"/>
      <c r="H66" s="471"/>
      <c r="I66" s="457"/>
    </row>
    <row r="67" spans="1:9" x14ac:dyDescent="0.25">
      <c r="A67" s="485">
        <v>59</v>
      </c>
      <c r="B67" s="331" t="s">
        <v>131</v>
      </c>
      <c r="C67" s="324" t="s">
        <v>132</v>
      </c>
      <c r="D67" s="320"/>
      <c r="E67" s="470"/>
      <c r="F67" s="320"/>
      <c r="G67" s="457"/>
      <c r="H67" s="471"/>
      <c r="I67" s="457"/>
    </row>
    <row r="68" spans="1:9" x14ac:dyDescent="0.25">
      <c r="A68" s="485">
        <v>60</v>
      </c>
      <c r="B68" s="483" t="s">
        <v>133</v>
      </c>
      <c r="C68" s="324" t="s">
        <v>299</v>
      </c>
      <c r="D68" s="320"/>
      <c r="E68" s="470"/>
      <c r="F68" s="320"/>
      <c r="G68" s="457"/>
      <c r="H68" s="471"/>
      <c r="I68" s="457"/>
    </row>
    <row r="69" spans="1:9" x14ac:dyDescent="0.25">
      <c r="A69" s="485">
        <v>61</v>
      </c>
      <c r="B69" s="483" t="s">
        <v>135</v>
      </c>
      <c r="C69" s="324" t="s">
        <v>461</v>
      </c>
      <c r="D69" s="320"/>
      <c r="E69" s="470"/>
      <c r="F69" s="320"/>
      <c r="G69" s="457"/>
      <c r="H69" s="471"/>
      <c r="I69" s="457"/>
    </row>
    <row r="70" spans="1:9" ht="24" x14ac:dyDescent="0.25">
      <c r="A70" s="485">
        <v>62</v>
      </c>
      <c r="B70" s="483" t="s">
        <v>137</v>
      </c>
      <c r="C70" s="324" t="s">
        <v>639</v>
      </c>
      <c r="D70" s="320"/>
      <c r="E70" s="470"/>
      <c r="F70" s="320"/>
      <c r="G70" s="457"/>
      <c r="H70" s="471"/>
      <c r="I70" s="457"/>
    </row>
    <row r="71" spans="1:9" ht="24" x14ac:dyDescent="0.25">
      <c r="A71" s="485">
        <v>63</v>
      </c>
      <c r="B71" s="331" t="s">
        <v>139</v>
      </c>
      <c r="C71" s="324" t="s">
        <v>640</v>
      </c>
      <c r="D71" s="320"/>
      <c r="E71" s="470"/>
      <c r="F71" s="320"/>
      <c r="G71" s="457"/>
      <c r="H71" s="471"/>
      <c r="I71" s="457"/>
    </row>
    <row r="72" spans="1:9" ht="12.75" customHeight="1" x14ac:dyDescent="0.25">
      <c r="A72" s="485">
        <v>64</v>
      </c>
      <c r="B72" s="483" t="s">
        <v>141</v>
      </c>
      <c r="C72" s="324" t="s">
        <v>456</v>
      </c>
      <c r="D72" s="320"/>
      <c r="E72" s="470"/>
      <c r="F72" s="320"/>
      <c r="G72" s="457"/>
      <c r="H72" s="471"/>
      <c r="I72" s="457"/>
    </row>
    <row r="73" spans="1:9" ht="12.75" customHeight="1" x14ac:dyDescent="0.25">
      <c r="A73" s="485">
        <v>65</v>
      </c>
      <c r="B73" s="483" t="s">
        <v>143</v>
      </c>
      <c r="C73" s="324" t="s">
        <v>144</v>
      </c>
      <c r="D73" s="320"/>
      <c r="E73" s="470"/>
      <c r="F73" s="320"/>
      <c r="G73" s="457"/>
      <c r="H73" s="471"/>
      <c r="I73" s="457"/>
    </row>
    <row r="74" spans="1:9" ht="12.75" customHeight="1" x14ac:dyDescent="0.25">
      <c r="A74" s="485">
        <v>66</v>
      </c>
      <c r="B74" s="483" t="s">
        <v>145</v>
      </c>
      <c r="C74" s="324" t="s">
        <v>457</v>
      </c>
      <c r="D74" s="320"/>
      <c r="E74" s="470"/>
      <c r="F74" s="320"/>
      <c r="G74" s="457"/>
      <c r="H74" s="471"/>
      <c r="I74" s="457"/>
    </row>
    <row r="75" spans="1:9" ht="24" x14ac:dyDescent="0.25">
      <c r="A75" s="485">
        <v>67</v>
      </c>
      <c r="B75" s="483" t="s">
        <v>147</v>
      </c>
      <c r="C75" s="324" t="s">
        <v>641</v>
      </c>
      <c r="D75" s="320"/>
      <c r="E75" s="470"/>
      <c r="F75" s="320"/>
      <c r="G75" s="457"/>
      <c r="H75" s="471"/>
      <c r="I75" s="457"/>
    </row>
    <row r="76" spans="1:9" ht="24" x14ac:dyDescent="0.25">
      <c r="A76" s="485">
        <v>68</v>
      </c>
      <c r="B76" s="483" t="s">
        <v>149</v>
      </c>
      <c r="C76" s="324" t="s">
        <v>463</v>
      </c>
      <c r="D76" s="320"/>
      <c r="E76" s="470"/>
      <c r="F76" s="320"/>
      <c r="G76" s="457"/>
      <c r="H76" s="471"/>
      <c r="I76" s="457"/>
    </row>
    <row r="77" spans="1:9" ht="24" x14ac:dyDescent="0.25">
      <c r="A77" s="485">
        <v>69</v>
      </c>
      <c r="B77" s="483" t="s">
        <v>151</v>
      </c>
      <c r="C77" s="324" t="s">
        <v>642</v>
      </c>
      <c r="D77" s="320"/>
      <c r="E77" s="470"/>
      <c r="F77" s="320"/>
      <c r="G77" s="457"/>
      <c r="H77" s="471"/>
      <c r="I77" s="457"/>
    </row>
    <row r="78" spans="1:9" ht="24" x14ac:dyDescent="0.25">
      <c r="A78" s="485">
        <v>70</v>
      </c>
      <c r="B78" s="483" t="s">
        <v>153</v>
      </c>
      <c r="C78" s="324" t="s">
        <v>643</v>
      </c>
      <c r="D78" s="320"/>
      <c r="E78" s="470"/>
      <c r="F78" s="320"/>
      <c r="G78" s="457"/>
      <c r="H78" s="471"/>
      <c r="I78" s="457"/>
    </row>
    <row r="79" spans="1:9" ht="24" x14ac:dyDescent="0.25">
      <c r="A79" s="485">
        <v>71</v>
      </c>
      <c r="B79" s="331" t="s">
        <v>155</v>
      </c>
      <c r="C79" s="324" t="s">
        <v>644</v>
      </c>
      <c r="D79" s="320"/>
      <c r="E79" s="470"/>
      <c r="F79" s="320"/>
      <c r="G79" s="457"/>
      <c r="H79" s="471"/>
      <c r="I79" s="457"/>
    </row>
    <row r="80" spans="1:9" ht="24" x14ac:dyDescent="0.25">
      <c r="A80" s="485">
        <v>72</v>
      </c>
      <c r="B80" s="483" t="s">
        <v>157</v>
      </c>
      <c r="C80" s="324" t="s">
        <v>645</v>
      </c>
      <c r="D80" s="320"/>
      <c r="E80" s="470"/>
      <c r="F80" s="320"/>
      <c r="G80" s="457"/>
      <c r="H80" s="471"/>
      <c r="I80" s="457"/>
    </row>
    <row r="81" spans="1:9" ht="24" x14ac:dyDescent="0.25">
      <c r="A81" s="485">
        <v>73</v>
      </c>
      <c r="B81" s="331" t="s">
        <v>159</v>
      </c>
      <c r="C81" s="324" t="s">
        <v>646</v>
      </c>
      <c r="D81" s="320"/>
      <c r="E81" s="470"/>
      <c r="F81" s="320"/>
      <c r="G81" s="457"/>
      <c r="H81" s="471"/>
      <c r="I81" s="457"/>
    </row>
    <row r="82" spans="1:9" x14ac:dyDescent="0.25">
      <c r="A82" s="485">
        <v>74</v>
      </c>
      <c r="B82" s="483" t="s">
        <v>161</v>
      </c>
      <c r="C82" s="324" t="s">
        <v>162</v>
      </c>
      <c r="D82" s="320"/>
      <c r="E82" s="470"/>
      <c r="F82" s="320"/>
      <c r="G82" s="457"/>
      <c r="H82" s="471"/>
      <c r="I82" s="457"/>
    </row>
    <row r="83" spans="1:9" x14ac:dyDescent="0.25">
      <c r="A83" s="485">
        <v>75</v>
      </c>
      <c r="B83" s="331" t="s">
        <v>163</v>
      </c>
      <c r="C83" s="324" t="s">
        <v>458</v>
      </c>
      <c r="D83" s="320">
        <v>75</v>
      </c>
      <c r="E83" s="470"/>
      <c r="F83" s="320"/>
      <c r="G83" s="457"/>
      <c r="H83" s="471"/>
      <c r="I83" s="457"/>
    </row>
    <row r="84" spans="1:9" x14ac:dyDescent="0.25">
      <c r="A84" s="485">
        <v>76</v>
      </c>
      <c r="B84" s="331" t="s">
        <v>165</v>
      </c>
      <c r="C84" s="324" t="s">
        <v>166</v>
      </c>
      <c r="D84" s="320"/>
      <c r="E84" s="470"/>
      <c r="F84" s="320"/>
      <c r="G84" s="457"/>
      <c r="H84" s="471"/>
      <c r="I84" s="457"/>
    </row>
    <row r="85" spans="1:9" x14ac:dyDescent="0.25">
      <c r="A85" s="485">
        <v>77</v>
      </c>
      <c r="B85" s="483" t="s">
        <v>167</v>
      </c>
      <c r="C85" s="324" t="s">
        <v>168</v>
      </c>
      <c r="D85" s="320"/>
      <c r="E85" s="470"/>
      <c r="F85" s="320"/>
      <c r="G85" s="457"/>
      <c r="H85" s="471"/>
      <c r="I85" s="457"/>
    </row>
    <row r="86" spans="1:9" x14ac:dyDescent="0.25">
      <c r="A86" s="485">
        <v>78</v>
      </c>
      <c r="B86" s="483" t="s">
        <v>169</v>
      </c>
      <c r="C86" s="324" t="s">
        <v>170</v>
      </c>
      <c r="D86" s="320"/>
      <c r="E86" s="470"/>
      <c r="F86" s="320"/>
      <c r="G86" s="457"/>
      <c r="H86" s="471"/>
      <c r="I86" s="457"/>
    </row>
    <row r="87" spans="1:9" x14ac:dyDescent="0.25">
      <c r="A87" s="485">
        <v>79</v>
      </c>
      <c r="B87" s="483" t="s">
        <v>171</v>
      </c>
      <c r="C87" s="324" t="s">
        <v>172</v>
      </c>
      <c r="D87" s="320"/>
      <c r="E87" s="470"/>
      <c r="F87" s="320"/>
      <c r="G87" s="457"/>
      <c r="H87" s="471"/>
      <c r="I87" s="457"/>
    </row>
    <row r="88" spans="1:9" x14ac:dyDescent="0.25">
      <c r="A88" s="485">
        <v>80</v>
      </c>
      <c r="B88" s="483" t="s">
        <v>173</v>
      </c>
      <c r="C88" s="324" t="s">
        <v>616</v>
      </c>
      <c r="D88" s="320"/>
      <c r="E88" s="470"/>
      <c r="F88" s="320"/>
      <c r="G88" s="457"/>
      <c r="H88" s="471"/>
      <c r="I88" s="457"/>
    </row>
    <row r="89" spans="1:9" x14ac:dyDescent="0.25">
      <c r="A89" s="485">
        <v>81</v>
      </c>
      <c r="B89" s="483" t="s">
        <v>175</v>
      </c>
      <c r="C89" s="115" t="s">
        <v>746</v>
      </c>
      <c r="D89" s="320"/>
      <c r="E89" s="470"/>
      <c r="F89" s="320"/>
      <c r="G89" s="457"/>
      <c r="H89" s="471"/>
      <c r="I89" s="457"/>
    </row>
    <row r="90" spans="1:9" x14ac:dyDescent="0.25">
      <c r="A90" s="485">
        <v>82</v>
      </c>
      <c r="B90" s="328" t="s">
        <v>177</v>
      </c>
      <c r="C90" s="327" t="s">
        <v>749</v>
      </c>
      <c r="D90" s="320"/>
      <c r="E90" s="470"/>
      <c r="F90" s="320"/>
      <c r="G90" s="457"/>
      <c r="H90" s="471"/>
      <c r="I90" s="457"/>
    </row>
    <row r="91" spans="1:9" ht="24" x14ac:dyDescent="0.25">
      <c r="A91" s="1254">
        <v>83</v>
      </c>
      <c r="B91" s="1257" t="s">
        <v>178</v>
      </c>
      <c r="C91" s="329" t="s">
        <v>750</v>
      </c>
      <c r="D91" s="320"/>
      <c r="E91" s="470"/>
      <c r="F91" s="320"/>
      <c r="G91" s="457"/>
      <c r="H91" s="471"/>
      <c r="I91" s="457"/>
    </row>
    <row r="92" spans="1:9" ht="24" x14ac:dyDescent="0.25">
      <c r="A92" s="1255"/>
      <c r="B92" s="1258"/>
      <c r="C92" s="327" t="s">
        <v>179</v>
      </c>
      <c r="D92" s="320"/>
      <c r="E92" s="470"/>
      <c r="F92" s="320"/>
      <c r="G92" s="457"/>
      <c r="H92" s="471"/>
      <c r="I92" s="457"/>
    </row>
    <row r="93" spans="1:9" ht="24" x14ac:dyDescent="0.25">
      <c r="A93" s="1255"/>
      <c r="B93" s="1258"/>
      <c r="C93" s="327" t="s">
        <v>180</v>
      </c>
      <c r="D93" s="320"/>
      <c r="E93" s="470"/>
      <c r="F93" s="320"/>
      <c r="G93" s="457"/>
      <c r="H93" s="471"/>
      <c r="I93" s="457"/>
    </row>
    <row r="94" spans="1:9" ht="36" x14ac:dyDescent="0.25">
      <c r="A94" s="1256"/>
      <c r="B94" s="1259"/>
      <c r="C94" s="330" t="s">
        <v>509</v>
      </c>
      <c r="D94" s="320"/>
      <c r="E94" s="470"/>
      <c r="F94" s="320"/>
      <c r="G94" s="457"/>
      <c r="H94" s="471"/>
      <c r="I94" s="457"/>
    </row>
    <row r="95" spans="1:9" ht="24" x14ac:dyDescent="0.25">
      <c r="A95" s="485">
        <v>84</v>
      </c>
      <c r="B95" s="331" t="s">
        <v>181</v>
      </c>
      <c r="C95" s="324" t="s">
        <v>182</v>
      </c>
      <c r="D95" s="320"/>
      <c r="E95" s="470"/>
      <c r="F95" s="320"/>
      <c r="G95" s="457"/>
      <c r="H95" s="471"/>
      <c r="I95" s="457"/>
    </row>
    <row r="96" spans="1:9" x14ac:dyDescent="0.25">
      <c r="A96" s="485">
        <v>85</v>
      </c>
      <c r="B96" s="483" t="s">
        <v>183</v>
      </c>
      <c r="C96" s="324" t="s">
        <v>184</v>
      </c>
      <c r="D96" s="320"/>
      <c r="E96" s="470"/>
      <c r="F96" s="320"/>
      <c r="G96" s="457"/>
      <c r="H96" s="471"/>
      <c r="I96" s="457"/>
    </row>
    <row r="97" spans="1:9" ht="12" customHeight="1" x14ac:dyDescent="0.25">
      <c r="A97" s="485">
        <v>86</v>
      </c>
      <c r="B97" s="331" t="s">
        <v>185</v>
      </c>
      <c r="C97" s="324" t="s">
        <v>186</v>
      </c>
      <c r="D97" s="320"/>
      <c r="E97" s="470"/>
      <c r="F97" s="320"/>
      <c r="G97" s="457"/>
      <c r="H97" s="471"/>
      <c r="I97" s="457"/>
    </row>
    <row r="98" spans="1:9" x14ac:dyDescent="0.25">
      <c r="A98" s="485">
        <v>87</v>
      </c>
      <c r="B98" s="483" t="s">
        <v>187</v>
      </c>
      <c r="C98" s="324" t="s">
        <v>188</v>
      </c>
      <c r="D98" s="320">
        <v>1459</v>
      </c>
      <c r="E98" s="470">
        <v>88</v>
      </c>
      <c r="F98" s="320">
        <v>165</v>
      </c>
      <c r="G98" s="457">
        <v>4950</v>
      </c>
      <c r="H98" s="471"/>
      <c r="I98" s="457"/>
    </row>
    <row r="99" spans="1:9" x14ac:dyDescent="0.25">
      <c r="A99" s="485">
        <v>88</v>
      </c>
      <c r="B99" s="483" t="s">
        <v>189</v>
      </c>
      <c r="C99" s="324" t="s">
        <v>190</v>
      </c>
      <c r="D99" s="320">
        <v>1459</v>
      </c>
      <c r="E99" s="470">
        <v>88</v>
      </c>
      <c r="F99" s="320"/>
      <c r="G99" s="457"/>
      <c r="H99" s="471"/>
      <c r="I99" s="457"/>
    </row>
    <row r="100" spans="1:9" x14ac:dyDescent="0.25">
      <c r="A100" s="485">
        <v>89</v>
      </c>
      <c r="B100" s="483" t="s">
        <v>191</v>
      </c>
      <c r="C100" s="324" t="s">
        <v>192</v>
      </c>
      <c r="D100" s="320"/>
      <c r="E100" s="470"/>
      <c r="F100" s="320"/>
      <c r="G100" s="457"/>
      <c r="H100" s="471"/>
      <c r="I100" s="457"/>
    </row>
    <row r="101" spans="1:9" ht="12" customHeight="1" x14ac:dyDescent="0.25">
      <c r="A101" s="485">
        <v>90</v>
      </c>
      <c r="B101" s="483" t="s">
        <v>193</v>
      </c>
      <c r="C101" s="324" t="s">
        <v>194</v>
      </c>
      <c r="D101" s="320"/>
      <c r="E101" s="470"/>
      <c r="F101" s="320"/>
      <c r="G101" s="457"/>
      <c r="H101" s="471"/>
      <c r="I101" s="457"/>
    </row>
    <row r="102" spans="1:9" x14ac:dyDescent="0.25">
      <c r="A102" s="485">
        <v>91</v>
      </c>
      <c r="B102" s="483" t="s">
        <v>195</v>
      </c>
      <c r="C102" s="324" t="s">
        <v>196</v>
      </c>
      <c r="D102" s="320"/>
      <c r="E102" s="470"/>
      <c r="F102" s="320"/>
      <c r="G102" s="457"/>
      <c r="H102" s="471"/>
      <c r="I102" s="457"/>
    </row>
    <row r="103" spans="1:9" x14ac:dyDescent="0.25">
      <c r="A103" s="485">
        <v>92</v>
      </c>
      <c r="B103" s="483" t="s">
        <v>197</v>
      </c>
      <c r="C103" s="324" t="s">
        <v>198</v>
      </c>
      <c r="D103" s="320"/>
      <c r="E103" s="470"/>
      <c r="F103" s="320"/>
      <c r="G103" s="457"/>
      <c r="H103" s="471"/>
      <c r="I103" s="457"/>
    </row>
    <row r="104" spans="1:9" x14ac:dyDescent="0.25">
      <c r="A104" s="485">
        <v>93</v>
      </c>
      <c r="B104" s="483" t="s">
        <v>199</v>
      </c>
      <c r="C104" s="324" t="s">
        <v>200</v>
      </c>
      <c r="D104" s="320"/>
      <c r="E104" s="470"/>
      <c r="F104" s="320"/>
      <c r="G104" s="457"/>
      <c r="H104" s="471"/>
      <c r="I104" s="457"/>
    </row>
    <row r="105" spans="1:9" x14ac:dyDescent="0.25">
      <c r="A105" s="485">
        <v>94</v>
      </c>
      <c r="B105" s="331" t="s">
        <v>201</v>
      </c>
      <c r="C105" s="324" t="s">
        <v>202</v>
      </c>
      <c r="D105" s="320">
        <v>1460</v>
      </c>
      <c r="E105" s="470">
        <v>110</v>
      </c>
      <c r="F105" s="320">
        <v>330</v>
      </c>
      <c r="G105" s="457">
        <v>9900</v>
      </c>
      <c r="H105" s="471"/>
      <c r="I105" s="457"/>
    </row>
    <row r="106" spans="1:9" x14ac:dyDescent="0.25">
      <c r="A106" s="485">
        <v>95</v>
      </c>
      <c r="B106" s="483" t="s">
        <v>203</v>
      </c>
      <c r="C106" s="324" t="s">
        <v>204</v>
      </c>
      <c r="D106" s="320"/>
      <c r="E106" s="470"/>
      <c r="F106" s="320"/>
      <c r="G106" s="457"/>
      <c r="H106" s="471"/>
      <c r="I106" s="457"/>
    </row>
    <row r="107" spans="1:9" x14ac:dyDescent="0.25">
      <c r="A107" s="485">
        <v>96</v>
      </c>
      <c r="B107" s="483" t="s">
        <v>205</v>
      </c>
      <c r="C107" s="324" t="s">
        <v>206</v>
      </c>
      <c r="D107" s="320"/>
      <c r="E107" s="470"/>
      <c r="F107" s="320"/>
      <c r="G107" s="457"/>
      <c r="H107" s="471"/>
      <c r="I107" s="457"/>
    </row>
    <row r="108" spans="1:9" x14ac:dyDescent="0.25">
      <c r="A108" s="485">
        <v>97</v>
      </c>
      <c r="B108" s="331" t="s">
        <v>207</v>
      </c>
      <c r="C108" s="324" t="s">
        <v>208</v>
      </c>
      <c r="D108" s="320"/>
      <c r="E108" s="470"/>
      <c r="F108" s="320"/>
      <c r="G108" s="457"/>
      <c r="H108" s="471"/>
      <c r="I108" s="457"/>
    </row>
    <row r="109" spans="1:9" x14ac:dyDescent="0.25">
      <c r="A109" s="485">
        <v>98</v>
      </c>
      <c r="B109" s="483" t="s">
        <v>209</v>
      </c>
      <c r="C109" s="324" t="s">
        <v>210</v>
      </c>
      <c r="D109" s="320"/>
      <c r="E109" s="470"/>
      <c r="F109" s="320"/>
      <c r="G109" s="457"/>
      <c r="H109" s="471"/>
      <c r="I109" s="457"/>
    </row>
    <row r="110" spans="1:9" x14ac:dyDescent="0.25">
      <c r="A110" s="485">
        <v>99</v>
      </c>
      <c r="B110" s="331" t="s">
        <v>211</v>
      </c>
      <c r="C110" s="324" t="s">
        <v>212</v>
      </c>
      <c r="D110" s="320">
        <v>1459</v>
      </c>
      <c r="E110" s="470">
        <v>88</v>
      </c>
      <c r="F110" s="320"/>
      <c r="G110" s="457"/>
      <c r="H110" s="471">
        <v>148</v>
      </c>
      <c r="I110" s="457">
        <v>3100</v>
      </c>
    </row>
    <row r="111" spans="1:9" x14ac:dyDescent="0.25">
      <c r="A111" s="485">
        <v>100</v>
      </c>
      <c r="B111" s="331" t="s">
        <v>213</v>
      </c>
      <c r="C111" s="324" t="s">
        <v>214</v>
      </c>
      <c r="D111" s="320"/>
      <c r="E111" s="470"/>
      <c r="F111" s="320"/>
      <c r="G111" s="457"/>
      <c r="H111" s="471"/>
      <c r="I111" s="457"/>
    </row>
    <row r="112" spans="1:9" x14ac:dyDescent="0.25">
      <c r="A112" s="485">
        <v>101</v>
      </c>
      <c r="B112" s="483" t="s">
        <v>215</v>
      </c>
      <c r="C112" s="324" t="s">
        <v>216</v>
      </c>
      <c r="D112" s="320"/>
      <c r="E112" s="470"/>
      <c r="F112" s="320"/>
      <c r="G112" s="457"/>
      <c r="H112" s="471"/>
      <c r="I112" s="457"/>
    </row>
    <row r="113" spans="1:9" x14ac:dyDescent="0.25">
      <c r="A113" s="485">
        <v>102</v>
      </c>
      <c r="B113" s="483" t="s">
        <v>217</v>
      </c>
      <c r="C113" s="324" t="s">
        <v>218</v>
      </c>
      <c r="D113" s="320"/>
      <c r="E113" s="470"/>
      <c r="F113" s="320"/>
      <c r="G113" s="457"/>
      <c r="H113" s="471"/>
      <c r="I113" s="457"/>
    </row>
    <row r="114" spans="1:9" x14ac:dyDescent="0.25">
      <c r="A114" s="485">
        <v>103</v>
      </c>
      <c r="B114" s="483" t="s">
        <v>219</v>
      </c>
      <c r="C114" s="324" t="s">
        <v>220</v>
      </c>
      <c r="D114" s="320"/>
      <c r="E114" s="470"/>
      <c r="F114" s="320"/>
      <c r="G114" s="457"/>
      <c r="H114" s="471"/>
      <c r="I114" s="457"/>
    </row>
    <row r="115" spans="1:9" x14ac:dyDescent="0.25">
      <c r="A115" s="485">
        <v>104</v>
      </c>
      <c r="B115" s="483" t="s">
        <v>221</v>
      </c>
      <c r="C115" s="324" t="s">
        <v>222</v>
      </c>
      <c r="D115" s="320"/>
      <c r="E115" s="470"/>
      <c r="F115" s="320"/>
      <c r="G115" s="457"/>
      <c r="H115" s="471"/>
      <c r="I115" s="457"/>
    </row>
    <row r="116" spans="1:9" x14ac:dyDescent="0.25">
      <c r="A116" s="485">
        <v>105</v>
      </c>
      <c r="B116" s="331" t="s">
        <v>223</v>
      </c>
      <c r="C116" s="324" t="s">
        <v>224</v>
      </c>
      <c r="D116" s="320"/>
      <c r="E116" s="470"/>
      <c r="F116" s="320"/>
      <c r="G116" s="457"/>
      <c r="H116" s="471"/>
      <c r="I116" s="457"/>
    </row>
    <row r="117" spans="1:9" ht="13.5" customHeight="1" x14ac:dyDescent="0.25">
      <c r="A117" s="485">
        <v>106</v>
      </c>
      <c r="B117" s="483" t="s">
        <v>225</v>
      </c>
      <c r="C117" s="324" t="s">
        <v>226</v>
      </c>
      <c r="D117" s="320"/>
      <c r="E117" s="470"/>
      <c r="F117" s="320"/>
      <c r="G117" s="457"/>
      <c r="H117" s="471"/>
      <c r="I117" s="457"/>
    </row>
    <row r="118" spans="1:9" x14ac:dyDescent="0.25">
      <c r="A118" s="485">
        <v>107</v>
      </c>
      <c r="B118" s="483" t="s">
        <v>227</v>
      </c>
      <c r="C118" s="324" t="s">
        <v>228</v>
      </c>
      <c r="D118" s="320"/>
      <c r="E118" s="470"/>
      <c r="F118" s="320"/>
      <c r="G118" s="457"/>
      <c r="H118" s="471"/>
      <c r="I118" s="457"/>
    </row>
    <row r="119" spans="1:9" x14ac:dyDescent="0.25">
      <c r="A119" s="485">
        <v>108</v>
      </c>
      <c r="B119" s="483" t="s">
        <v>229</v>
      </c>
      <c r="C119" s="324" t="s">
        <v>230</v>
      </c>
      <c r="D119" s="320"/>
      <c r="E119" s="470"/>
      <c r="F119" s="320"/>
      <c r="G119" s="457"/>
      <c r="H119" s="471"/>
      <c r="I119" s="457"/>
    </row>
    <row r="120" spans="1:9" ht="12" customHeight="1" x14ac:dyDescent="0.25">
      <c r="A120" s="485">
        <v>109</v>
      </c>
      <c r="B120" s="331" t="s">
        <v>231</v>
      </c>
      <c r="C120" s="324" t="s">
        <v>232</v>
      </c>
      <c r="D120" s="320"/>
      <c r="E120" s="470"/>
      <c r="F120" s="320"/>
      <c r="G120" s="457"/>
      <c r="H120" s="471"/>
      <c r="I120" s="457"/>
    </row>
    <row r="121" spans="1:9" x14ac:dyDescent="0.25">
      <c r="A121" s="485">
        <v>110</v>
      </c>
      <c r="B121" s="331" t="s">
        <v>233</v>
      </c>
      <c r="C121" s="324" t="s">
        <v>234</v>
      </c>
      <c r="D121" s="320"/>
      <c r="E121" s="470"/>
      <c r="F121" s="320"/>
      <c r="G121" s="457"/>
      <c r="H121" s="471"/>
      <c r="I121" s="457"/>
    </row>
    <row r="122" spans="1:9" x14ac:dyDescent="0.25">
      <c r="A122" s="485">
        <v>111</v>
      </c>
      <c r="B122" s="479" t="s">
        <v>235</v>
      </c>
      <c r="C122" s="324" t="s">
        <v>236</v>
      </c>
      <c r="D122" s="320"/>
      <c r="E122" s="470"/>
      <c r="F122" s="320"/>
      <c r="G122" s="457"/>
      <c r="H122" s="471"/>
      <c r="I122" s="457"/>
    </row>
    <row r="123" spans="1:9" x14ac:dyDescent="0.25">
      <c r="A123" s="485">
        <v>112</v>
      </c>
      <c r="B123" s="483" t="s">
        <v>237</v>
      </c>
      <c r="C123" s="324" t="s">
        <v>238</v>
      </c>
      <c r="D123" s="320"/>
      <c r="E123" s="470"/>
      <c r="F123" s="320"/>
      <c r="G123" s="457"/>
      <c r="H123" s="471"/>
      <c r="I123" s="457"/>
    </row>
    <row r="124" spans="1:9" ht="14.25" customHeight="1" x14ac:dyDescent="0.25">
      <c r="A124" s="485">
        <v>113</v>
      </c>
      <c r="B124" s="483" t="s">
        <v>239</v>
      </c>
      <c r="C124" s="324" t="s">
        <v>240</v>
      </c>
      <c r="D124" s="320"/>
      <c r="E124" s="470"/>
      <c r="F124" s="320"/>
      <c r="G124" s="457"/>
      <c r="H124" s="471"/>
      <c r="I124" s="457"/>
    </row>
    <row r="125" spans="1:9" ht="14.25" customHeight="1" x14ac:dyDescent="0.25">
      <c r="A125" s="485">
        <v>114</v>
      </c>
      <c r="B125" s="483" t="s">
        <v>241</v>
      </c>
      <c r="C125" s="324" t="s">
        <v>242</v>
      </c>
      <c r="D125" s="320"/>
      <c r="E125" s="470"/>
      <c r="F125" s="320"/>
      <c r="G125" s="457"/>
      <c r="H125" s="471"/>
      <c r="I125" s="457"/>
    </row>
    <row r="126" spans="1:9" x14ac:dyDescent="0.25">
      <c r="A126" s="485">
        <v>115</v>
      </c>
      <c r="B126" s="486" t="s">
        <v>243</v>
      </c>
      <c r="C126" s="327" t="s">
        <v>385</v>
      </c>
      <c r="D126" s="320"/>
      <c r="E126" s="470"/>
      <c r="F126" s="320"/>
      <c r="G126" s="457"/>
      <c r="H126" s="471"/>
      <c r="I126" s="457"/>
    </row>
    <row r="127" spans="1:9" x14ac:dyDescent="0.25">
      <c r="A127" s="485">
        <v>116</v>
      </c>
      <c r="B127" s="331" t="s">
        <v>244</v>
      </c>
      <c r="C127" s="324" t="s">
        <v>648</v>
      </c>
      <c r="D127" s="320"/>
      <c r="E127" s="470"/>
      <c r="F127" s="320"/>
      <c r="G127" s="457"/>
      <c r="H127" s="471"/>
      <c r="I127" s="457"/>
    </row>
    <row r="128" spans="1:9" ht="12" customHeight="1" x14ac:dyDescent="0.25">
      <c r="A128" s="485">
        <v>117</v>
      </c>
      <c r="B128" s="331" t="s">
        <v>246</v>
      </c>
      <c r="C128" s="324" t="s">
        <v>247</v>
      </c>
      <c r="D128" s="320"/>
      <c r="E128" s="470"/>
      <c r="F128" s="320"/>
      <c r="G128" s="457"/>
      <c r="H128" s="471"/>
      <c r="I128" s="457"/>
    </row>
    <row r="129" spans="1:9" x14ac:dyDescent="0.25">
      <c r="A129" s="485">
        <v>118</v>
      </c>
      <c r="B129" s="331" t="s">
        <v>248</v>
      </c>
      <c r="C129" s="324" t="s">
        <v>249</v>
      </c>
      <c r="D129" s="320"/>
      <c r="E129" s="470"/>
      <c r="F129" s="320"/>
      <c r="G129" s="457"/>
      <c r="H129" s="471"/>
      <c r="I129" s="457"/>
    </row>
    <row r="130" spans="1:9" x14ac:dyDescent="0.25">
      <c r="A130" s="485">
        <v>119</v>
      </c>
      <c r="B130" s="331" t="s">
        <v>250</v>
      </c>
      <c r="C130" s="324" t="s">
        <v>251</v>
      </c>
      <c r="D130" s="320"/>
      <c r="E130" s="470"/>
      <c r="F130" s="320"/>
      <c r="G130" s="457"/>
      <c r="H130" s="471"/>
      <c r="I130" s="457"/>
    </row>
    <row r="131" spans="1:9" x14ac:dyDescent="0.25">
      <c r="A131" s="485">
        <v>120</v>
      </c>
      <c r="B131" s="321" t="s">
        <v>252</v>
      </c>
      <c r="C131" s="333" t="s">
        <v>253</v>
      </c>
      <c r="D131" s="320"/>
      <c r="E131" s="470"/>
      <c r="F131" s="320"/>
      <c r="G131" s="457"/>
      <c r="H131" s="471"/>
      <c r="I131" s="457"/>
    </row>
    <row r="132" spans="1:9" x14ac:dyDescent="0.25">
      <c r="A132" s="485">
        <v>121</v>
      </c>
      <c r="B132" s="483" t="s">
        <v>254</v>
      </c>
      <c r="C132" s="324" t="s">
        <v>255</v>
      </c>
      <c r="D132" s="320"/>
      <c r="E132" s="470"/>
      <c r="F132" s="320"/>
      <c r="G132" s="457"/>
      <c r="H132" s="471"/>
      <c r="I132" s="457"/>
    </row>
    <row r="133" spans="1:9" x14ac:dyDescent="0.25">
      <c r="A133" s="485">
        <v>122</v>
      </c>
      <c r="B133" s="331" t="s">
        <v>256</v>
      </c>
      <c r="C133" s="324" t="s">
        <v>257</v>
      </c>
      <c r="D133" s="320"/>
      <c r="E133" s="470"/>
      <c r="F133" s="320"/>
      <c r="G133" s="457"/>
      <c r="H133" s="471"/>
      <c r="I133" s="457"/>
    </row>
    <row r="134" spans="1:9" x14ac:dyDescent="0.25">
      <c r="A134" s="485">
        <v>123</v>
      </c>
      <c r="B134" s="483" t="s">
        <v>258</v>
      </c>
      <c r="C134" s="324" t="s">
        <v>259</v>
      </c>
      <c r="D134" s="320"/>
      <c r="E134" s="470"/>
      <c r="F134" s="320"/>
      <c r="G134" s="457"/>
      <c r="H134" s="471"/>
      <c r="I134" s="457"/>
    </row>
    <row r="135" spans="1:9" x14ac:dyDescent="0.25">
      <c r="A135" s="485">
        <v>124</v>
      </c>
      <c r="B135" s="331" t="s">
        <v>260</v>
      </c>
      <c r="C135" s="324" t="s">
        <v>261</v>
      </c>
      <c r="D135" s="320"/>
      <c r="E135" s="470"/>
      <c r="F135" s="320"/>
      <c r="G135" s="457"/>
      <c r="H135" s="471"/>
      <c r="I135" s="457"/>
    </row>
    <row r="136" spans="1:9" x14ac:dyDescent="0.25">
      <c r="A136" s="485">
        <v>125</v>
      </c>
      <c r="B136" s="331" t="s">
        <v>262</v>
      </c>
      <c r="C136" s="324" t="s">
        <v>263</v>
      </c>
      <c r="D136" s="320"/>
      <c r="E136" s="470"/>
      <c r="F136" s="320"/>
      <c r="G136" s="457"/>
      <c r="H136" s="471"/>
      <c r="I136" s="457"/>
    </row>
    <row r="137" spans="1:9" x14ac:dyDescent="0.25">
      <c r="A137" s="485">
        <v>126</v>
      </c>
      <c r="B137" s="483" t="s">
        <v>264</v>
      </c>
      <c r="C137" s="324" t="s">
        <v>265</v>
      </c>
      <c r="D137" s="320"/>
      <c r="E137" s="470"/>
      <c r="F137" s="320"/>
      <c r="G137" s="457"/>
      <c r="H137" s="471"/>
      <c r="I137" s="457"/>
    </row>
    <row r="138" spans="1:9" x14ac:dyDescent="0.25">
      <c r="A138" s="485">
        <v>127</v>
      </c>
      <c r="B138" s="331" t="s">
        <v>266</v>
      </c>
      <c r="C138" s="324" t="s">
        <v>267</v>
      </c>
      <c r="D138" s="320"/>
      <c r="E138" s="470"/>
      <c r="F138" s="320"/>
      <c r="G138" s="457"/>
      <c r="H138" s="471"/>
      <c r="I138" s="457"/>
    </row>
    <row r="139" spans="1:9" x14ac:dyDescent="0.25">
      <c r="A139" s="485">
        <v>128</v>
      </c>
      <c r="B139" s="483" t="s">
        <v>268</v>
      </c>
      <c r="C139" s="324" t="s">
        <v>269</v>
      </c>
      <c r="D139" s="320"/>
      <c r="E139" s="470"/>
      <c r="F139" s="320"/>
      <c r="G139" s="457"/>
      <c r="H139" s="471"/>
      <c r="I139" s="457"/>
    </row>
    <row r="140" spans="1:9" x14ac:dyDescent="0.25">
      <c r="A140" s="485">
        <v>129</v>
      </c>
      <c r="B140" s="483" t="s">
        <v>270</v>
      </c>
      <c r="C140" s="324" t="s">
        <v>271</v>
      </c>
      <c r="D140" s="320"/>
      <c r="E140" s="470"/>
      <c r="F140" s="320"/>
      <c r="G140" s="457"/>
      <c r="H140" s="471"/>
      <c r="I140" s="457"/>
    </row>
    <row r="141" spans="1:9" x14ac:dyDescent="0.25">
      <c r="A141" s="485">
        <v>130</v>
      </c>
      <c r="B141" s="331" t="s">
        <v>272</v>
      </c>
      <c r="C141" s="324" t="s">
        <v>273</v>
      </c>
      <c r="D141" s="320"/>
      <c r="E141" s="470"/>
      <c r="F141" s="320"/>
      <c r="G141" s="457"/>
      <c r="H141" s="471"/>
      <c r="I141" s="457"/>
    </row>
    <row r="142" spans="1:9" x14ac:dyDescent="0.25">
      <c r="A142" s="485">
        <v>131</v>
      </c>
      <c r="B142" s="331" t="s">
        <v>274</v>
      </c>
      <c r="C142" s="324" t="s">
        <v>275</v>
      </c>
      <c r="D142" s="320"/>
      <c r="E142" s="470"/>
      <c r="F142" s="320"/>
      <c r="G142" s="457"/>
      <c r="H142" s="471"/>
      <c r="I142" s="457"/>
    </row>
    <row r="143" spans="1:9" x14ac:dyDescent="0.25">
      <c r="A143" s="485">
        <v>132</v>
      </c>
      <c r="B143" s="331" t="s">
        <v>276</v>
      </c>
      <c r="C143" s="324" t="s">
        <v>277</v>
      </c>
      <c r="D143" s="320"/>
      <c r="E143" s="470"/>
      <c r="F143" s="320"/>
      <c r="G143" s="457"/>
      <c r="H143" s="471"/>
      <c r="I143" s="457"/>
    </row>
    <row r="144" spans="1:9" x14ac:dyDescent="0.25">
      <c r="A144" s="485">
        <v>133</v>
      </c>
      <c r="B144" s="331" t="s">
        <v>278</v>
      </c>
      <c r="C144" s="324" t="s">
        <v>279</v>
      </c>
      <c r="D144" s="320"/>
      <c r="E144" s="470"/>
      <c r="F144" s="320"/>
      <c r="G144" s="457"/>
      <c r="H144" s="471"/>
      <c r="I144" s="457"/>
    </row>
    <row r="145" spans="1:9" x14ac:dyDescent="0.25">
      <c r="A145" s="485">
        <v>134</v>
      </c>
      <c r="B145" s="331" t="s">
        <v>280</v>
      </c>
      <c r="C145" s="324" t="s">
        <v>281</v>
      </c>
      <c r="D145" s="320"/>
      <c r="E145" s="470"/>
      <c r="F145" s="320"/>
      <c r="G145" s="457"/>
      <c r="H145" s="471"/>
      <c r="I145" s="457"/>
    </row>
    <row r="146" spans="1:9" x14ac:dyDescent="0.25">
      <c r="A146" s="485">
        <v>135</v>
      </c>
      <c r="B146" s="483" t="s">
        <v>282</v>
      </c>
      <c r="C146" s="324" t="s">
        <v>283</v>
      </c>
      <c r="D146" s="320"/>
      <c r="E146" s="470"/>
      <c r="F146" s="320"/>
      <c r="G146" s="457"/>
      <c r="H146" s="471"/>
      <c r="I146" s="457"/>
    </row>
    <row r="147" spans="1:9" x14ac:dyDescent="0.25">
      <c r="A147" s="485">
        <v>136</v>
      </c>
      <c r="B147" s="334" t="s">
        <v>284</v>
      </c>
      <c r="C147" s="480" t="s">
        <v>285</v>
      </c>
      <c r="D147" s="320"/>
      <c r="E147" s="470"/>
      <c r="F147" s="320"/>
      <c r="G147" s="457"/>
      <c r="H147" s="471"/>
      <c r="I147" s="457"/>
    </row>
    <row r="148" spans="1:9" x14ac:dyDescent="0.25">
      <c r="A148" s="485">
        <v>137</v>
      </c>
      <c r="B148" s="331" t="s">
        <v>387</v>
      </c>
      <c r="C148" s="333" t="s">
        <v>388</v>
      </c>
      <c r="D148" s="320"/>
      <c r="E148" s="470"/>
      <c r="F148" s="320"/>
      <c r="G148" s="457"/>
      <c r="H148" s="471"/>
      <c r="I148" s="457"/>
    </row>
    <row r="149" spans="1:9" x14ac:dyDescent="0.25">
      <c r="A149" s="485">
        <v>138</v>
      </c>
      <c r="B149" s="332" t="s">
        <v>389</v>
      </c>
      <c r="C149" s="333" t="s">
        <v>798</v>
      </c>
      <c r="D149" s="320">
        <v>26100</v>
      </c>
      <c r="E149" s="470">
        <v>4350</v>
      </c>
      <c r="F149" s="320">
        <v>2054</v>
      </c>
      <c r="G149" s="457">
        <v>65736</v>
      </c>
      <c r="H149" s="471">
        <v>2968</v>
      </c>
      <c r="I149" s="457">
        <v>62310</v>
      </c>
    </row>
    <row r="150" spans="1:9" x14ac:dyDescent="0.25">
      <c r="A150" s="485">
        <v>139</v>
      </c>
      <c r="B150" s="334" t="s">
        <v>391</v>
      </c>
      <c r="C150" s="481" t="s">
        <v>392</v>
      </c>
      <c r="D150" s="320"/>
      <c r="E150" s="470"/>
      <c r="F150" s="320"/>
      <c r="G150" s="457"/>
      <c r="H150" s="471"/>
      <c r="I150" s="457"/>
    </row>
    <row r="151" spans="1:9" ht="12.75" thickBot="1" x14ac:dyDescent="0.3">
      <c r="A151" s="335">
        <v>140</v>
      </c>
      <c r="B151" s="336" t="s">
        <v>393</v>
      </c>
      <c r="C151" s="337" t="s">
        <v>394</v>
      </c>
      <c r="D151" s="454"/>
      <c r="E151" s="475"/>
      <c r="F151" s="454"/>
      <c r="G151" s="476"/>
      <c r="H151" s="477"/>
      <c r="I151" s="476"/>
    </row>
    <row r="152" spans="1:9" s="103" customFormat="1" x14ac:dyDescent="0.25">
      <c r="A152" s="1300" t="s">
        <v>799</v>
      </c>
      <c r="B152" s="1301"/>
      <c r="C152" s="1301"/>
    </row>
    <row r="153" spans="1:9" s="103" customFormat="1" x14ac:dyDescent="0.25">
      <c r="A153" s="1302"/>
      <c r="B153" s="1302"/>
      <c r="C153" s="1302"/>
    </row>
    <row r="154" spans="1:9" s="103" customFormat="1" x14ac:dyDescent="0.25">
      <c r="C154" s="478"/>
    </row>
  </sheetData>
  <mergeCells count="14">
    <mergeCell ref="A5:C5"/>
    <mergeCell ref="A152:C153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57"/>
  <sheetViews>
    <sheetView zoomScale="90" zoomScaleNormal="90" workbookViewId="0">
      <pane xSplit="3" ySplit="8" topLeftCell="D75" activePane="bottomRight" state="frozen"/>
      <selection pane="topRight" activeCell="D1" sqref="D1"/>
      <selection pane="bottomLeft" activeCell="A9" sqref="A9"/>
      <selection pane="bottomRight" activeCell="C89" sqref="C89"/>
    </sheetView>
  </sheetViews>
  <sheetFormatPr defaultRowHeight="12.75" x14ac:dyDescent="0.25"/>
  <cols>
    <col min="1" max="1" width="4" style="659" customWidth="1"/>
    <col min="2" max="2" width="8.140625" style="659" customWidth="1"/>
    <col min="3" max="3" width="38.28515625" style="660" customWidth="1"/>
    <col min="4" max="4" width="17" style="660" customWidth="1"/>
    <col min="5" max="5" width="14.7109375" style="660" customWidth="1"/>
    <col min="6" max="6" width="11.85546875" style="772" customWidth="1"/>
    <col min="7" max="7" width="12.140625" style="772" customWidth="1"/>
    <col min="8" max="8" width="10.5703125" style="659" customWidth="1"/>
    <col min="9" max="9" width="9.85546875" style="659" customWidth="1"/>
    <col min="10" max="16384" width="9.140625" style="659"/>
  </cols>
  <sheetData>
    <row r="1" spans="1:11" ht="15.75" x14ac:dyDescent="0.25">
      <c r="A1" s="1234" t="s">
        <v>621</v>
      </c>
      <c r="B1" s="1234"/>
      <c r="C1" s="1234"/>
      <c r="D1" s="1234"/>
      <c r="E1" s="1234"/>
      <c r="F1" s="1234"/>
      <c r="G1" s="1309"/>
      <c r="H1" s="1309"/>
      <c r="I1" s="1309"/>
    </row>
    <row r="2" spans="1:11" ht="13.5" thickBot="1" x14ac:dyDescent="0.3"/>
    <row r="3" spans="1:11" s="104" customFormat="1" ht="30.75" customHeight="1" x14ac:dyDescent="0.25">
      <c r="A3" s="1236" t="s">
        <v>0</v>
      </c>
      <c r="B3" s="1238" t="s">
        <v>600</v>
      </c>
      <c r="C3" s="1312" t="s">
        <v>292</v>
      </c>
      <c r="D3" s="1314" t="s">
        <v>796</v>
      </c>
      <c r="E3" s="1315"/>
      <c r="F3" s="1316" t="s">
        <v>617</v>
      </c>
      <c r="G3" s="1317"/>
      <c r="H3" s="1318" t="s">
        <v>618</v>
      </c>
      <c r="I3" s="1319"/>
    </row>
    <row r="4" spans="1:11" s="104" customFormat="1" ht="40.5" customHeight="1" thickBot="1" x14ac:dyDescent="0.3">
      <c r="A4" s="1310"/>
      <c r="B4" s="1311"/>
      <c r="C4" s="1313"/>
      <c r="D4" s="499" t="s">
        <v>289</v>
      </c>
      <c r="E4" s="773" t="s">
        <v>620</v>
      </c>
      <c r="F4" s="497" t="s">
        <v>625</v>
      </c>
      <c r="G4" s="498" t="s">
        <v>606</v>
      </c>
      <c r="H4" s="497" t="s">
        <v>607</v>
      </c>
      <c r="I4" s="498" t="s">
        <v>608</v>
      </c>
    </row>
    <row r="5" spans="1:11" s="778" customFormat="1" x14ac:dyDescent="0.25">
      <c r="A5" s="1246" t="s">
        <v>6</v>
      </c>
      <c r="B5" s="1247"/>
      <c r="C5" s="1320"/>
      <c r="D5" s="774">
        <f>SUM(D6:D8)</f>
        <v>428173</v>
      </c>
      <c r="E5" s="775">
        <f t="shared" ref="E5:I5" si="0">SUM(E6:E8)</f>
        <v>94934</v>
      </c>
      <c r="F5" s="776">
        <f t="shared" si="0"/>
        <v>19515</v>
      </c>
      <c r="G5" s="777">
        <f t="shared" si="0"/>
        <v>267859</v>
      </c>
      <c r="H5" s="670">
        <f t="shared" si="0"/>
        <v>1525</v>
      </c>
      <c r="I5" s="672">
        <f t="shared" si="0"/>
        <v>18290</v>
      </c>
    </row>
    <row r="6" spans="1:11" s="778" customFormat="1" x14ac:dyDescent="0.25">
      <c r="A6" s="1249" t="s">
        <v>14</v>
      </c>
      <c r="B6" s="1250"/>
      <c r="C6" s="1321"/>
      <c r="D6" s="658"/>
      <c r="E6" s="547"/>
      <c r="F6" s="779"/>
      <c r="G6" s="646"/>
      <c r="H6" s="658"/>
      <c r="I6" s="547"/>
    </row>
    <row r="7" spans="1:11" s="778" customFormat="1" x14ac:dyDescent="0.25">
      <c r="A7" s="1249" t="s">
        <v>444</v>
      </c>
      <c r="B7" s="1250"/>
      <c r="C7" s="1321"/>
      <c r="D7" s="658"/>
      <c r="E7" s="547"/>
      <c r="F7" s="779"/>
      <c r="G7" s="646"/>
      <c r="H7" s="658"/>
      <c r="I7" s="547"/>
    </row>
    <row r="8" spans="1:11" x14ac:dyDescent="0.25">
      <c r="A8" s="1249" t="s">
        <v>15</v>
      </c>
      <c r="B8" s="1250"/>
      <c r="C8" s="1321"/>
      <c r="D8" s="679">
        <f>SUM(D9:D151)-D91</f>
        <v>428173</v>
      </c>
      <c r="E8" s="676">
        <f t="shared" ref="E8" si="1">SUM(E9:E151)-E91</f>
        <v>94934</v>
      </c>
      <c r="F8" s="780">
        <f t="shared" ref="F8:I8" si="2">SUM(F9:F151)-F91</f>
        <v>19515</v>
      </c>
      <c r="G8" s="781">
        <f t="shared" si="2"/>
        <v>267859</v>
      </c>
      <c r="H8" s="679">
        <f t="shared" si="2"/>
        <v>1525</v>
      </c>
      <c r="I8" s="676">
        <f t="shared" si="2"/>
        <v>18290</v>
      </c>
    </row>
    <row r="9" spans="1:11" x14ac:dyDescent="0.25">
      <c r="A9" s="755">
        <v>1</v>
      </c>
      <c r="B9" s="516" t="s">
        <v>16</v>
      </c>
      <c r="C9" s="782" t="s">
        <v>17</v>
      </c>
      <c r="D9" s="546">
        <v>2541</v>
      </c>
      <c r="E9" s="547">
        <v>367</v>
      </c>
      <c r="F9" s="779"/>
      <c r="G9" s="783"/>
      <c r="H9" s="647"/>
      <c r="I9" s="547"/>
      <c r="K9" s="661"/>
    </row>
    <row r="10" spans="1:11" x14ac:dyDescent="0.25">
      <c r="A10" s="755">
        <v>2</v>
      </c>
      <c r="B10" s="516" t="s">
        <v>18</v>
      </c>
      <c r="C10" s="782" t="s">
        <v>19</v>
      </c>
      <c r="D10" s="546">
        <v>2962</v>
      </c>
      <c r="E10" s="547">
        <v>382</v>
      </c>
      <c r="F10" s="779"/>
      <c r="G10" s="783"/>
      <c r="H10" s="647"/>
      <c r="I10" s="547"/>
      <c r="K10" s="661"/>
    </row>
    <row r="11" spans="1:11" x14ac:dyDescent="0.25">
      <c r="A11" s="755">
        <v>3</v>
      </c>
      <c r="B11" s="521" t="s">
        <v>20</v>
      </c>
      <c r="C11" s="784" t="s">
        <v>21</v>
      </c>
      <c r="D11" s="546">
        <v>4964</v>
      </c>
      <c r="E11" s="547">
        <v>2230</v>
      </c>
      <c r="F11" s="779">
        <v>323</v>
      </c>
      <c r="G11" s="783">
        <v>3878</v>
      </c>
      <c r="H11" s="647">
        <f>155+13</f>
        <v>168</v>
      </c>
      <c r="I11" s="547">
        <f>1860+160</f>
        <v>2020</v>
      </c>
      <c r="K11" s="661"/>
    </row>
    <row r="12" spans="1:11" x14ac:dyDescent="0.25">
      <c r="A12" s="755">
        <v>4</v>
      </c>
      <c r="B12" s="516" t="s">
        <v>22</v>
      </c>
      <c r="C12" s="782" t="s">
        <v>23</v>
      </c>
      <c r="D12" s="546">
        <v>3403</v>
      </c>
      <c r="E12" s="547">
        <v>86</v>
      </c>
      <c r="F12" s="779"/>
      <c r="G12" s="783"/>
      <c r="H12" s="647"/>
      <c r="I12" s="547"/>
      <c r="K12" s="661"/>
    </row>
    <row r="13" spans="1:11" ht="12.75" customHeight="1" x14ac:dyDescent="0.25">
      <c r="A13" s="755">
        <v>5</v>
      </c>
      <c r="B13" s="516" t="s">
        <v>24</v>
      </c>
      <c r="C13" s="782" t="s">
        <v>25</v>
      </c>
      <c r="D13" s="546">
        <v>2987</v>
      </c>
      <c r="E13" s="547">
        <v>73</v>
      </c>
      <c r="F13" s="779"/>
      <c r="G13" s="783"/>
      <c r="H13" s="647"/>
      <c r="I13" s="547"/>
      <c r="K13" s="661"/>
    </row>
    <row r="14" spans="1:11" x14ac:dyDescent="0.25">
      <c r="A14" s="755">
        <v>6</v>
      </c>
      <c r="B14" s="521" t="s">
        <v>26</v>
      </c>
      <c r="C14" s="784" t="s">
        <v>27</v>
      </c>
      <c r="D14" s="546">
        <v>11473</v>
      </c>
      <c r="E14" s="547">
        <v>5339</v>
      </c>
      <c r="F14" s="779">
        <v>923</v>
      </c>
      <c r="G14" s="783">
        <v>11080</v>
      </c>
      <c r="H14" s="647">
        <f>103+10</f>
        <v>113</v>
      </c>
      <c r="I14" s="547">
        <f>1240+120</f>
        <v>1360</v>
      </c>
      <c r="K14" s="661"/>
    </row>
    <row r="15" spans="1:11" x14ac:dyDescent="0.25">
      <c r="A15" s="755">
        <v>7</v>
      </c>
      <c r="B15" s="764" t="s">
        <v>28</v>
      </c>
      <c r="C15" s="785" t="s">
        <v>29</v>
      </c>
      <c r="D15" s="546">
        <v>7439</v>
      </c>
      <c r="E15" s="547">
        <v>793</v>
      </c>
      <c r="F15" s="779"/>
      <c r="G15" s="783"/>
      <c r="H15" s="647"/>
      <c r="I15" s="547"/>
      <c r="K15" s="661"/>
    </row>
    <row r="16" spans="1:11" x14ac:dyDescent="0.25">
      <c r="A16" s="755">
        <v>8</v>
      </c>
      <c r="B16" s="521" t="s">
        <v>30</v>
      </c>
      <c r="C16" s="784" t="s">
        <v>31</v>
      </c>
      <c r="D16" s="546">
        <v>5551</v>
      </c>
      <c r="E16" s="547">
        <v>56</v>
      </c>
      <c r="F16" s="779"/>
      <c r="G16" s="783"/>
      <c r="H16" s="647"/>
      <c r="I16" s="547"/>
      <c r="K16" s="661"/>
    </row>
    <row r="17" spans="1:11" x14ac:dyDescent="0.25">
      <c r="A17" s="755">
        <v>9</v>
      </c>
      <c r="B17" s="521" t="s">
        <v>32</v>
      </c>
      <c r="C17" s="784" t="s">
        <v>33</v>
      </c>
      <c r="D17" s="546">
        <v>3275</v>
      </c>
      <c r="E17" s="547">
        <v>576</v>
      </c>
      <c r="F17" s="779">
        <v>324</v>
      </c>
      <c r="G17" s="783">
        <v>2493</v>
      </c>
      <c r="H17" s="647"/>
      <c r="I17" s="547"/>
      <c r="K17" s="661"/>
    </row>
    <row r="18" spans="1:11" x14ac:dyDescent="0.25">
      <c r="A18" s="755">
        <v>10</v>
      </c>
      <c r="B18" s="521" t="s">
        <v>34</v>
      </c>
      <c r="C18" s="784" t="s">
        <v>35</v>
      </c>
      <c r="D18" s="546"/>
      <c r="E18" s="547"/>
      <c r="F18" s="779"/>
      <c r="G18" s="783"/>
      <c r="H18" s="647"/>
      <c r="I18" s="547"/>
      <c r="K18" s="661"/>
    </row>
    <row r="19" spans="1:11" x14ac:dyDescent="0.25">
      <c r="A19" s="755">
        <v>11</v>
      </c>
      <c r="B19" s="521" t="s">
        <v>36</v>
      </c>
      <c r="C19" s="784" t="s">
        <v>37</v>
      </c>
      <c r="D19" s="546">
        <v>2866</v>
      </c>
      <c r="E19" s="547">
        <v>73</v>
      </c>
      <c r="F19" s="779"/>
      <c r="G19" s="783"/>
      <c r="H19" s="647"/>
      <c r="I19" s="547"/>
      <c r="K19" s="661"/>
    </row>
    <row r="20" spans="1:11" x14ac:dyDescent="0.25">
      <c r="A20" s="755">
        <v>12</v>
      </c>
      <c r="B20" s="521" t="s">
        <v>38</v>
      </c>
      <c r="C20" s="784" t="s">
        <v>39</v>
      </c>
      <c r="D20" s="546">
        <v>5528</v>
      </c>
      <c r="E20" s="547">
        <v>850</v>
      </c>
      <c r="F20" s="779"/>
      <c r="G20" s="783"/>
      <c r="H20" s="647"/>
      <c r="I20" s="547"/>
      <c r="K20" s="661"/>
    </row>
    <row r="21" spans="1:11" ht="13.5" customHeight="1" x14ac:dyDescent="0.25">
      <c r="A21" s="755">
        <v>13</v>
      </c>
      <c r="B21" s="525" t="s">
        <v>40</v>
      </c>
      <c r="C21" s="786" t="s">
        <v>41</v>
      </c>
      <c r="D21" s="546"/>
      <c r="E21" s="547"/>
      <c r="F21" s="779"/>
      <c r="G21" s="783"/>
      <c r="H21" s="647"/>
      <c r="I21" s="547"/>
      <c r="K21" s="661"/>
    </row>
    <row r="22" spans="1:11" ht="13.5" customHeight="1" x14ac:dyDescent="0.25">
      <c r="A22" s="755">
        <v>14</v>
      </c>
      <c r="B22" s="527" t="s">
        <v>42</v>
      </c>
      <c r="C22" s="787" t="s">
        <v>43</v>
      </c>
      <c r="D22" s="546"/>
      <c r="E22" s="547"/>
      <c r="F22" s="779"/>
      <c r="G22" s="783"/>
      <c r="H22" s="647"/>
      <c r="I22" s="547"/>
      <c r="K22" s="661"/>
    </row>
    <row r="23" spans="1:11" x14ac:dyDescent="0.25">
      <c r="A23" s="755">
        <v>15</v>
      </c>
      <c r="B23" s="521" t="s">
        <v>44</v>
      </c>
      <c r="C23" s="784" t="s">
        <v>45</v>
      </c>
      <c r="D23" s="546">
        <v>5267</v>
      </c>
      <c r="E23" s="547">
        <v>73</v>
      </c>
      <c r="F23" s="779"/>
      <c r="G23" s="783"/>
      <c r="H23" s="647"/>
      <c r="I23" s="547"/>
      <c r="K23" s="661"/>
    </row>
    <row r="24" spans="1:11" x14ac:dyDescent="0.25">
      <c r="A24" s="755">
        <v>16</v>
      </c>
      <c r="B24" s="521" t="s">
        <v>46</v>
      </c>
      <c r="C24" s="784" t="s">
        <v>47</v>
      </c>
      <c r="D24" s="546">
        <v>6295</v>
      </c>
      <c r="E24" s="547">
        <v>73</v>
      </c>
      <c r="F24" s="779">
        <v>684</v>
      </c>
      <c r="G24" s="783">
        <v>5263</v>
      </c>
      <c r="H24" s="647"/>
      <c r="I24" s="547"/>
      <c r="K24" s="661"/>
    </row>
    <row r="25" spans="1:11" x14ac:dyDescent="0.25">
      <c r="A25" s="755">
        <v>17</v>
      </c>
      <c r="B25" s="521" t="s">
        <v>48</v>
      </c>
      <c r="C25" s="784" t="s">
        <v>49</v>
      </c>
      <c r="D25" s="546">
        <v>4977</v>
      </c>
      <c r="E25" s="547">
        <v>1138</v>
      </c>
      <c r="F25" s="779">
        <v>360</v>
      </c>
      <c r="G25" s="783">
        <v>2770</v>
      </c>
      <c r="H25" s="647"/>
      <c r="I25" s="547"/>
      <c r="K25" s="661"/>
    </row>
    <row r="26" spans="1:11" x14ac:dyDescent="0.25">
      <c r="A26" s="755">
        <v>18</v>
      </c>
      <c r="B26" s="521" t="s">
        <v>50</v>
      </c>
      <c r="C26" s="784" t="s">
        <v>51</v>
      </c>
      <c r="D26" s="546">
        <v>8461</v>
      </c>
      <c r="E26" s="547">
        <v>4059</v>
      </c>
      <c r="F26" s="779">
        <v>577</v>
      </c>
      <c r="G26" s="783">
        <v>6925</v>
      </c>
      <c r="H26" s="647"/>
      <c r="I26" s="547"/>
      <c r="K26" s="661"/>
    </row>
    <row r="27" spans="1:11" x14ac:dyDescent="0.25">
      <c r="A27" s="755">
        <v>19</v>
      </c>
      <c r="B27" s="516" t="s">
        <v>52</v>
      </c>
      <c r="C27" s="782" t="s">
        <v>53</v>
      </c>
      <c r="D27" s="546">
        <v>1524</v>
      </c>
      <c r="E27" s="547">
        <v>58</v>
      </c>
      <c r="F27" s="779"/>
      <c r="G27" s="783"/>
      <c r="H27" s="647"/>
      <c r="I27" s="547"/>
      <c r="K27" s="661"/>
    </row>
    <row r="28" spans="1:11" x14ac:dyDescent="0.25">
      <c r="A28" s="755">
        <v>20</v>
      </c>
      <c r="B28" s="516" t="s">
        <v>54</v>
      </c>
      <c r="C28" s="782" t="s">
        <v>55</v>
      </c>
      <c r="D28" s="546">
        <v>2259</v>
      </c>
      <c r="E28" s="547">
        <v>73</v>
      </c>
      <c r="F28" s="779"/>
      <c r="G28" s="783"/>
      <c r="H28" s="647"/>
      <c r="I28" s="547"/>
      <c r="K28" s="661"/>
    </row>
    <row r="29" spans="1:11" x14ac:dyDescent="0.25">
      <c r="A29" s="755">
        <v>21</v>
      </c>
      <c r="B29" s="516" t="s">
        <v>56</v>
      </c>
      <c r="C29" s="782" t="s">
        <v>57</v>
      </c>
      <c r="D29" s="546">
        <v>5440</v>
      </c>
      <c r="E29" s="547">
        <v>2750</v>
      </c>
      <c r="F29" s="779">
        <v>462</v>
      </c>
      <c r="G29" s="783">
        <v>5540</v>
      </c>
      <c r="H29" s="647"/>
      <c r="I29" s="547"/>
      <c r="K29" s="661"/>
    </row>
    <row r="30" spans="1:11" x14ac:dyDescent="0.25">
      <c r="A30" s="755">
        <v>22</v>
      </c>
      <c r="B30" s="516" t="s">
        <v>58</v>
      </c>
      <c r="C30" s="782" t="s">
        <v>59</v>
      </c>
      <c r="D30" s="546">
        <v>3098</v>
      </c>
      <c r="E30" s="547">
        <v>1432</v>
      </c>
      <c r="F30" s="779">
        <v>1154</v>
      </c>
      <c r="G30" s="783">
        <v>13850</v>
      </c>
      <c r="H30" s="647"/>
      <c r="I30" s="547"/>
      <c r="K30" s="661"/>
    </row>
    <row r="31" spans="1:11" x14ac:dyDescent="0.25">
      <c r="A31" s="755">
        <v>23</v>
      </c>
      <c r="B31" s="521" t="s">
        <v>60</v>
      </c>
      <c r="C31" s="784" t="s">
        <v>61</v>
      </c>
      <c r="D31" s="546"/>
      <c r="E31" s="547"/>
      <c r="F31" s="779"/>
      <c r="G31" s="783"/>
      <c r="H31" s="647"/>
      <c r="I31" s="547"/>
      <c r="K31" s="661"/>
    </row>
    <row r="32" spans="1:11" x14ac:dyDescent="0.25">
      <c r="A32" s="755">
        <v>24</v>
      </c>
      <c r="B32" s="521" t="s">
        <v>62</v>
      </c>
      <c r="C32" s="784" t="s">
        <v>63</v>
      </c>
      <c r="D32" s="546"/>
      <c r="E32" s="547"/>
      <c r="F32" s="779"/>
      <c r="G32" s="783"/>
      <c r="H32" s="647"/>
      <c r="I32" s="547"/>
      <c r="K32" s="661"/>
    </row>
    <row r="33" spans="1:11" ht="25.5" x14ac:dyDescent="0.25">
      <c r="A33" s="755">
        <v>25</v>
      </c>
      <c r="B33" s="521" t="s">
        <v>64</v>
      </c>
      <c r="C33" s="784" t="s">
        <v>65</v>
      </c>
      <c r="D33" s="546"/>
      <c r="E33" s="547"/>
      <c r="F33" s="779"/>
      <c r="G33" s="783"/>
      <c r="H33" s="647"/>
      <c r="I33" s="547"/>
      <c r="K33" s="661"/>
    </row>
    <row r="34" spans="1:11" x14ac:dyDescent="0.25">
      <c r="A34" s="755">
        <v>26</v>
      </c>
      <c r="B34" s="516" t="s">
        <v>66</v>
      </c>
      <c r="C34" s="785" t="s">
        <v>67</v>
      </c>
      <c r="D34" s="546">
        <v>2704</v>
      </c>
      <c r="E34" s="547">
        <v>63</v>
      </c>
      <c r="F34" s="779"/>
      <c r="G34" s="783"/>
      <c r="H34" s="647"/>
      <c r="I34" s="547"/>
      <c r="K34" s="661"/>
    </row>
    <row r="35" spans="1:11" x14ac:dyDescent="0.25">
      <c r="A35" s="755">
        <v>27</v>
      </c>
      <c r="B35" s="521" t="s">
        <v>68</v>
      </c>
      <c r="C35" s="784" t="s">
        <v>69</v>
      </c>
      <c r="D35" s="546">
        <v>1997</v>
      </c>
      <c r="E35" s="547">
        <v>69</v>
      </c>
      <c r="F35" s="779"/>
      <c r="G35" s="783"/>
      <c r="H35" s="647"/>
      <c r="I35" s="547"/>
      <c r="K35" s="661"/>
    </row>
    <row r="36" spans="1:11" x14ac:dyDescent="0.25">
      <c r="A36" s="755">
        <v>28</v>
      </c>
      <c r="B36" s="521" t="s">
        <v>70</v>
      </c>
      <c r="C36" s="784" t="s">
        <v>71</v>
      </c>
      <c r="D36" s="546"/>
      <c r="E36" s="547"/>
      <c r="F36" s="779"/>
      <c r="G36" s="783"/>
      <c r="H36" s="647"/>
      <c r="I36" s="547"/>
      <c r="K36" s="661"/>
    </row>
    <row r="37" spans="1:11" x14ac:dyDescent="0.25">
      <c r="A37" s="755">
        <v>29</v>
      </c>
      <c r="B37" s="516" t="s">
        <v>72</v>
      </c>
      <c r="C37" s="782" t="s">
        <v>73</v>
      </c>
      <c r="D37" s="546"/>
      <c r="E37" s="547"/>
      <c r="F37" s="779"/>
      <c r="G37" s="783"/>
      <c r="H37" s="647"/>
      <c r="I37" s="547"/>
      <c r="K37" s="661"/>
    </row>
    <row r="38" spans="1:11" ht="25.5" x14ac:dyDescent="0.25">
      <c r="A38" s="755">
        <v>30</v>
      </c>
      <c r="B38" s="516" t="s">
        <v>74</v>
      </c>
      <c r="C38" s="785" t="s">
        <v>377</v>
      </c>
      <c r="D38" s="546"/>
      <c r="E38" s="547"/>
      <c r="F38" s="779"/>
      <c r="G38" s="783"/>
      <c r="H38" s="647"/>
      <c r="I38" s="547"/>
      <c r="K38" s="661"/>
    </row>
    <row r="39" spans="1:11" x14ac:dyDescent="0.25">
      <c r="A39" s="755">
        <v>31</v>
      </c>
      <c r="B39" s="516" t="s">
        <v>75</v>
      </c>
      <c r="C39" s="782" t="s">
        <v>76</v>
      </c>
      <c r="D39" s="546"/>
      <c r="E39" s="547"/>
      <c r="F39" s="779"/>
      <c r="G39" s="783"/>
      <c r="H39" s="647"/>
      <c r="I39" s="547"/>
      <c r="K39" s="661"/>
    </row>
    <row r="40" spans="1:11" x14ac:dyDescent="0.25">
      <c r="A40" s="755">
        <v>32</v>
      </c>
      <c r="B40" s="521" t="s">
        <v>77</v>
      </c>
      <c r="C40" s="784" t="s">
        <v>78</v>
      </c>
      <c r="D40" s="546">
        <v>13728</v>
      </c>
      <c r="E40" s="547">
        <v>3892</v>
      </c>
      <c r="F40" s="779">
        <v>594</v>
      </c>
      <c r="G40" s="783">
        <v>8310</v>
      </c>
      <c r="H40" s="647"/>
      <c r="I40" s="547"/>
      <c r="K40" s="661"/>
    </row>
    <row r="41" spans="1:11" x14ac:dyDescent="0.25">
      <c r="A41" s="755">
        <v>33</v>
      </c>
      <c r="B41" s="516" t="s">
        <v>79</v>
      </c>
      <c r="C41" s="782" t="s">
        <v>80</v>
      </c>
      <c r="D41" s="546">
        <v>12130</v>
      </c>
      <c r="E41" s="547">
        <v>5691</v>
      </c>
      <c r="F41" s="779">
        <v>1241</v>
      </c>
      <c r="G41" s="783">
        <v>17728</v>
      </c>
      <c r="H41" s="647">
        <f>234+20</f>
        <v>254</v>
      </c>
      <c r="I41" s="547">
        <f>2790+240</f>
        <v>3030</v>
      </c>
      <c r="K41" s="661"/>
    </row>
    <row r="42" spans="1:11" x14ac:dyDescent="0.25">
      <c r="A42" s="755">
        <v>34</v>
      </c>
      <c r="B42" s="764" t="s">
        <v>81</v>
      </c>
      <c r="C42" s="785" t="s">
        <v>82</v>
      </c>
      <c r="D42" s="546">
        <v>3180</v>
      </c>
      <c r="E42" s="547">
        <v>489</v>
      </c>
      <c r="F42" s="779">
        <v>504</v>
      </c>
      <c r="G42" s="783">
        <v>3878</v>
      </c>
      <c r="H42" s="647"/>
      <c r="I42" s="547"/>
      <c r="K42" s="661"/>
    </row>
    <row r="43" spans="1:11" ht="13.5" customHeight="1" x14ac:dyDescent="0.25">
      <c r="A43" s="755">
        <v>35</v>
      </c>
      <c r="B43" s="516" t="s">
        <v>83</v>
      </c>
      <c r="C43" s="782" t="s">
        <v>84</v>
      </c>
      <c r="D43" s="546">
        <v>7087</v>
      </c>
      <c r="E43" s="547">
        <v>3421</v>
      </c>
      <c r="F43" s="779">
        <v>577</v>
      </c>
      <c r="G43" s="783">
        <v>6925</v>
      </c>
      <c r="H43" s="647">
        <f>155+13</f>
        <v>168</v>
      </c>
      <c r="I43" s="547">
        <f>1860+156</f>
        <v>2016</v>
      </c>
      <c r="K43" s="661"/>
    </row>
    <row r="44" spans="1:11" x14ac:dyDescent="0.25">
      <c r="A44" s="755">
        <v>36</v>
      </c>
      <c r="B44" s="516" t="s">
        <v>85</v>
      </c>
      <c r="C44" s="782" t="s">
        <v>86</v>
      </c>
      <c r="D44" s="546">
        <v>4766</v>
      </c>
      <c r="E44" s="547">
        <v>73</v>
      </c>
      <c r="F44" s="779">
        <v>324</v>
      </c>
      <c r="G44" s="783">
        <v>2493</v>
      </c>
      <c r="H44" s="647"/>
      <c r="I44" s="547"/>
      <c r="K44" s="661"/>
    </row>
    <row r="45" spans="1:11" x14ac:dyDescent="0.25">
      <c r="A45" s="755">
        <v>37</v>
      </c>
      <c r="B45" s="521" t="s">
        <v>87</v>
      </c>
      <c r="C45" s="784" t="s">
        <v>88</v>
      </c>
      <c r="D45" s="546">
        <v>6948</v>
      </c>
      <c r="E45" s="547">
        <v>3228</v>
      </c>
      <c r="F45" s="779">
        <v>693</v>
      </c>
      <c r="G45" s="783">
        <v>8310</v>
      </c>
      <c r="H45" s="647"/>
      <c r="I45" s="547"/>
      <c r="K45" s="661"/>
    </row>
    <row r="46" spans="1:11" x14ac:dyDescent="0.25">
      <c r="A46" s="755">
        <v>38</v>
      </c>
      <c r="B46" s="516" t="s">
        <v>89</v>
      </c>
      <c r="C46" s="782" t="s">
        <v>90</v>
      </c>
      <c r="D46" s="546">
        <v>4678</v>
      </c>
      <c r="E46" s="547">
        <v>94</v>
      </c>
      <c r="F46" s="779"/>
      <c r="G46" s="783"/>
      <c r="H46" s="647"/>
      <c r="I46" s="547"/>
      <c r="K46" s="661"/>
    </row>
    <row r="47" spans="1:11" x14ac:dyDescent="0.25">
      <c r="A47" s="755">
        <v>39</v>
      </c>
      <c r="B47" s="516" t="s">
        <v>91</v>
      </c>
      <c r="C47" s="782" t="s">
        <v>92</v>
      </c>
      <c r="D47" s="546">
        <v>1931</v>
      </c>
      <c r="E47" s="547">
        <v>62</v>
      </c>
      <c r="F47" s="779"/>
      <c r="G47" s="783"/>
      <c r="H47" s="647"/>
      <c r="I47" s="547"/>
      <c r="K47" s="661"/>
    </row>
    <row r="48" spans="1:11" ht="14.25" customHeight="1" x14ac:dyDescent="0.25">
      <c r="A48" s="755">
        <v>40</v>
      </c>
      <c r="B48" s="529" t="s">
        <v>93</v>
      </c>
      <c r="C48" s="788" t="s">
        <v>94</v>
      </c>
      <c r="D48" s="546">
        <v>5880</v>
      </c>
      <c r="E48" s="547">
        <v>466</v>
      </c>
      <c r="F48" s="779"/>
      <c r="G48" s="783"/>
      <c r="H48" s="647"/>
      <c r="I48" s="547"/>
      <c r="K48" s="661"/>
    </row>
    <row r="49" spans="1:11" x14ac:dyDescent="0.25">
      <c r="A49" s="755">
        <v>41</v>
      </c>
      <c r="B49" s="516" t="s">
        <v>95</v>
      </c>
      <c r="C49" s="782" t="s">
        <v>96</v>
      </c>
      <c r="D49" s="546">
        <v>2886</v>
      </c>
      <c r="E49" s="547">
        <v>156</v>
      </c>
      <c r="F49" s="779"/>
      <c r="G49" s="783"/>
      <c r="H49" s="647"/>
      <c r="I49" s="547"/>
      <c r="K49" s="661"/>
    </row>
    <row r="50" spans="1:11" x14ac:dyDescent="0.25">
      <c r="A50" s="755">
        <v>42</v>
      </c>
      <c r="B50" s="764" t="s">
        <v>97</v>
      </c>
      <c r="C50" s="785" t="s">
        <v>98</v>
      </c>
      <c r="D50" s="546"/>
      <c r="E50" s="547"/>
      <c r="F50" s="779"/>
      <c r="G50" s="783"/>
      <c r="H50" s="647"/>
      <c r="I50" s="547"/>
      <c r="K50" s="661"/>
    </row>
    <row r="51" spans="1:11" x14ac:dyDescent="0.25">
      <c r="A51" s="755">
        <v>43</v>
      </c>
      <c r="B51" s="521" t="s">
        <v>99</v>
      </c>
      <c r="C51" s="784" t="s">
        <v>100</v>
      </c>
      <c r="D51" s="546">
        <v>8150</v>
      </c>
      <c r="E51" s="547">
        <v>4130</v>
      </c>
      <c r="F51" s="779">
        <v>577</v>
      </c>
      <c r="G51" s="783">
        <v>6925</v>
      </c>
      <c r="H51" s="647"/>
      <c r="I51" s="547"/>
      <c r="K51" s="661"/>
    </row>
    <row r="52" spans="1:11" x14ac:dyDescent="0.25">
      <c r="A52" s="755">
        <v>44</v>
      </c>
      <c r="B52" s="516" t="s">
        <v>101</v>
      </c>
      <c r="C52" s="782" t="s">
        <v>102</v>
      </c>
      <c r="D52" s="546">
        <v>2746</v>
      </c>
      <c r="E52" s="547">
        <v>505</v>
      </c>
      <c r="F52" s="779"/>
      <c r="G52" s="783"/>
      <c r="H52" s="647"/>
      <c r="I52" s="547"/>
      <c r="K52" s="661"/>
    </row>
    <row r="53" spans="1:11" ht="10.5" customHeight="1" x14ac:dyDescent="0.25">
      <c r="A53" s="755">
        <v>45</v>
      </c>
      <c r="B53" s="521" t="s">
        <v>103</v>
      </c>
      <c r="C53" s="784" t="s">
        <v>104</v>
      </c>
      <c r="D53" s="546">
        <v>8708</v>
      </c>
      <c r="E53" s="547">
        <v>4095</v>
      </c>
      <c r="F53" s="779">
        <v>808</v>
      </c>
      <c r="G53" s="783">
        <v>9695</v>
      </c>
      <c r="H53" s="647"/>
      <c r="I53" s="547"/>
      <c r="K53" s="661"/>
    </row>
    <row r="54" spans="1:11" x14ac:dyDescent="0.25">
      <c r="A54" s="755">
        <v>46</v>
      </c>
      <c r="B54" s="516" t="s">
        <v>105</v>
      </c>
      <c r="C54" s="782" t="s">
        <v>106</v>
      </c>
      <c r="D54" s="546">
        <v>3752</v>
      </c>
      <c r="E54" s="547">
        <v>42</v>
      </c>
      <c r="F54" s="779"/>
      <c r="G54" s="783"/>
      <c r="H54" s="647"/>
      <c r="I54" s="547"/>
      <c r="K54" s="661"/>
    </row>
    <row r="55" spans="1:11" x14ac:dyDescent="0.25">
      <c r="A55" s="755">
        <v>47</v>
      </c>
      <c r="B55" s="516" t="s">
        <v>107</v>
      </c>
      <c r="C55" s="782" t="s">
        <v>108</v>
      </c>
      <c r="D55" s="546">
        <v>4562</v>
      </c>
      <c r="E55" s="547">
        <v>610</v>
      </c>
      <c r="F55" s="779"/>
      <c r="G55" s="783"/>
      <c r="H55" s="647"/>
      <c r="I55" s="547"/>
      <c r="K55" s="661"/>
    </row>
    <row r="56" spans="1:11" ht="11.25" customHeight="1" x14ac:dyDescent="0.25">
      <c r="A56" s="755">
        <v>48</v>
      </c>
      <c r="B56" s="521" t="s">
        <v>109</v>
      </c>
      <c r="C56" s="784" t="s">
        <v>110</v>
      </c>
      <c r="D56" s="546">
        <v>3369</v>
      </c>
      <c r="E56" s="547">
        <v>1504</v>
      </c>
      <c r="F56" s="779">
        <v>863</v>
      </c>
      <c r="G56" s="783">
        <v>6648</v>
      </c>
      <c r="H56" s="647">
        <f>103-103</f>
        <v>0</v>
      </c>
      <c r="I56" s="547">
        <f>1240-1240</f>
        <v>0</v>
      </c>
      <c r="K56" s="661"/>
    </row>
    <row r="57" spans="1:11" ht="11.25" customHeight="1" x14ac:dyDescent="0.25">
      <c r="A57" s="755">
        <v>49</v>
      </c>
      <c r="B57" s="521" t="s">
        <v>111</v>
      </c>
      <c r="C57" s="784" t="s">
        <v>112</v>
      </c>
      <c r="D57" s="546">
        <v>2303</v>
      </c>
      <c r="E57" s="547">
        <v>172</v>
      </c>
      <c r="F57" s="779"/>
      <c r="G57" s="783"/>
      <c r="H57" s="647"/>
      <c r="I57" s="547"/>
      <c r="K57" s="661"/>
    </row>
    <row r="58" spans="1:11" ht="11.25" customHeight="1" x14ac:dyDescent="0.25">
      <c r="A58" s="755">
        <v>50</v>
      </c>
      <c r="B58" s="516" t="s">
        <v>113</v>
      </c>
      <c r="C58" s="782" t="s">
        <v>114</v>
      </c>
      <c r="D58" s="546">
        <v>3507</v>
      </c>
      <c r="E58" s="547">
        <v>493</v>
      </c>
      <c r="F58" s="779"/>
      <c r="G58" s="783"/>
      <c r="H58" s="647"/>
      <c r="I58" s="547"/>
      <c r="K58" s="661"/>
    </row>
    <row r="59" spans="1:11" ht="11.25" customHeight="1" x14ac:dyDescent="0.25">
      <c r="A59" s="755">
        <v>51</v>
      </c>
      <c r="B59" s="521" t="s">
        <v>115</v>
      </c>
      <c r="C59" s="784" t="s">
        <v>116</v>
      </c>
      <c r="D59" s="546">
        <v>6058</v>
      </c>
      <c r="E59" s="547">
        <v>134</v>
      </c>
      <c r="F59" s="779"/>
      <c r="G59" s="783"/>
      <c r="H59" s="647"/>
      <c r="I59" s="547"/>
      <c r="K59" s="661"/>
    </row>
    <row r="60" spans="1:11" ht="11.25" customHeight="1" x14ac:dyDescent="0.25">
      <c r="A60" s="755">
        <v>52</v>
      </c>
      <c r="B60" s="516" t="s">
        <v>117</v>
      </c>
      <c r="C60" s="782" t="s">
        <v>118</v>
      </c>
      <c r="D60" s="546">
        <v>9092</v>
      </c>
      <c r="E60" s="547">
        <v>5398</v>
      </c>
      <c r="F60" s="779">
        <v>923</v>
      </c>
      <c r="G60" s="783">
        <v>11080</v>
      </c>
      <c r="H60" s="647">
        <f>207+20</f>
        <v>227</v>
      </c>
      <c r="I60" s="547">
        <f>2480+240</f>
        <v>2720</v>
      </c>
      <c r="K60" s="661"/>
    </row>
    <row r="61" spans="1:11" ht="11.25" customHeight="1" x14ac:dyDescent="0.25">
      <c r="A61" s="755">
        <v>53</v>
      </c>
      <c r="B61" s="521" t="s">
        <v>119</v>
      </c>
      <c r="C61" s="784" t="s">
        <v>120</v>
      </c>
      <c r="D61" s="546">
        <v>2755</v>
      </c>
      <c r="E61" s="547">
        <v>408</v>
      </c>
      <c r="F61" s="779"/>
      <c r="G61" s="783"/>
      <c r="H61" s="647"/>
      <c r="I61" s="547"/>
      <c r="K61" s="661"/>
    </row>
    <row r="62" spans="1:11" ht="11.25" customHeight="1" x14ac:dyDescent="0.25">
      <c r="A62" s="755">
        <v>54</v>
      </c>
      <c r="B62" s="521" t="s">
        <v>121</v>
      </c>
      <c r="C62" s="784" t="s">
        <v>122</v>
      </c>
      <c r="D62" s="546"/>
      <c r="E62" s="547"/>
      <c r="F62" s="779"/>
      <c r="G62" s="783"/>
      <c r="H62" s="647"/>
      <c r="I62" s="547"/>
      <c r="K62" s="661"/>
    </row>
    <row r="63" spans="1:11" ht="11.25" customHeight="1" x14ac:dyDescent="0.25">
      <c r="A63" s="755">
        <v>55</v>
      </c>
      <c r="B63" s="521" t="s">
        <v>123</v>
      </c>
      <c r="C63" s="784" t="s">
        <v>124</v>
      </c>
      <c r="D63" s="546"/>
      <c r="E63" s="547"/>
      <c r="F63" s="779"/>
      <c r="G63" s="783"/>
      <c r="H63" s="647"/>
      <c r="I63" s="547"/>
      <c r="K63" s="661"/>
    </row>
    <row r="64" spans="1:11" ht="11.25" customHeight="1" x14ac:dyDescent="0.25">
      <c r="A64" s="755">
        <v>56</v>
      </c>
      <c r="B64" s="756" t="s">
        <v>125</v>
      </c>
      <c r="C64" s="789" t="s">
        <v>126</v>
      </c>
      <c r="D64" s="546"/>
      <c r="E64" s="547"/>
      <c r="F64" s="779"/>
      <c r="G64" s="783"/>
      <c r="H64" s="647"/>
      <c r="I64" s="547"/>
      <c r="K64" s="661"/>
    </row>
    <row r="65" spans="1:11" ht="11.25" customHeight="1" x14ac:dyDescent="0.25">
      <c r="A65" s="755">
        <v>57</v>
      </c>
      <c r="B65" s="521" t="s">
        <v>127</v>
      </c>
      <c r="C65" s="784" t="s">
        <v>128</v>
      </c>
      <c r="D65" s="546"/>
      <c r="E65" s="547"/>
      <c r="F65" s="779"/>
      <c r="G65" s="783"/>
      <c r="H65" s="647"/>
      <c r="I65" s="547"/>
      <c r="K65" s="661"/>
    </row>
    <row r="66" spans="1:11" ht="11.25" customHeight="1" x14ac:dyDescent="0.25">
      <c r="A66" s="755">
        <v>58</v>
      </c>
      <c r="B66" s="521" t="s">
        <v>129</v>
      </c>
      <c r="C66" s="784" t="s">
        <v>459</v>
      </c>
      <c r="D66" s="546"/>
      <c r="E66" s="547"/>
      <c r="F66" s="779"/>
      <c r="G66" s="783"/>
      <c r="H66" s="647"/>
      <c r="I66" s="547"/>
      <c r="K66" s="661"/>
    </row>
    <row r="67" spans="1:11" ht="12" customHeight="1" x14ac:dyDescent="0.25">
      <c r="A67" s="755">
        <v>59</v>
      </c>
      <c r="B67" s="521" t="s">
        <v>131</v>
      </c>
      <c r="C67" s="784" t="s">
        <v>132</v>
      </c>
      <c r="D67" s="546"/>
      <c r="E67" s="547"/>
      <c r="F67" s="779"/>
      <c r="G67" s="783"/>
      <c r="H67" s="647"/>
      <c r="I67" s="547"/>
      <c r="K67" s="661"/>
    </row>
    <row r="68" spans="1:11" ht="12" customHeight="1" x14ac:dyDescent="0.25">
      <c r="A68" s="755">
        <v>60</v>
      </c>
      <c r="B68" s="516" t="s">
        <v>133</v>
      </c>
      <c r="C68" s="784" t="s">
        <v>299</v>
      </c>
      <c r="D68" s="546"/>
      <c r="E68" s="547"/>
      <c r="F68" s="779"/>
      <c r="G68" s="783"/>
      <c r="H68" s="647"/>
      <c r="I68" s="547"/>
      <c r="K68" s="661"/>
    </row>
    <row r="69" spans="1:11" ht="12" customHeight="1" x14ac:dyDescent="0.25">
      <c r="A69" s="755">
        <v>61</v>
      </c>
      <c r="B69" s="764" t="s">
        <v>135</v>
      </c>
      <c r="C69" s="784" t="s">
        <v>461</v>
      </c>
      <c r="D69" s="546"/>
      <c r="E69" s="547"/>
      <c r="F69" s="779"/>
      <c r="G69" s="783"/>
      <c r="H69" s="647"/>
      <c r="I69" s="547"/>
      <c r="K69" s="661"/>
    </row>
    <row r="70" spans="1:11" ht="25.5" customHeight="1" x14ac:dyDescent="0.25">
      <c r="A70" s="755">
        <v>62</v>
      </c>
      <c r="B70" s="516" t="s">
        <v>137</v>
      </c>
      <c r="C70" s="784" t="s">
        <v>639</v>
      </c>
      <c r="D70" s="546"/>
      <c r="E70" s="547"/>
      <c r="F70" s="779"/>
      <c r="G70" s="783"/>
      <c r="H70" s="647"/>
      <c r="I70" s="547"/>
      <c r="K70" s="661"/>
    </row>
    <row r="71" spans="1:11" ht="25.5" customHeight="1" x14ac:dyDescent="0.25">
      <c r="A71" s="755">
        <v>63</v>
      </c>
      <c r="B71" s="521" t="s">
        <v>139</v>
      </c>
      <c r="C71" s="784" t="s">
        <v>640</v>
      </c>
      <c r="D71" s="546"/>
      <c r="E71" s="547"/>
      <c r="F71" s="779"/>
      <c r="G71" s="783"/>
      <c r="H71" s="647"/>
      <c r="I71" s="547"/>
      <c r="K71" s="661"/>
    </row>
    <row r="72" spans="1:11" x14ac:dyDescent="0.25">
      <c r="A72" s="755">
        <v>64</v>
      </c>
      <c r="B72" s="516" t="s">
        <v>141</v>
      </c>
      <c r="C72" s="784" t="s">
        <v>456</v>
      </c>
      <c r="D72" s="546"/>
      <c r="E72" s="547"/>
      <c r="F72" s="779"/>
      <c r="G72" s="783"/>
      <c r="H72" s="647"/>
      <c r="I72" s="547"/>
      <c r="K72" s="661"/>
    </row>
    <row r="73" spans="1:11" x14ac:dyDescent="0.25">
      <c r="A73" s="755">
        <v>65</v>
      </c>
      <c r="B73" s="516" t="s">
        <v>143</v>
      </c>
      <c r="C73" s="784" t="s">
        <v>144</v>
      </c>
      <c r="D73" s="546"/>
      <c r="E73" s="547"/>
      <c r="F73" s="779"/>
      <c r="G73" s="783"/>
      <c r="H73" s="647"/>
      <c r="I73" s="547"/>
      <c r="K73" s="661"/>
    </row>
    <row r="74" spans="1:11" x14ac:dyDescent="0.25">
      <c r="A74" s="755">
        <v>66</v>
      </c>
      <c r="B74" s="516" t="s">
        <v>145</v>
      </c>
      <c r="C74" s="784" t="s">
        <v>457</v>
      </c>
      <c r="D74" s="546"/>
      <c r="E74" s="547"/>
      <c r="F74" s="779"/>
      <c r="G74" s="783"/>
      <c r="H74" s="647"/>
      <c r="I74" s="547"/>
      <c r="K74" s="661"/>
    </row>
    <row r="75" spans="1:11" ht="25.5" x14ac:dyDescent="0.25">
      <c r="A75" s="755">
        <v>67</v>
      </c>
      <c r="B75" s="516" t="s">
        <v>147</v>
      </c>
      <c r="C75" s="784" t="s">
        <v>641</v>
      </c>
      <c r="D75" s="546"/>
      <c r="E75" s="547"/>
      <c r="F75" s="779"/>
      <c r="G75" s="783"/>
      <c r="H75" s="647"/>
      <c r="I75" s="547"/>
      <c r="K75" s="661"/>
    </row>
    <row r="76" spans="1:11" ht="25.5" x14ac:dyDescent="0.25">
      <c r="A76" s="755">
        <v>68</v>
      </c>
      <c r="B76" s="516" t="s">
        <v>149</v>
      </c>
      <c r="C76" s="784" t="s">
        <v>463</v>
      </c>
      <c r="D76" s="546"/>
      <c r="E76" s="547"/>
      <c r="F76" s="779"/>
      <c r="G76" s="783"/>
      <c r="H76" s="647"/>
      <c r="I76" s="547"/>
      <c r="K76" s="661"/>
    </row>
    <row r="77" spans="1:11" ht="25.5" x14ac:dyDescent="0.25">
      <c r="A77" s="755">
        <v>69</v>
      </c>
      <c r="B77" s="516" t="s">
        <v>151</v>
      </c>
      <c r="C77" s="784" t="s">
        <v>642</v>
      </c>
      <c r="D77" s="546"/>
      <c r="E77" s="547"/>
      <c r="F77" s="779"/>
      <c r="G77" s="783"/>
      <c r="H77" s="647"/>
      <c r="I77" s="547"/>
      <c r="K77" s="661"/>
    </row>
    <row r="78" spans="1:11" ht="25.5" x14ac:dyDescent="0.25">
      <c r="A78" s="755">
        <v>70</v>
      </c>
      <c r="B78" s="516" t="s">
        <v>153</v>
      </c>
      <c r="C78" s="784" t="s">
        <v>643</v>
      </c>
      <c r="D78" s="546"/>
      <c r="E78" s="547"/>
      <c r="F78" s="779"/>
      <c r="G78" s="783"/>
      <c r="H78" s="647"/>
      <c r="I78" s="547"/>
      <c r="K78" s="661"/>
    </row>
    <row r="79" spans="1:11" ht="25.5" x14ac:dyDescent="0.25">
      <c r="A79" s="755">
        <v>71</v>
      </c>
      <c r="B79" s="521" t="s">
        <v>155</v>
      </c>
      <c r="C79" s="784" t="s">
        <v>644</v>
      </c>
      <c r="D79" s="546"/>
      <c r="E79" s="547"/>
      <c r="F79" s="779"/>
      <c r="G79" s="783"/>
      <c r="H79" s="647"/>
      <c r="I79" s="547"/>
      <c r="K79" s="661"/>
    </row>
    <row r="80" spans="1:11" ht="25.5" x14ac:dyDescent="0.25">
      <c r="A80" s="755">
        <v>72</v>
      </c>
      <c r="B80" s="516" t="s">
        <v>157</v>
      </c>
      <c r="C80" s="782" t="s">
        <v>645</v>
      </c>
      <c r="D80" s="546"/>
      <c r="E80" s="547"/>
      <c r="F80" s="779"/>
      <c r="G80" s="783"/>
      <c r="H80" s="647"/>
      <c r="I80" s="547"/>
      <c r="K80" s="661"/>
    </row>
    <row r="81" spans="1:11" ht="25.5" x14ac:dyDescent="0.25">
      <c r="A81" s="755">
        <v>73</v>
      </c>
      <c r="B81" s="521" t="s">
        <v>159</v>
      </c>
      <c r="C81" s="784" t="s">
        <v>646</v>
      </c>
      <c r="D81" s="546"/>
      <c r="E81" s="547"/>
      <c r="F81" s="779"/>
      <c r="G81" s="783"/>
      <c r="H81" s="647"/>
      <c r="I81" s="547"/>
      <c r="K81" s="661"/>
    </row>
    <row r="82" spans="1:11" x14ac:dyDescent="0.25">
      <c r="A82" s="755">
        <v>74</v>
      </c>
      <c r="B82" s="516" t="s">
        <v>161</v>
      </c>
      <c r="C82" s="784" t="s">
        <v>162</v>
      </c>
      <c r="D82" s="546"/>
      <c r="E82" s="547"/>
      <c r="F82" s="779"/>
      <c r="G82" s="783"/>
      <c r="H82" s="647"/>
      <c r="I82" s="547"/>
      <c r="K82" s="661"/>
    </row>
    <row r="83" spans="1:11" x14ac:dyDescent="0.25">
      <c r="A83" s="755">
        <v>75</v>
      </c>
      <c r="B83" s="521" t="s">
        <v>163</v>
      </c>
      <c r="C83" s="784" t="s">
        <v>458</v>
      </c>
      <c r="D83" s="546"/>
      <c r="E83" s="547"/>
      <c r="F83" s="779"/>
      <c r="G83" s="783"/>
      <c r="H83" s="647"/>
      <c r="I83" s="547"/>
      <c r="K83" s="661"/>
    </row>
    <row r="84" spans="1:11" x14ac:dyDescent="0.25">
      <c r="A84" s="755">
        <v>76</v>
      </c>
      <c r="B84" s="521" t="s">
        <v>165</v>
      </c>
      <c r="C84" s="784" t="s">
        <v>166</v>
      </c>
      <c r="D84" s="546"/>
      <c r="E84" s="547"/>
      <c r="F84" s="779"/>
      <c r="G84" s="783"/>
      <c r="H84" s="647"/>
      <c r="I84" s="547"/>
      <c r="K84" s="661"/>
    </row>
    <row r="85" spans="1:11" x14ac:dyDescent="0.25">
      <c r="A85" s="755">
        <v>77</v>
      </c>
      <c r="B85" s="516" t="s">
        <v>167</v>
      </c>
      <c r="C85" s="784" t="s">
        <v>168</v>
      </c>
      <c r="D85" s="546"/>
      <c r="E85" s="547"/>
      <c r="F85" s="779"/>
      <c r="G85" s="783"/>
      <c r="H85" s="647"/>
      <c r="I85" s="547"/>
      <c r="K85" s="661"/>
    </row>
    <row r="86" spans="1:11" x14ac:dyDescent="0.25">
      <c r="A86" s="755">
        <v>78</v>
      </c>
      <c r="B86" s="516" t="s">
        <v>169</v>
      </c>
      <c r="C86" s="784" t="s">
        <v>170</v>
      </c>
      <c r="D86" s="546"/>
      <c r="E86" s="547"/>
      <c r="F86" s="779"/>
      <c r="G86" s="783"/>
      <c r="H86" s="647"/>
      <c r="I86" s="547"/>
      <c r="K86" s="661"/>
    </row>
    <row r="87" spans="1:11" x14ac:dyDescent="0.25">
      <c r="A87" s="755">
        <v>79</v>
      </c>
      <c r="B87" s="516" t="s">
        <v>171</v>
      </c>
      <c r="C87" s="784" t="s">
        <v>172</v>
      </c>
      <c r="D87" s="546"/>
      <c r="E87" s="547"/>
      <c r="F87" s="779"/>
      <c r="G87" s="783"/>
      <c r="H87" s="647"/>
      <c r="I87" s="547"/>
      <c r="K87" s="661"/>
    </row>
    <row r="88" spans="1:11" x14ac:dyDescent="0.25">
      <c r="A88" s="755">
        <v>80</v>
      </c>
      <c r="B88" s="516" t="s">
        <v>173</v>
      </c>
      <c r="C88" s="784" t="s">
        <v>616</v>
      </c>
      <c r="D88" s="546"/>
      <c r="E88" s="547"/>
      <c r="F88" s="779"/>
      <c r="G88" s="783"/>
      <c r="H88" s="647"/>
      <c r="I88" s="547"/>
      <c r="K88" s="661"/>
    </row>
    <row r="89" spans="1:11" x14ac:dyDescent="0.25">
      <c r="A89" s="755">
        <v>81</v>
      </c>
      <c r="B89" s="516" t="s">
        <v>175</v>
      </c>
      <c r="C89" s="784" t="s">
        <v>746</v>
      </c>
      <c r="D89" s="546"/>
      <c r="E89" s="547"/>
      <c r="F89" s="779"/>
      <c r="G89" s="783"/>
      <c r="H89" s="647"/>
      <c r="I89" s="547"/>
      <c r="K89" s="661"/>
    </row>
    <row r="90" spans="1:11" x14ac:dyDescent="0.25">
      <c r="A90" s="755">
        <v>82</v>
      </c>
      <c r="B90" s="533" t="s">
        <v>177</v>
      </c>
      <c r="C90" s="789" t="s">
        <v>749</v>
      </c>
      <c r="D90" s="546"/>
      <c r="E90" s="547"/>
      <c r="F90" s="779"/>
      <c r="G90" s="783"/>
      <c r="H90" s="647"/>
      <c r="I90" s="547"/>
      <c r="K90" s="661"/>
    </row>
    <row r="91" spans="1:11" ht="25.5" x14ac:dyDescent="0.25">
      <c r="A91" s="1252">
        <v>83</v>
      </c>
      <c r="B91" s="1253" t="s">
        <v>178</v>
      </c>
      <c r="C91" s="790" t="s">
        <v>750</v>
      </c>
      <c r="D91" s="546"/>
      <c r="E91" s="547"/>
      <c r="F91" s="779"/>
      <c r="G91" s="783"/>
      <c r="H91" s="647"/>
      <c r="I91" s="547"/>
      <c r="K91" s="661"/>
    </row>
    <row r="92" spans="1:11" ht="25.5" x14ac:dyDescent="0.25">
      <c r="A92" s="1252"/>
      <c r="B92" s="1253"/>
      <c r="C92" s="789" t="s">
        <v>179</v>
      </c>
      <c r="D92" s="546"/>
      <c r="E92" s="547"/>
      <c r="F92" s="779"/>
      <c r="G92" s="783"/>
      <c r="H92" s="647"/>
      <c r="I92" s="547"/>
      <c r="K92" s="661"/>
    </row>
    <row r="93" spans="1:11" ht="25.5" x14ac:dyDescent="0.25">
      <c r="A93" s="1252"/>
      <c r="B93" s="1253"/>
      <c r="C93" s="789" t="s">
        <v>180</v>
      </c>
      <c r="D93" s="546"/>
      <c r="E93" s="547"/>
      <c r="F93" s="779"/>
      <c r="G93" s="783"/>
      <c r="H93" s="647"/>
      <c r="I93" s="547"/>
      <c r="K93" s="661"/>
    </row>
    <row r="94" spans="1:11" ht="38.25" x14ac:dyDescent="0.25">
      <c r="A94" s="1252"/>
      <c r="B94" s="1253"/>
      <c r="C94" s="791" t="s">
        <v>509</v>
      </c>
      <c r="D94" s="546"/>
      <c r="E94" s="547"/>
      <c r="F94" s="779"/>
      <c r="G94" s="783"/>
      <c r="H94" s="647"/>
      <c r="I94" s="547"/>
      <c r="K94" s="661"/>
    </row>
    <row r="95" spans="1:11" ht="25.5" x14ac:dyDescent="0.25">
      <c r="A95" s="755">
        <v>84</v>
      </c>
      <c r="B95" s="521" t="s">
        <v>181</v>
      </c>
      <c r="C95" s="784" t="s">
        <v>182</v>
      </c>
      <c r="D95" s="546"/>
      <c r="E95" s="547"/>
      <c r="F95" s="779"/>
      <c r="G95" s="783"/>
      <c r="H95" s="647"/>
      <c r="I95" s="547"/>
      <c r="K95" s="661"/>
    </row>
    <row r="96" spans="1:11" x14ac:dyDescent="0.25">
      <c r="A96" s="755">
        <v>85</v>
      </c>
      <c r="B96" s="516" t="s">
        <v>183</v>
      </c>
      <c r="C96" s="784" t="s">
        <v>184</v>
      </c>
      <c r="D96" s="546"/>
      <c r="E96" s="547"/>
      <c r="F96" s="779"/>
      <c r="G96" s="783"/>
      <c r="H96" s="647"/>
      <c r="I96" s="547"/>
      <c r="K96" s="661"/>
    </row>
    <row r="97" spans="1:11" x14ac:dyDescent="0.25">
      <c r="A97" s="755">
        <v>86</v>
      </c>
      <c r="B97" s="521" t="s">
        <v>185</v>
      </c>
      <c r="C97" s="784" t="s">
        <v>186</v>
      </c>
      <c r="D97" s="546"/>
      <c r="E97" s="547"/>
      <c r="F97" s="779"/>
      <c r="G97" s="783"/>
      <c r="H97" s="647"/>
      <c r="I97" s="547"/>
      <c r="K97" s="661"/>
    </row>
    <row r="98" spans="1:11" x14ac:dyDescent="0.25">
      <c r="A98" s="755">
        <v>87</v>
      </c>
      <c r="B98" s="764" t="s">
        <v>187</v>
      </c>
      <c r="C98" s="785" t="s">
        <v>188</v>
      </c>
      <c r="D98" s="546">
        <v>2483</v>
      </c>
      <c r="E98" s="547">
        <v>113</v>
      </c>
      <c r="F98" s="779"/>
      <c r="G98" s="783"/>
      <c r="H98" s="647"/>
      <c r="I98" s="547"/>
      <c r="K98" s="661"/>
    </row>
    <row r="99" spans="1:11" x14ac:dyDescent="0.25">
      <c r="A99" s="755">
        <v>88</v>
      </c>
      <c r="B99" s="516" t="s">
        <v>189</v>
      </c>
      <c r="C99" s="784" t="s">
        <v>190</v>
      </c>
      <c r="D99" s="546">
        <v>2372</v>
      </c>
      <c r="E99" s="547">
        <v>353</v>
      </c>
      <c r="F99" s="779"/>
      <c r="G99" s="783"/>
      <c r="H99" s="647"/>
      <c r="I99" s="547"/>
      <c r="K99" s="661"/>
    </row>
    <row r="100" spans="1:11" x14ac:dyDescent="0.25">
      <c r="A100" s="755">
        <v>89</v>
      </c>
      <c r="B100" s="516" t="s">
        <v>191</v>
      </c>
      <c r="C100" s="784" t="s">
        <v>192</v>
      </c>
      <c r="D100" s="546">
        <v>6868</v>
      </c>
      <c r="E100" s="547">
        <v>262</v>
      </c>
      <c r="F100" s="779"/>
      <c r="G100" s="783"/>
      <c r="H100" s="647"/>
      <c r="I100" s="547"/>
      <c r="K100" s="661"/>
    </row>
    <row r="101" spans="1:11" x14ac:dyDescent="0.25">
      <c r="A101" s="755">
        <v>90</v>
      </c>
      <c r="B101" s="764" t="s">
        <v>193</v>
      </c>
      <c r="C101" s="785" t="s">
        <v>194</v>
      </c>
      <c r="D101" s="546">
        <v>2328</v>
      </c>
      <c r="E101" s="547">
        <v>467</v>
      </c>
      <c r="F101" s="779"/>
      <c r="G101" s="783"/>
      <c r="H101" s="647"/>
      <c r="I101" s="547"/>
      <c r="K101" s="661"/>
    </row>
    <row r="102" spans="1:11" x14ac:dyDescent="0.25">
      <c r="A102" s="755">
        <v>91</v>
      </c>
      <c r="B102" s="516" t="s">
        <v>195</v>
      </c>
      <c r="C102" s="784" t="s">
        <v>196</v>
      </c>
      <c r="D102" s="546">
        <v>3809</v>
      </c>
      <c r="E102" s="547">
        <v>542</v>
      </c>
      <c r="F102" s="779">
        <v>360</v>
      </c>
      <c r="G102" s="783">
        <v>2770</v>
      </c>
      <c r="H102" s="647"/>
      <c r="I102" s="547"/>
      <c r="K102" s="661"/>
    </row>
    <row r="103" spans="1:11" x14ac:dyDescent="0.25">
      <c r="A103" s="755">
        <v>92</v>
      </c>
      <c r="B103" s="764" t="s">
        <v>197</v>
      </c>
      <c r="C103" s="785" t="s">
        <v>198</v>
      </c>
      <c r="D103" s="546">
        <v>6822</v>
      </c>
      <c r="E103" s="547">
        <v>902</v>
      </c>
      <c r="F103" s="779"/>
      <c r="G103" s="783"/>
      <c r="H103" s="647"/>
      <c r="I103" s="547"/>
      <c r="K103" s="661"/>
    </row>
    <row r="104" spans="1:11" x14ac:dyDescent="0.25">
      <c r="A104" s="755">
        <v>93</v>
      </c>
      <c r="B104" s="516" t="s">
        <v>199</v>
      </c>
      <c r="C104" s="784" t="s">
        <v>200</v>
      </c>
      <c r="D104" s="546">
        <v>7698</v>
      </c>
      <c r="E104" s="547">
        <v>404</v>
      </c>
      <c r="F104" s="779"/>
      <c r="G104" s="783"/>
      <c r="H104" s="647"/>
      <c r="I104" s="547"/>
      <c r="K104" s="661"/>
    </row>
    <row r="105" spans="1:11" x14ac:dyDescent="0.25">
      <c r="A105" s="755">
        <v>94</v>
      </c>
      <c r="B105" s="521" t="s">
        <v>201</v>
      </c>
      <c r="C105" s="784" t="s">
        <v>202</v>
      </c>
      <c r="D105" s="546">
        <v>2904</v>
      </c>
      <c r="E105" s="547">
        <v>52</v>
      </c>
      <c r="F105" s="779">
        <v>504</v>
      </c>
      <c r="G105" s="783">
        <v>3878</v>
      </c>
      <c r="H105" s="647"/>
      <c r="I105" s="547"/>
      <c r="K105" s="661"/>
    </row>
    <row r="106" spans="1:11" x14ac:dyDescent="0.25">
      <c r="A106" s="755">
        <v>95</v>
      </c>
      <c r="B106" s="516" t="s">
        <v>203</v>
      </c>
      <c r="C106" s="782" t="s">
        <v>204</v>
      </c>
      <c r="D106" s="546">
        <v>3284</v>
      </c>
      <c r="E106" s="547">
        <v>487</v>
      </c>
      <c r="F106" s="779"/>
      <c r="G106" s="783"/>
      <c r="H106" s="647"/>
      <c r="I106" s="547"/>
      <c r="K106" s="661"/>
    </row>
    <row r="107" spans="1:11" x14ac:dyDescent="0.25">
      <c r="A107" s="755">
        <v>96</v>
      </c>
      <c r="B107" s="516" t="s">
        <v>205</v>
      </c>
      <c r="C107" s="785" t="s">
        <v>206</v>
      </c>
      <c r="D107" s="546">
        <v>3792</v>
      </c>
      <c r="E107" s="547">
        <v>74</v>
      </c>
      <c r="F107" s="779">
        <v>360</v>
      </c>
      <c r="G107" s="783">
        <v>2770</v>
      </c>
      <c r="H107" s="647"/>
      <c r="I107" s="547"/>
      <c r="K107" s="661"/>
    </row>
    <row r="108" spans="1:11" x14ac:dyDescent="0.25">
      <c r="A108" s="755">
        <v>97</v>
      </c>
      <c r="B108" s="521" t="s">
        <v>207</v>
      </c>
      <c r="C108" s="784" t="s">
        <v>208</v>
      </c>
      <c r="D108" s="546">
        <v>3866</v>
      </c>
      <c r="E108" s="547">
        <v>590</v>
      </c>
      <c r="F108" s="779">
        <v>540</v>
      </c>
      <c r="G108" s="783">
        <v>4155</v>
      </c>
      <c r="H108" s="647"/>
      <c r="I108" s="547"/>
      <c r="K108" s="661"/>
    </row>
    <row r="109" spans="1:11" x14ac:dyDescent="0.25">
      <c r="A109" s="755">
        <v>98</v>
      </c>
      <c r="B109" s="516" t="s">
        <v>209</v>
      </c>
      <c r="C109" s="782" t="s">
        <v>210</v>
      </c>
      <c r="D109" s="546">
        <v>2643</v>
      </c>
      <c r="E109" s="547">
        <v>370</v>
      </c>
      <c r="F109" s="779"/>
      <c r="G109" s="783"/>
      <c r="H109" s="647"/>
      <c r="I109" s="547"/>
      <c r="K109" s="661"/>
    </row>
    <row r="110" spans="1:11" x14ac:dyDescent="0.25">
      <c r="A110" s="755">
        <v>99</v>
      </c>
      <c r="B110" s="521" t="s">
        <v>211</v>
      </c>
      <c r="C110" s="784" t="s">
        <v>212</v>
      </c>
      <c r="D110" s="546">
        <v>3651</v>
      </c>
      <c r="E110" s="547">
        <v>574</v>
      </c>
      <c r="F110" s="779"/>
      <c r="G110" s="783"/>
      <c r="H110" s="647"/>
      <c r="I110" s="547"/>
      <c r="K110" s="661"/>
    </row>
    <row r="111" spans="1:11" x14ac:dyDescent="0.25">
      <c r="A111" s="755">
        <v>100</v>
      </c>
      <c r="B111" s="521" t="s">
        <v>213</v>
      </c>
      <c r="C111" s="784" t="s">
        <v>214</v>
      </c>
      <c r="D111" s="546">
        <v>4214</v>
      </c>
      <c r="E111" s="547">
        <v>2082</v>
      </c>
      <c r="F111" s="779">
        <v>719</v>
      </c>
      <c r="G111" s="783">
        <v>5540</v>
      </c>
      <c r="H111" s="647"/>
      <c r="I111" s="547"/>
      <c r="K111" s="661"/>
    </row>
    <row r="112" spans="1:11" x14ac:dyDescent="0.25">
      <c r="A112" s="755">
        <v>101</v>
      </c>
      <c r="B112" s="516" t="s">
        <v>215</v>
      </c>
      <c r="C112" s="785" t="s">
        <v>216</v>
      </c>
      <c r="D112" s="546">
        <v>3121</v>
      </c>
      <c r="E112" s="547">
        <v>73</v>
      </c>
      <c r="F112" s="779"/>
      <c r="G112" s="783"/>
      <c r="H112" s="647"/>
      <c r="I112" s="547"/>
      <c r="K112" s="661"/>
    </row>
    <row r="113" spans="1:11" x14ac:dyDescent="0.25">
      <c r="A113" s="755">
        <v>102</v>
      </c>
      <c r="B113" s="516" t="s">
        <v>217</v>
      </c>
      <c r="C113" s="782" t="s">
        <v>218</v>
      </c>
      <c r="D113" s="546"/>
      <c r="E113" s="547"/>
      <c r="F113" s="779"/>
      <c r="G113" s="783"/>
      <c r="H113" s="647"/>
      <c r="I113" s="547"/>
      <c r="K113" s="661"/>
    </row>
    <row r="114" spans="1:11" x14ac:dyDescent="0.25">
      <c r="A114" s="755">
        <v>103</v>
      </c>
      <c r="B114" s="516" t="s">
        <v>219</v>
      </c>
      <c r="C114" s="782" t="s">
        <v>220</v>
      </c>
      <c r="D114" s="546"/>
      <c r="E114" s="547"/>
      <c r="F114" s="779"/>
      <c r="G114" s="783"/>
      <c r="H114" s="647"/>
      <c r="I114" s="547"/>
      <c r="K114" s="661"/>
    </row>
    <row r="115" spans="1:11" x14ac:dyDescent="0.25">
      <c r="A115" s="755">
        <v>104</v>
      </c>
      <c r="B115" s="516" t="s">
        <v>221</v>
      </c>
      <c r="C115" s="782" t="s">
        <v>222</v>
      </c>
      <c r="D115" s="546"/>
      <c r="E115" s="547"/>
      <c r="F115" s="779"/>
      <c r="G115" s="783"/>
      <c r="H115" s="647"/>
      <c r="I115" s="547"/>
      <c r="K115" s="661"/>
    </row>
    <row r="116" spans="1:11" x14ac:dyDescent="0.25">
      <c r="A116" s="755">
        <v>105</v>
      </c>
      <c r="B116" s="521" t="s">
        <v>223</v>
      </c>
      <c r="C116" s="784" t="s">
        <v>224</v>
      </c>
      <c r="D116" s="546"/>
      <c r="E116" s="547"/>
      <c r="F116" s="779"/>
      <c r="G116" s="783"/>
      <c r="H116" s="647"/>
      <c r="I116" s="547"/>
      <c r="K116" s="661"/>
    </row>
    <row r="117" spans="1:11" x14ac:dyDescent="0.25">
      <c r="A117" s="755">
        <v>106</v>
      </c>
      <c r="B117" s="764" t="s">
        <v>225</v>
      </c>
      <c r="C117" s="785" t="s">
        <v>226</v>
      </c>
      <c r="D117" s="546"/>
      <c r="E117" s="547"/>
      <c r="F117" s="779"/>
      <c r="G117" s="783"/>
      <c r="H117" s="647"/>
      <c r="I117" s="547"/>
      <c r="K117" s="661"/>
    </row>
    <row r="118" spans="1:11" x14ac:dyDescent="0.25">
      <c r="A118" s="755">
        <v>107</v>
      </c>
      <c r="B118" s="516" t="s">
        <v>227</v>
      </c>
      <c r="C118" s="782" t="s">
        <v>228</v>
      </c>
      <c r="D118" s="546"/>
      <c r="E118" s="547"/>
      <c r="F118" s="779"/>
      <c r="G118" s="783"/>
      <c r="H118" s="647"/>
      <c r="I118" s="547"/>
      <c r="K118" s="661"/>
    </row>
    <row r="119" spans="1:11" x14ac:dyDescent="0.25">
      <c r="A119" s="755">
        <v>108</v>
      </c>
      <c r="B119" s="516" t="s">
        <v>229</v>
      </c>
      <c r="C119" s="782" t="s">
        <v>230</v>
      </c>
      <c r="D119" s="546"/>
      <c r="E119" s="547"/>
      <c r="F119" s="779"/>
      <c r="G119" s="783"/>
      <c r="H119" s="647"/>
      <c r="I119" s="547"/>
      <c r="K119" s="661"/>
    </row>
    <row r="120" spans="1:11" x14ac:dyDescent="0.25">
      <c r="A120" s="755">
        <v>109</v>
      </c>
      <c r="B120" s="521" t="s">
        <v>231</v>
      </c>
      <c r="C120" s="784" t="s">
        <v>232</v>
      </c>
      <c r="D120" s="546"/>
      <c r="E120" s="547"/>
      <c r="F120" s="779"/>
      <c r="G120" s="783"/>
      <c r="H120" s="647"/>
      <c r="I120" s="547"/>
      <c r="K120" s="661"/>
    </row>
    <row r="121" spans="1:11" x14ac:dyDescent="0.25">
      <c r="A121" s="755">
        <v>110</v>
      </c>
      <c r="B121" s="521" t="s">
        <v>233</v>
      </c>
      <c r="C121" s="784" t="s">
        <v>234</v>
      </c>
      <c r="D121" s="546"/>
      <c r="E121" s="547"/>
      <c r="F121" s="779"/>
      <c r="G121" s="783"/>
      <c r="H121" s="647"/>
      <c r="I121" s="547"/>
      <c r="K121" s="661"/>
    </row>
    <row r="122" spans="1:11" x14ac:dyDescent="0.25">
      <c r="A122" s="755">
        <v>111</v>
      </c>
      <c r="B122" s="536" t="s">
        <v>235</v>
      </c>
      <c r="C122" s="782" t="s">
        <v>236</v>
      </c>
      <c r="D122" s="546"/>
      <c r="E122" s="547"/>
      <c r="F122" s="779"/>
      <c r="G122" s="783"/>
      <c r="H122" s="647"/>
      <c r="I122" s="547"/>
      <c r="K122" s="661"/>
    </row>
    <row r="123" spans="1:11" x14ac:dyDescent="0.25">
      <c r="A123" s="755">
        <v>112</v>
      </c>
      <c r="B123" s="516" t="s">
        <v>237</v>
      </c>
      <c r="C123" s="782" t="s">
        <v>238</v>
      </c>
      <c r="D123" s="546"/>
      <c r="E123" s="547"/>
      <c r="F123" s="779"/>
      <c r="G123" s="783"/>
      <c r="H123" s="647"/>
      <c r="I123" s="547"/>
      <c r="K123" s="661"/>
    </row>
    <row r="124" spans="1:11" x14ac:dyDescent="0.25">
      <c r="A124" s="755">
        <v>113</v>
      </c>
      <c r="B124" s="516" t="s">
        <v>239</v>
      </c>
      <c r="C124" s="784" t="s">
        <v>240</v>
      </c>
      <c r="D124" s="546"/>
      <c r="E124" s="547"/>
      <c r="F124" s="779"/>
      <c r="G124" s="783"/>
      <c r="H124" s="647"/>
      <c r="I124" s="547"/>
      <c r="K124" s="661"/>
    </row>
    <row r="125" spans="1:11" x14ac:dyDescent="0.25">
      <c r="A125" s="755">
        <v>114</v>
      </c>
      <c r="B125" s="516" t="s">
        <v>241</v>
      </c>
      <c r="C125" s="782" t="s">
        <v>242</v>
      </c>
      <c r="D125" s="546"/>
      <c r="E125" s="547"/>
      <c r="F125" s="779"/>
      <c r="G125" s="783"/>
      <c r="H125" s="647"/>
      <c r="I125" s="547"/>
      <c r="K125" s="661"/>
    </row>
    <row r="126" spans="1:11" x14ac:dyDescent="0.25">
      <c r="A126" s="755">
        <v>115</v>
      </c>
      <c r="B126" s="756" t="s">
        <v>243</v>
      </c>
      <c r="C126" s="789" t="s">
        <v>385</v>
      </c>
      <c r="D126" s="546"/>
      <c r="E126" s="547"/>
      <c r="F126" s="779"/>
      <c r="G126" s="783"/>
      <c r="H126" s="647"/>
      <c r="I126" s="547"/>
      <c r="K126" s="661"/>
    </row>
    <row r="127" spans="1:11" x14ac:dyDescent="0.25">
      <c r="A127" s="755">
        <v>116</v>
      </c>
      <c r="B127" s="521" t="s">
        <v>244</v>
      </c>
      <c r="C127" s="784" t="s">
        <v>648</v>
      </c>
      <c r="D127" s="546"/>
      <c r="E127" s="547"/>
      <c r="F127" s="779"/>
      <c r="G127" s="783"/>
      <c r="H127" s="647"/>
      <c r="I127" s="547"/>
      <c r="K127" s="661"/>
    </row>
    <row r="128" spans="1:11" x14ac:dyDescent="0.25">
      <c r="A128" s="755">
        <v>117</v>
      </c>
      <c r="B128" s="521" t="s">
        <v>246</v>
      </c>
      <c r="C128" s="784" t="s">
        <v>247</v>
      </c>
      <c r="D128" s="546"/>
      <c r="E128" s="547"/>
      <c r="F128" s="779"/>
      <c r="G128" s="783"/>
      <c r="H128" s="647"/>
      <c r="I128" s="547"/>
      <c r="K128" s="661"/>
    </row>
    <row r="129" spans="1:11" x14ac:dyDescent="0.25">
      <c r="A129" s="755">
        <v>118</v>
      </c>
      <c r="B129" s="521" t="s">
        <v>248</v>
      </c>
      <c r="C129" s="784" t="s">
        <v>249</v>
      </c>
      <c r="D129" s="546"/>
      <c r="E129" s="547"/>
      <c r="F129" s="779"/>
      <c r="G129" s="783"/>
      <c r="H129" s="647"/>
      <c r="I129" s="547"/>
      <c r="K129" s="661"/>
    </row>
    <row r="130" spans="1:11" x14ac:dyDescent="0.25">
      <c r="A130" s="755">
        <v>119</v>
      </c>
      <c r="B130" s="521" t="s">
        <v>250</v>
      </c>
      <c r="C130" s="784" t="s">
        <v>251</v>
      </c>
      <c r="D130" s="546"/>
      <c r="E130" s="547"/>
      <c r="F130" s="779"/>
      <c r="G130" s="783"/>
      <c r="H130" s="647"/>
      <c r="I130" s="547"/>
      <c r="K130" s="661"/>
    </row>
    <row r="131" spans="1:11" x14ac:dyDescent="0.25">
      <c r="A131" s="755">
        <v>120</v>
      </c>
      <c r="B131" s="537" t="s">
        <v>252</v>
      </c>
      <c r="C131" s="792" t="s">
        <v>253</v>
      </c>
      <c r="D131" s="546"/>
      <c r="E131" s="547"/>
      <c r="F131" s="779"/>
      <c r="G131" s="783"/>
      <c r="H131" s="647"/>
      <c r="I131" s="547"/>
      <c r="K131" s="661"/>
    </row>
    <row r="132" spans="1:11" x14ac:dyDescent="0.25">
      <c r="A132" s="755">
        <v>121</v>
      </c>
      <c r="B132" s="516" t="s">
        <v>254</v>
      </c>
      <c r="C132" s="782" t="s">
        <v>255</v>
      </c>
      <c r="D132" s="546"/>
      <c r="E132" s="547"/>
      <c r="F132" s="779"/>
      <c r="G132" s="783"/>
      <c r="H132" s="647"/>
      <c r="I132" s="547"/>
      <c r="K132" s="661"/>
    </row>
    <row r="133" spans="1:11" x14ac:dyDescent="0.25">
      <c r="A133" s="755">
        <v>122</v>
      </c>
      <c r="B133" s="521" t="s">
        <v>256</v>
      </c>
      <c r="C133" s="784" t="s">
        <v>257</v>
      </c>
      <c r="D133" s="546"/>
      <c r="E133" s="547"/>
      <c r="F133" s="779"/>
      <c r="G133" s="783"/>
      <c r="H133" s="647"/>
      <c r="I133" s="547"/>
      <c r="K133" s="661"/>
    </row>
    <row r="134" spans="1:11" x14ac:dyDescent="0.25">
      <c r="A134" s="755">
        <v>123</v>
      </c>
      <c r="B134" s="516" t="s">
        <v>258</v>
      </c>
      <c r="C134" s="784" t="s">
        <v>259</v>
      </c>
      <c r="D134" s="546"/>
      <c r="E134" s="547"/>
      <c r="F134" s="779"/>
      <c r="G134" s="783"/>
      <c r="H134" s="647"/>
      <c r="I134" s="547"/>
      <c r="K134" s="661"/>
    </row>
    <row r="135" spans="1:11" x14ac:dyDescent="0.25">
      <c r="A135" s="755">
        <v>124</v>
      </c>
      <c r="B135" s="521" t="s">
        <v>260</v>
      </c>
      <c r="C135" s="784" t="s">
        <v>261</v>
      </c>
      <c r="D135" s="546"/>
      <c r="E135" s="547"/>
      <c r="F135" s="779"/>
      <c r="G135" s="783"/>
      <c r="H135" s="647"/>
      <c r="I135" s="547"/>
      <c r="K135" s="661"/>
    </row>
    <row r="136" spans="1:11" x14ac:dyDescent="0.25">
      <c r="A136" s="755">
        <v>125</v>
      </c>
      <c r="B136" s="521" t="s">
        <v>262</v>
      </c>
      <c r="C136" s="784" t="s">
        <v>263</v>
      </c>
      <c r="D136" s="546"/>
      <c r="E136" s="547"/>
      <c r="F136" s="779"/>
      <c r="G136" s="783"/>
      <c r="H136" s="647"/>
      <c r="I136" s="547"/>
      <c r="K136" s="661"/>
    </row>
    <row r="137" spans="1:11" x14ac:dyDescent="0.25">
      <c r="A137" s="755">
        <v>126</v>
      </c>
      <c r="B137" s="516" t="s">
        <v>264</v>
      </c>
      <c r="C137" s="784" t="s">
        <v>265</v>
      </c>
      <c r="D137" s="546"/>
      <c r="E137" s="547"/>
      <c r="F137" s="779"/>
      <c r="G137" s="783"/>
      <c r="H137" s="647"/>
      <c r="I137" s="547"/>
      <c r="K137" s="661"/>
    </row>
    <row r="138" spans="1:11" x14ac:dyDescent="0.25">
      <c r="A138" s="755">
        <v>127</v>
      </c>
      <c r="B138" s="521" t="s">
        <v>266</v>
      </c>
      <c r="C138" s="784" t="s">
        <v>267</v>
      </c>
      <c r="D138" s="546"/>
      <c r="E138" s="547"/>
      <c r="F138" s="779"/>
      <c r="G138" s="783"/>
      <c r="H138" s="647"/>
      <c r="I138" s="547"/>
      <c r="K138" s="661"/>
    </row>
    <row r="139" spans="1:11" x14ac:dyDescent="0.25">
      <c r="A139" s="755">
        <v>128</v>
      </c>
      <c r="B139" s="516" t="s">
        <v>268</v>
      </c>
      <c r="C139" s="782" t="s">
        <v>269</v>
      </c>
      <c r="D139" s="546"/>
      <c r="E139" s="547"/>
      <c r="F139" s="779"/>
      <c r="G139" s="783"/>
      <c r="H139" s="647"/>
      <c r="I139" s="547"/>
      <c r="K139" s="661"/>
    </row>
    <row r="140" spans="1:11" x14ac:dyDescent="0.25">
      <c r="A140" s="755">
        <v>129</v>
      </c>
      <c r="B140" s="516" t="s">
        <v>270</v>
      </c>
      <c r="C140" s="782" t="s">
        <v>271</v>
      </c>
      <c r="D140" s="546"/>
      <c r="E140" s="547"/>
      <c r="F140" s="779"/>
      <c r="G140" s="783"/>
      <c r="H140" s="647"/>
      <c r="I140" s="547"/>
      <c r="K140" s="661"/>
    </row>
    <row r="141" spans="1:11" x14ac:dyDescent="0.25">
      <c r="A141" s="755">
        <v>130</v>
      </c>
      <c r="B141" s="521" t="s">
        <v>272</v>
      </c>
      <c r="C141" s="784" t="s">
        <v>273</v>
      </c>
      <c r="D141" s="546"/>
      <c r="E141" s="547"/>
      <c r="F141" s="779"/>
      <c r="G141" s="783"/>
      <c r="H141" s="647"/>
      <c r="I141" s="547"/>
      <c r="K141" s="661"/>
    </row>
    <row r="142" spans="1:11" x14ac:dyDescent="0.25">
      <c r="A142" s="755">
        <v>131</v>
      </c>
      <c r="B142" s="521" t="s">
        <v>274</v>
      </c>
      <c r="C142" s="784" t="s">
        <v>275</v>
      </c>
      <c r="D142" s="546"/>
      <c r="E142" s="547"/>
      <c r="F142" s="779"/>
      <c r="G142" s="783"/>
      <c r="H142" s="647"/>
      <c r="I142" s="547"/>
      <c r="K142" s="661"/>
    </row>
    <row r="143" spans="1:11" x14ac:dyDescent="0.25">
      <c r="A143" s="755">
        <v>132</v>
      </c>
      <c r="B143" s="521" t="s">
        <v>276</v>
      </c>
      <c r="C143" s="784" t="s">
        <v>277</v>
      </c>
      <c r="D143" s="546"/>
      <c r="E143" s="547"/>
      <c r="F143" s="779"/>
      <c r="G143" s="783"/>
      <c r="H143" s="647"/>
      <c r="I143" s="547"/>
      <c r="K143" s="661"/>
    </row>
    <row r="144" spans="1:11" x14ac:dyDescent="0.25">
      <c r="A144" s="755">
        <v>133</v>
      </c>
      <c r="B144" s="521" t="s">
        <v>278</v>
      </c>
      <c r="C144" s="784" t="s">
        <v>279</v>
      </c>
      <c r="D144" s="546">
        <v>9132</v>
      </c>
      <c r="E144" s="547">
        <v>806</v>
      </c>
      <c r="F144" s="779"/>
      <c r="G144" s="783"/>
      <c r="H144" s="647"/>
      <c r="I144" s="547"/>
      <c r="K144" s="661"/>
    </row>
    <row r="145" spans="1:11" x14ac:dyDescent="0.25">
      <c r="A145" s="755">
        <v>134</v>
      </c>
      <c r="B145" s="521" t="s">
        <v>280</v>
      </c>
      <c r="C145" s="784" t="s">
        <v>281</v>
      </c>
      <c r="D145" s="546"/>
      <c r="E145" s="547"/>
      <c r="F145" s="779"/>
      <c r="G145" s="783"/>
      <c r="H145" s="647"/>
      <c r="I145" s="547"/>
      <c r="K145" s="661"/>
    </row>
    <row r="146" spans="1:11" x14ac:dyDescent="0.25">
      <c r="A146" s="755">
        <v>135</v>
      </c>
      <c r="B146" s="516" t="s">
        <v>282</v>
      </c>
      <c r="C146" s="782" t="s">
        <v>283</v>
      </c>
      <c r="D146" s="658"/>
      <c r="E146" s="547"/>
      <c r="F146" s="779"/>
      <c r="G146" s="783"/>
      <c r="H146" s="647"/>
      <c r="I146" s="547"/>
      <c r="K146" s="661"/>
    </row>
    <row r="147" spans="1:11" x14ac:dyDescent="0.25">
      <c r="A147" s="755">
        <v>136</v>
      </c>
      <c r="B147" s="521" t="s">
        <v>284</v>
      </c>
      <c r="C147" s="784" t="s">
        <v>285</v>
      </c>
      <c r="D147" s="658"/>
      <c r="E147" s="547"/>
      <c r="F147" s="779"/>
      <c r="G147" s="783"/>
      <c r="H147" s="647"/>
      <c r="I147" s="547"/>
      <c r="K147" s="661"/>
    </row>
    <row r="148" spans="1:11" x14ac:dyDescent="0.25">
      <c r="A148" s="755">
        <v>137</v>
      </c>
      <c r="B148" s="539" t="s">
        <v>387</v>
      </c>
      <c r="C148" s="788" t="s">
        <v>797</v>
      </c>
      <c r="D148" s="658">
        <v>145959</v>
      </c>
      <c r="E148" s="547">
        <v>31107</v>
      </c>
      <c r="F148" s="523">
        <v>5121</v>
      </c>
      <c r="G148" s="646">
        <v>114955</v>
      </c>
      <c r="H148" s="647">
        <f>568+27</f>
        <v>595</v>
      </c>
      <c r="I148" s="547">
        <f>6820+324</f>
        <v>7144</v>
      </c>
      <c r="K148" s="661"/>
    </row>
    <row r="149" spans="1:11" x14ac:dyDescent="0.25">
      <c r="A149" s="755">
        <v>138</v>
      </c>
      <c r="B149" s="540" t="s">
        <v>389</v>
      </c>
      <c r="C149" s="793" t="s">
        <v>390</v>
      </c>
      <c r="D149" s="658"/>
      <c r="E149" s="547"/>
      <c r="F149" s="779"/>
      <c r="G149" s="783"/>
      <c r="H149" s="647"/>
      <c r="I149" s="547"/>
    </row>
    <row r="150" spans="1:11" x14ac:dyDescent="0.25">
      <c r="A150" s="755">
        <v>139</v>
      </c>
      <c r="B150" s="539" t="s">
        <v>391</v>
      </c>
      <c r="C150" s="530" t="s">
        <v>392</v>
      </c>
      <c r="D150" s="658"/>
      <c r="E150" s="547"/>
      <c r="F150" s="779"/>
      <c r="G150" s="783"/>
      <c r="H150" s="523"/>
      <c r="I150" s="547"/>
    </row>
    <row r="151" spans="1:11" x14ac:dyDescent="0.25">
      <c r="A151" s="755">
        <v>140</v>
      </c>
      <c r="B151" s="754" t="s">
        <v>393</v>
      </c>
      <c r="C151" s="766" t="s">
        <v>394</v>
      </c>
      <c r="D151" s="658"/>
      <c r="E151" s="547"/>
      <c r="F151" s="779"/>
      <c r="G151" s="783"/>
      <c r="H151" s="523"/>
      <c r="I151" s="547"/>
    </row>
    <row r="152" spans="1:11" x14ac:dyDescent="0.25">
      <c r="A152" s="645">
        <v>141</v>
      </c>
      <c r="B152" s="767" t="s">
        <v>801</v>
      </c>
      <c r="C152" s="768" t="s">
        <v>800</v>
      </c>
      <c r="D152" s="658"/>
      <c r="E152" s="547"/>
      <c r="F152" s="779"/>
      <c r="G152" s="783"/>
      <c r="H152" s="523"/>
      <c r="I152" s="547"/>
    </row>
    <row r="153" spans="1:11" ht="13.5" thickBot="1" x14ac:dyDescent="0.3">
      <c r="A153" s="769">
        <v>142</v>
      </c>
      <c r="B153" s="770" t="s">
        <v>810</v>
      </c>
      <c r="C153" s="771" t="s">
        <v>811</v>
      </c>
      <c r="D153" s="665"/>
      <c r="E153" s="667"/>
      <c r="F153" s="794"/>
      <c r="G153" s="795"/>
      <c r="H153" s="796"/>
      <c r="I153" s="667"/>
    </row>
    <row r="154" spans="1:11" x14ac:dyDescent="0.25">
      <c r="A154" s="1306" t="s">
        <v>812</v>
      </c>
      <c r="B154" s="1307"/>
      <c r="C154" s="1307"/>
    </row>
    <row r="155" spans="1:11" x14ac:dyDescent="0.25">
      <c r="A155" s="1308"/>
      <c r="B155" s="1308"/>
      <c r="C155" s="1308"/>
    </row>
    <row r="157" spans="1:11" x14ac:dyDescent="0.25">
      <c r="D157" s="797"/>
      <c r="E157" s="797"/>
      <c r="H157" s="661"/>
      <c r="I157" s="661"/>
    </row>
  </sheetData>
  <mergeCells count="14">
    <mergeCell ref="A154:C155"/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:C8"/>
    <mergeCell ref="A91:A94"/>
    <mergeCell ref="B91:B9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157"/>
  <sheetViews>
    <sheetView zoomScale="90" zoomScaleNormal="90" workbookViewId="0">
      <pane xSplit="3" ySplit="7" topLeftCell="G86" activePane="bottomRight" state="frozen"/>
      <selection pane="topRight" activeCell="D1" sqref="D1"/>
      <selection pane="bottomLeft" activeCell="A8" sqref="A8"/>
      <selection pane="bottomRight" activeCell="C91" sqref="C91"/>
    </sheetView>
  </sheetViews>
  <sheetFormatPr defaultRowHeight="12.75" x14ac:dyDescent="0.25"/>
  <cols>
    <col min="1" max="1" width="4.5703125" style="659" customWidth="1"/>
    <col min="2" max="2" width="8.140625" style="659" customWidth="1"/>
    <col min="3" max="3" width="33" style="660" customWidth="1"/>
    <col min="4" max="4" width="10.28515625" style="661" customWidth="1"/>
    <col min="5" max="5" width="10.5703125" style="661" customWidth="1"/>
    <col min="6" max="6" width="14.7109375" style="661" customWidth="1"/>
    <col min="7" max="7" width="9.85546875" style="662" customWidth="1"/>
    <col min="8" max="8" width="9.7109375" style="661" customWidth="1"/>
    <col min="9" max="9" width="9" style="661" customWidth="1"/>
    <col min="10" max="10" width="10" style="661" customWidth="1"/>
    <col min="11" max="11" width="11.42578125" style="661" customWidth="1"/>
    <col min="12" max="12" width="10.7109375" style="661" customWidth="1"/>
    <col min="13" max="13" width="9.5703125" style="661" customWidth="1"/>
    <col min="14" max="14" width="10.28515625" style="661" customWidth="1"/>
    <col min="15" max="16384" width="9.140625" style="659"/>
  </cols>
  <sheetData>
    <row r="1" spans="1:16" ht="15.75" x14ac:dyDescent="0.25">
      <c r="A1" s="1234" t="s">
        <v>627</v>
      </c>
      <c r="B1" s="1309"/>
      <c r="C1" s="1309"/>
      <c r="D1" s="1309"/>
      <c r="E1" s="1309"/>
      <c r="F1" s="1309"/>
      <c r="G1" s="1309"/>
      <c r="H1" s="1309"/>
      <c r="I1" s="1309"/>
      <c r="J1" s="1309"/>
      <c r="K1" s="1309"/>
      <c r="L1" s="1309"/>
      <c r="M1" s="1309"/>
      <c r="N1" s="1309"/>
    </row>
    <row r="2" spans="1:16" ht="13.5" thickBot="1" x14ac:dyDescent="0.3"/>
    <row r="3" spans="1:16" s="663" customFormat="1" ht="15" customHeight="1" x14ac:dyDescent="0.25">
      <c r="A3" s="1322" t="s">
        <v>0</v>
      </c>
      <c r="B3" s="1324" t="s">
        <v>600</v>
      </c>
      <c r="C3" s="1326" t="s">
        <v>292</v>
      </c>
      <c r="D3" s="1332" t="s">
        <v>609</v>
      </c>
      <c r="E3" s="1341"/>
      <c r="F3" s="1341"/>
      <c r="G3" s="1341"/>
      <c r="H3" s="1341"/>
      <c r="I3" s="1342"/>
      <c r="J3" s="1343"/>
      <c r="K3" s="1328" t="s">
        <v>617</v>
      </c>
      <c r="L3" s="1329"/>
      <c r="M3" s="1332" t="s">
        <v>618</v>
      </c>
      <c r="N3" s="1333"/>
    </row>
    <row r="4" spans="1:16" s="663" customFormat="1" ht="24.75" customHeight="1" x14ac:dyDescent="0.25">
      <c r="A4" s="1323"/>
      <c r="B4" s="1325"/>
      <c r="C4" s="1327"/>
      <c r="D4" s="1336" t="s">
        <v>289</v>
      </c>
      <c r="E4" s="1337"/>
      <c r="F4" s="1338"/>
      <c r="G4" s="1338"/>
      <c r="H4" s="1337" t="s">
        <v>604</v>
      </c>
      <c r="I4" s="1339"/>
      <c r="J4" s="1340"/>
      <c r="K4" s="1330"/>
      <c r="L4" s="1331"/>
      <c r="M4" s="1334"/>
      <c r="N4" s="1335"/>
    </row>
    <row r="5" spans="1:16" ht="65.25" customHeight="1" x14ac:dyDescent="0.25">
      <c r="A5" s="1323"/>
      <c r="B5" s="1325"/>
      <c r="C5" s="1327"/>
      <c r="D5" s="763" t="s">
        <v>623</v>
      </c>
      <c r="E5" s="764" t="s">
        <v>624</v>
      </c>
      <c r="F5" s="764" t="s">
        <v>628</v>
      </c>
      <c r="G5" s="638" t="s">
        <v>6</v>
      </c>
      <c r="H5" s="764" t="s">
        <v>623</v>
      </c>
      <c r="I5" s="764" t="s">
        <v>624</v>
      </c>
      <c r="J5" s="639" t="s">
        <v>6</v>
      </c>
      <c r="K5" s="664" t="s">
        <v>625</v>
      </c>
      <c r="L5" s="640" t="s">
        <v>606</v>
      </c>
      <c r="M5" s="763" t="s">
        <v>607</v>
      </c>
      <c r="N5" s="505" t="s">
        <v>626</v>
      </c>
    </row>
    <row r="6" spans="1:16" ht="13.5" thickBot="1" x14ac:dyDescent="0.3">
      <c r="A6" s="641">
        <v>1</v>
      </c>
      <c r="B6" s="642">
        <v>2</v>
      </c>
      <c r="C6" s="643">
        <v>3</v>
      </c>
      <c r="D6" s="665">
        <v>4</v>
      </c>
      <c r="E6" s="666">
        <v>5</v>
      </c>
      <c r="F6" s="666">
        <v>6</v>
      </c>
      <c r="G6" s="666">
        <v>7</v>
      </c>
      <c r="H6" s="666">
        <v>8</v>
      </c>
      <c r="I6" s="666">
        <v>9</v>
      </c>
      <c r="J6" s="667">
        <v>10</v>
      </c>
      <c r="K6" s="668">
        <v>11</v>
      </c>
      <c r="L6" s="669">
        <v>12</v>
      </c>
      <c r="M6" s="665">
        <v>13</v>
      </c>
      <c r="N6" s="667">
        <v>14</v>
      </c>
    </row>
    <row r="7" spans="1:16" x14ac:dyDescent="0.25">
      <c r="A7" s="1344" t="s">
        <v>6</v>
      </c>
      <c r="B7" s="1345"/>
      <c r="C7" s="1346"/>
      <c r="D7" s="670">
        <f>SUM(D8:D10)</f>
        <v>219495</v>
      </c>
      <c r="E7" s="671">
        <f t="shared" ref="E7:N7" si="0">SUM(E8:E10)</f>
        <v>419945</v>
      </c>
      <c r="F7" s="671">
        <f t="shared" si="0"/>
        <v>99924</v>
      </c>
      <c r="G7" s="671">
        <f t="shared" si="0"/>
        <v>739364</v>
      </c>
      <c r="H7" s="671">
        <f t="shared" si="0"/>
        <v>36592</v>
      </c>
      <c r="I7" s="671">
        <f t="shared" si="0"/>
        <v>151965</v>
      </c>
      <c r="J7" s="672">
        <f t="shared" si="0"/>
        <v>188557</v>
      </c>
      <c r="K7" s="673">
        <f t="shared" si="0"/>
        <v>6603</v>
      </c>
      <c r="L7" s="674">
        <f t="shared" si="0"/>
        <v>526080</v>
      </c>
      <c r="M7" s="670">
        <f t="shared" si="0"/>
        <v>799</v>
      </c>
      <c r="N7" s="672">
        <f t="shared" si="0"/>
        <v>41540</v>
      </c>
    </row>
    <row r="8" spans="1:16" x14ac:dyDescent="0.25">
      <c r="A8" s="1347" t="s">
        <v>14</v>
      </c>
      <c r="B8" s="1348"/>
      <c r="C8" s="1349"/>
      <c r="D8" s="658"/>
      <c r="E8" s="537"/>
      <c r="F8" s="537"/>
      <c r="G8" s="675"/>
      <c r="H8" s="537"/>
      <c r="I8" s="537"/>
      <c r="J8" s="676"/>
      <c r="K8" s="677"/>
      <c r="L8" s="678"/>
      <c r="M8" s="658"/>
      <c r="N8" s="547"/>
    </row>
    <row r="9" spans="1:16" x14ac:dyDescent="0.25">
      <c r="A9" s="1347" t="s">
        <v>444</v>
      </c>
      <c r="B9" s="1348"/>
      <c r="C9" s="1349"/>
      <c r="D9" s="658"/>
      <c r="E9" s="537"/>
      <c r="F9" s="537"/>
      <c r="G9" s="675"/>
      <c r="H9" s="537"/>
      <c r="I9" s="537"/>
      <c r="J9" s="676"/>
      <c r="K9" s="677"/>
      <c r="L9" s="678"/>
      <c r="M9" s="658"/>
      <c r="N9" s="547"/>
    </row>
    <row r="10" spans="1:16" x14ac:dyDescent="0.25">
      <c r="A10" s="1347" t="s">
        <v>15</v>
      </c>
      <c r="B10" s="1348"/>
      <c r="C10" s="1349"/>
      <c r="D10" s="679">
        <f>SUM(D11:D153)-D93</f>
        <v>219495</v>
      </c>
      <c r="E10" s="675">
        <f t="shared" ref="E10:N10" si="1">SUM(E11:E153)-E93</f>
        <v>419945</v>
      </c>
      <c r="F10" s="675">
        <f t="shared" si="1"/>
        <v>99924</v>
      </c>
      <c r="G10" s="675">
        <f t="shared" si="1"/>
        <v>739364</v>
      </c>
      <c r="H10" s="675">
        <f t="shared" si="1"/>
        <v>36592</v>
      </c>
      <c r="I10" s="675">
        <f t="shared" si="1"/>
        <v>151965</v>
      </c>
      <c r="J10" s="676">
        <f t="shared" si="1"/>
        <v>188557</v>
      </c>
      <c r="K10" s="680">
        <f t="shared" si="1"/>
        <v>6603</v>
      </c>
      <c r="L10" s="681">
        <f t="shared" si="1"/>
        <v>526080</v>
      </c>
      <c r="M10" s="679">
        <f t="shared" si="1"/>
        <v>799</v>
      </c>
      <c r="N10" s="676">
        <f t="shared" si="1"/>
        <v>41540</v>
      </c>
    </row>
    <row r="11" spans="1:16" x14ac:dyDescent="0.25">
      <c r="A11" s="755">
        <v>1</v>
      </c>
      <c r="B11" s="516" t="s">
        <v>16</v>
      </c>
      <c r="C11" s="517" t="s">
        <v>17</v>
      </c>
      <c r="D11" s="658">
        <v>2850</v>
      </c>
      <c r="E11" s="537"/>
      <c r="F11" s="537"/>
      <c r="G11" s="675">
        <f>SUM(D11:F11)</f>
        <v>2850</v>
      </c>
      <c r="H11" s="537">
        <v>475</v>
      </c>
      <c r="I11" s="537"/>
      <c r="J11" s="676">
        <f>SUM(H11:I11)</f>
        <v>475</v>
      </c>
      <c r="K11" s="677"/>
      <c r="L11" s="678"/>
      <c r="M11" s="658"/>
      <c r="N11" s="547"/>
      <c r="P11" s="661"/>
    </row>
    <row r="12" spans="1:16" x14ac:dyDescent="0.25">
      <c r="A12" s="755">
        <v>2</v>
      </c>
      <c r="B12" s="516" t="s">
        <v>18</v>
      </c>
      <c r="C12" s="517" t="s">
        <v>19</v>
      </c>
      <c r="D12" s="658">
        <v>5458</v>
      </c>
      <c r="E12" s="537"/>
      <c r="F12" s="537"/>
      <c r="G12" s="675">
        <f t="shared" ref="G12:G63" si="2">SUM(D12:F12)</f>
        <v>5458</v>
      </c>
      <c r="H12" s="537">
        <f>912+40</f>
        <v>952</v>
      </c>
      <c r="I12" s="537"/>
      <c r="J12" s="676">
        <f t="shared" ref="J12:J63" si="3">SUM(H12:I12)</f>
        <v>952</v>
      </c>
      <c r="K12" s="677"/>
      <c r="L12" s="678"/>
      <c r="M12" s="658"/>
      <c r="N12" s="547"/>
      <c r="P12" s="661"/>
    </row>
    <row r="13" spans="1:16" x14ac:dyDescent="0.25">
      <c r="A13" s="755">
        <v>3</v>
      </c>
      <c r="B13" s="521" t="s">
        <v>20</v>
      </c>
      <c r="C13" s="522" t="s">
        <v>21</v>
      </c>
      <c r="D13" s="658"/>
      <c r="E13" s="537"/>
      <c r="F13" s="537"/>
      <c r="G13" s="675"/>
      <c r="H13" s="537"/>
      <c r="I13" s="537"/>
      <c r="J13" s="676"/>
      <c r="K13" s="677"/>
      <c r="L13" s="678"/>
      <c r="M13" s="658"/>
      <c r="N13" s="547"/>
      <c r="P13" s="661"/>
    </row>
    <row r="14" spans="1:16" x14ac:dyDescent="0.25">
      <c r="A14" s="755">
        <v>4</v>
      </c>
      <c r="B14" s="516" t="s">
        <v>22</v>
      </c>
      <c r="C14" s="517" t="s">
        <v>23</v>
      </c>
      <c r="D14" s="658">
        <f>2250+100</f>
        <v>2350</v>
      </c>
      <c r="E14" s="537"/>
      <c r="F14" s="537"/>
      <c r="G14" s="675">
        <f t="shared" si="2"/>
        <v>2350</v>
      </c>
      <c r="H14" s="537">
        <f>375+50</f>
        <v>425</v>
      </c>
      <c r="I14" s="537"/>
      <c r="J14" s="676">
        <f t="shared" si="3"/>
        <v>425</v>
      </c>
      <c r="K14" s="677"/>
      <c r="L14" s="678"/>
      <c r="M14" s="658"/>
      <c r="N14" s="547"/>
      <c r="P14" s="661"/>
    </row>
    <row r="15" spans="1:16" x14ac:dyDescent="0.25">
      <c r="A15" s="755">
        <v>5</v>
      </c>
      <c r="B15" s="516" t="s">
        <v>24</v>
      </c>
      <c r="C15" s="517" t="s">
        <v>25</v>
      </c>
      <c r="D15" s="658">
        <v>3000</v>
      </c>
      <c r="E15" s="537"/>
      <c r="F15" s="537"/>
      <c r="G15" s="675">
        <f t="shared" si="2"/>
        <v>3000</v>
      </c>
      <c r="H15" s="537">
        <v>500</v>
      </c>
      <c r="I15" s="537"/>
      <c r="J15" s="676">
        <f t="shared" si="3"/>
        <v>500</v>
      </c>
      <c r="K15" s="677"/>
      <c r="L15" s="678"/>
      <c r="M15" s="658"/>
      <c r="N15" s="547"/>
      <c r="P15" s="661"/>
    </row>
    <row r="16" spans="1:16" x14ac:dyDescent="0.25">
      <c r="A16" s="755">
        <v>6</v>
      </c>
      <c r="B16" s="521" t="s">
        <v>26</v>
      </c>
      <c r="C16" s="522" t="s">
        <v>27</v>
      </c>
      <c r="D16" s="658">
        <v>1500</v>
      </c>
      <c r="E16" s="537"/>
      <c r="F16" s="537"/>
      <c r="G16" s="675">
        <f t="shared" si="2"/>
        <v>1500</v>
      </c>
      <c r="H16" s="537">
        <v>250</v>
      </c>
      <c r="I16" s="537"/>
      <c r="J16" s="676">
        <f t="shared" si="3"/>
        <v>250</v>
      </c>
      <c r="K16" s="677"/>
      <c r="L16" s="678"/>
      <c r="M16" s="658"/>
      <c r="N16" s="547"/>
      <c r="P16" s="661"/>
    </row>
    <row r="17" spans="1:16" x14ac:dyDescent="0.25">
      <c r="A17" s="755">
        <v>7</v>
      </c>
      <c r="B17" s="764" t="s">
        <v>28</v>
      </c>
      <c r="C17" s="524" t="s">
        <v>29</v>
      </c>
      <c r="D17" s="658">
        <f>5625+67+200</f>
        <v>5892</v>
      </c>
      <c r="E17" s="537"/>
      <c r="F17" s="537"/>
      <c r="G17" s="675">
        <f t="shared" si="2"/>
        <v>5892</v>
      </c>
      <c r="H17" s="537">
        <f>938+80+50</f>
        <v>1068</v>
      </c>
      <c r="I17" s="537"/>
      <c r="J17" s="676">
        <f t="shared" si="3"/>
        <v>1068</v>
      </c>
      <c r="K17" s="677"/>
      <c r="L17" s="678"/>
      <c r="M17" s="658"/>
      <c r="N17" s="547"/>
      <c r="P17" s="661"/>
    </row>
    <row r="18" spans="1:16" x14ac:dyDescent="0.25">
      <c r="A18" s="755">
        <v>8</v>
      </c>
      <c r="B18" s="521" t="s">
        <v>30</v>
      </c>
      <c r="C18" s="522" t="s">
        <v>31</v>
      </c>
      <c r="D18" s="658">
        <f>3375-1075</f>
        <v>2300</v>
      </c>
      <c r="E18" s="537"/>
      <c r="F18" s="537"/>
      <c r="G18" s="675">
        <f t="shared" si="2"/>
        <v>2300</v>
      </c>
      <c r="H18" s="537">
        <f>562-262-50</f>
        <v>250</v>
      </c>
      <c r="I18" s="537"/>
      <c r="J18" s="676">
        <f t="shared" si="3"/>
        <v>250</v>
      </c>
      <c r="K18" s="677"/>
      <c r="L18" s="678"/>
      <c r="M18" s="658"/>
      <c r="N18" s="547"/>
      <c r="P18" s="661"/>
    </row>
    <row r="19" spans="1:16" x14ac:dyDescent="0.25">
      <c r="A19" s="755">
        <v>9</v>
      </c>
      <c r="B19" s="521" t="s">
        <v>32</v>
      </c>
      <c r="C19" s="522" t="s">
        <v>33</v>
      </c>
      <c r="D19" s="658">
        <f>3750+300</f>
        <v>4050</v>
      </c>
      <c r="E19" s="537"/>
      <c r="F19" s="537"/>
      <c r="G19" s="675">
        <f t="shared" si="2"/>
        <v>4050</v>
      </c>
      <c r="H19" s="537">
        <v>625</v>
      </c>
      <c r="I19" s="537"/>
      <c r="J19" s="676">
        <f t="shared" si="3"/>
        <v>625</v>
      </c>
      <c r="K19" s="677"/>
      <c r="L19" s="678"/>
      <c r="M19" s="658"/>
      <c r="N19" s="547"/>
      <c r="P19" s="661"/>
    </row>
    <row r="20" spans="1:16" x14ac:dyDescent="0.25">
      <c r="A20" s="755">
        <v>10</v>
      </c>
      <c r="B20" s="521" t="s">
        <v>34</v>
      </c>
      <c r="C20" s="522" t="s">
        <v>35</v>
      </c>
      <c r="D20" s="658">
        <v>2625</v>
      </c>
      <c r="E20" s="537"/>
      <c r="F20" s="537"/>
      <c r="G20" s="675">
        <f t="shared" si="2"/>
        <v>2625</v>
      </c>
      <c r="H20" s="537">
        <f>438+30</f>
        <v>468</v>
      </c>
      <c r="I20" s="537"/>
      <c r="J20" s="676">
        <f t="shared" si="3"/>
        <v>468</v>
      </c>
      <c r="K20" s="677"/>
      <c r="L20" s="678"/>
      <c r="M20" s="658"/>
      <c r="N20" s="547"/>
      <c r="P20" s="661"/>
    </row>
    <row r="21" spans="1:16" x14ac:dyDescent="0.25">
      <c r="A21" s="755">
        <v>11</v>
      </c>
      <c r="B21" s="521" t="s">
        <v>36</v>
      </c>
      <c r="C21" s="522" t="s">
        <v>37</v>
      </c>
      <c r="D21" s="658">
        <f>3418-300</f>
        <v>3118</v>
      </c>
      <c r="E21" s="537"/>
      <c r="F21" s="537"/>
      <c r="G21" s="675">
        <f t="shared" si="2"/>
        <v>3118</v>
      </c>
      <c r="H21" s="537">
        <v>569</v>
      </c>
      <c r="I21" s="537"/>
      <c r="J21" s="676">
        <f t="shared" si="3"/>
        <v>569</v>
      </c>
      <c r="K21" s="677"/>
      <c r="L21" s="678"/>
      <c r="M21" s="658"/>
      <c r="N21" s="547"/>
      <c r="P21" s="661"/>
    </row>
    <row r="22" spans="1:16" x14ac:dyDescent="0.25">
      <c r="A22" s="755">
        <v>12</v>
      </c>
      <c r="B22" s="521" t="s">
        <v>38</v>
      </c>
      <c r="C22" s="522" t="s">
        <v>39</v>
      </c>
      <c r="D22" s="658">
        <v>6525</v>
      </c>
      <c r="E22" s="537"/>
      <c r="F22" s="537"/>
      <c r="G22" s="675">
        <f t="shared" si="2"/>
        <v>6525</v>
      </c>
      <c r="H22" s="537">
        <v>1088</v>
      </c>
      <c r="I22" s="537"/>
      <c r="J22" s="676">
        <f t="shared" si="3"/>
        <v>1088</v>
      </c>
      <c r="K22" s="677"/>
      <c r="L22" s="678"/>
      <c r="M22" s="658"/>
      <c r="N22" s="547"/>
      <c r="P22" s="661"/>
    </row>
    <row r="23" spans="1:16" x14ac:dyDescent="0.25">
      <c r="A23" s="755">
        <v>13</v>
      </c>
      <c r="B23" s="525" t="s">
        <v>40</v>
      </c>
      <c r="C23" s="526" t="s">
        <v>41</v>
      </c>
      <c r="D23" s="658"/>
      <c r="E23" s="537"/>
      <c r="F23" s="537"/>
      <c r="G23" s="675"/>
      <c r="H23" s="537"/>
      <c r="I23" s="537"/>
      <c r="J23" s="676"/>
      <c r="K23" s="677"/>
      <c r="L23" s="678"/>
      <c r="M23" s="658"/>
      <c r="N23" s="547"/>
      <c r="P23" s="661"/>
    </row>
    <row r="24" spans="1:16" x14ac:dyDescent="0.25">
      <c r="A24" s="755">
        <v>14</v>
      </c>
      <c r="B24" s="527" t="s">
        <v>42</v>
      </c>
      <c r="C24" s="528" t="s">
        <v>43</v>
      </c>
      <c r="D24" s="658"/>
      <c r="E24" s="537"/>
      <c r="F24" s="537"/>
      <c r="G24" s="675"/>
      <c r="H24" s="537"/>
      <c r="I24" s="537"/>
      <c r="J24" s="676"/>
      <c r="K24" s="677"/>
      <c r="L24" s="678"/>
      <c r="M24" s="658"/>
      <c r="N24" s="547"/>
      <c r="P24" s="661"/>
    </row>
    <row r="25" spans="1:16" x14ac:dyDescent="0.25">
      <c r="A25" s="755">
        <v>15</v>
      </c>
      <c r="B25" s="521" t="s">
        <v>44</v>
      </c>
      <c r="C25" s="522" t="s">
        <v>45</v>
      </c>
      <c r="D25" s="658">
        <f>4575+182+400</f>
        <v>5157</v>
      </c>
      <c r="E25" s="537"/>
      <c r="F25" s="537"/>
      <c r="G25" s="675">
        <f t="shared" si="2"/>
        <v>5157</v>
      </c>
      <c r="H25" s="537">
        <f>762-25</f>
        <v>737</v>
      </c>
      <c r="I25" s="537"/>
      <c r="J25" s="676">
        <f t="shared" si="3"/>
        <v>737</v>
      </c>
      <c r="K25" s="677"/>
      <c r="L25" s="678"/>
      <c r="M25" s="658"/>
      <c r="N25" s="547"/>
      <c r="P25" s="661"/>
    </row>
    <row r="26" spans="1:16" x14ac:dyDescent="0.25">
      <c r="A26" s="755">
        <v>16</v>
      </c>
      <c r="B26" s="521" t="s">
        <v>46</v>
      </c>
      <c r="C26" s="522" t="s">
        <v>47</v>
      </c>
      <c r="D26" s="658">
        <f>6000-2400</f>
        <v>3600</v>
      </c>
      <c r="E26" s="537"/>
      <c r="F26" s="537"/>
      <c r="G26" s="675">
        <f t="shared" si="2"/>
        <v>3600</v>
      </c>
      <c r="H26" s="537">
        <f>1000-130</f>
        <v>870</v>
      </c>
      <c r="I26" s="537"/>
      <c r="J26" s="676">
        <f t="shared" si="3"/>
        <v>870</v>
      </c>
      <c r="K26" s="677"/>
      <c r="L26" s="678"/>
      <c r="M26" s="658"/>
      <c r="N26" s="547"/>
      <c r="P26" s="661"/>
    </row>
    <row r="27" spans="1:16" x14ac:dyDescent="0.25">
      <c r="A27" s="755">
        <v>17</v>
      </c>
      <c r="B27" s="521" t="s">
        <v>48</v>
      </c>
      <c r="C27" s="522" t="s">
        <v>49</v>
      </c>
      <c r="D27" s="658">
        <f>7500+900</f>
        <v>8400</v>
      </c>
      <c r="E27" s="537"/>
      <c r="F27" s="537"/>
      <c r="G27" s="675">
        <f t="shared" si="2"/>
        <v>8400</v>
      </c>
      <c r="H27" s="537">
        <f>1250-25</f>
        <v>1225</v>
      </c>
      <c r="I27" s="537"/>
      <c r="J27" s="676">
        <f t="shared" si="3"/>
        <v>1225</v>
      </c>
      <c r="K27" s="677"/>
      <c r="L27" s="678"/>
      <c r="M27" s="658"/>
      <c r="N27" s="547"/>
      <c r="P27" s="661"/>
    </row>
    <row r="28" spans="1:16" x14ac:dyDescent="0.25">
      <c r="A28" s="755">
        <v>18</v>
      </c>
      <c r="B28" s="521" t="s">
        <v>50</v>
      </c>
      <c r="C28" s="522" t="s">
        <v>51</v>
      </c>
      <c r="D28" s="658"/>
      <c r="E28" s="537"/>
      <c r="F28" s="537"/>
      <c r="G28" s="675"/>
      <c r="H28" s="537"/>
      <c r="I28" s="537"/>
      <c r="J28" s="676"/>
      <c r="K28" s="677"/>
      <c r="L28" s="678"/>
      <c r="M28" s="658"/>
      <c r="N28" s="547"/>
      <c r="P28" s="661"/>
    </row>
    <row r="29" spans="1:16" x14ac:dyDescent="0.25">
      <c r="A29" s="755">
        <v>19</v>
      </c>
      <c r="B29" s="516" t="s">
        <v>52</v>
      </c>
      <c r="C29" s="517" t="s">
        <v>53</v>
      </c>
      <c r="D29" s="658">
        <v>2250</v>
      </c>
      <c r="E29" s="537"/>
      <c r="F29" s="537"/>
      <c r="G29" s="675">
        <f t="shared" si="2"/>
        <v>2250</v>
      </c>
      <c r="H29" s="537">
        <f>375-50</f>
        <v>325</v>
      </c>
      <c r="I29" s="537"/>
      <c r="J29" s="676">
        <f t="shared" si="3"/>
        <v>325</v>
      </c>
      <c r="K29" s="677"/>
      <c r="L29" s="678"/>
      <c r="M29" s="658"/>
      <c r="N29" s="547"/>
      <c r="P29" s="661"/>
    </row>
    <row r="30" spans="1:16" x14ac:dyDescent="0.25">
      <c r="A30" s="755">
        <v>20</v>
      </c>
      <c r="B30" s="516" t="s">
        <v>54</v>
      </c>
      <c r="C30" s="517" t="s">
        <v>55</v>
      </c>
      <c r="D30" s="658">
        <v>2250</v>
      </c>
      <c r="E30" s="537"/>
      <c r="F30" s="537"/>
      <c r="G30" s="675">
        <f t="shared" si="2"/>
        <v>2250</v>
      </c>
      <c r="H30" s="537">
        <v>375</v>
      </c>
      <c r="I30" s="537"/>
      <c r="J30" s="676">
        <f t="shared" si="3"/>
        <v>375</v>
      </c>
      <c r="K30" s="677"/>
      <c r="L30" s="678"/>
      <c r="M30" s="658"/>
      <c r="N30" s="547"/>
      <c r="P30" s="661"/>
    </row>
    <row r="31" spans="1:16" x14ac:dyDescent="0.25">
      <c r="A31" s="755">
        <v>21</v>
      </c>
      <c r="B31" s="516" t="s">
        <v>56</v>
      </c>
      <c r="C31" s="517" t="s">
        <v>57</v>
      </c>
      <c r="D31" s="658">
        <v>5250</v>
      </c>
      <c r="E31" s="537"/>
      <c r="F31" s="537"/>
      <c r="G31" s="675">
        <f t="shared" si="2"/>
        <v>5250</v>
      </c>
      <c r="H31" s="537">
        <v>875</v>
      </c>
      <c r="I31" s="537"/>
      <c r="J31" s="676">
        <f t="shared" si="3"/>
        <v>875</v>
      </c>
      <c r="K31" s="677"/>
      <c r="L31" s="678"/>
      <c r="M31" s="658"/>
      <c r="N31" s="547"/>
      <c r="P31" s="661"/>
    </row>
    <row r="32" spans="1:16" x14ac:dyDescent="0.25">
      <c r="A32" s="755">
        <v>22</v>
      </c>
      <c r="B32" s="516" t="s">
        <v>58</v>
      </c>
      <c r="C32" s="517" t="s">
        <v>59</v>
      </c>
      <c r="D32" s="658"/>
      <c r="E32" s="537"/>
      <c r="F32" s="537"/>
      <c r="G32" s="675"/>
      <c r="H32" s="537"/>
      <c r="I32" s="537"/>
      <c r="J32" s="676"/>
      <c r="K32" s="677"/>
      <c r="L32" s="678"/>
      <c r="M32" s="658"/>
      <c r="N32" s="547"/>
      <c r="P32" s="661"/>
    </row>
    <row r="33" spans="1:16" x14ac:dyDescent="0.25">
      <c r="A33" s="755">
        <v>23</v>
      </c>
      <c r="B33" s="521" t="s">
        <v>60</v>
      </c>
      <c r="C33" s="522" t="s">
        <v>61</v>
      </c>
      <c r="D33" s="658"/>
      <c r="E33" s="537"/>
      <c r="F33" s="537"/>
      <c r="G33" s="675"/>
      <c r="H33" s="537"/>
      <c r="I33" s="537"/>
      <c r="J33" s="676"/>
      <c r="K33" s="677"/>
      <c r="L33" s="678"/>
      <c r="M33" s="658"/>
      <c r="N33" s="547"/>
      <c r="P33" s="661"/>
    </row>
    <row r="34" spans="1:16" x14ac:dyDescent="0.25">
      <c r="A34" s="755">
        <v>24</v>
      </c>
      <c r="B34" s="521" t="s">
        <v>62</v>
      </c>
      <c r="C34" s="522" t="s">
        <v>63</v>
      </c>
      <c r="D34" s="658"/>
      <c r="E34" s="537"/>
      <c r="F34" s="537"/>
      <c r="G34" s="675"/>
      <c r="H34" s="537"/>
      <c r="I34" s="537"/>
      <c r="J34" s="676"/>
      <c r="K34" s="677"/>
      <c r="L34" s="678"/>
      <c r="M34" s="658"/>
      <c r="N34" s="547"/>
      <c r="P34" s="661"/>
    </row>
    <row r="35" spans="1:16" ht="25.5" x14ac:dyDescent="0.25">
      <c r="A35" s="755">
        <v>25</v>
      </c>
      <c r="B35" s="521" t="s">
        <v>64</v>
      </c>
      <c r="C35" s="522" t="s">
        <v>65</v>
      </c>
      <c r="D35" s="658"/>
      <c r="E35" s="537"/>
      <c r="F35" s="537"/>
      <c r="G35" s="675"/>
      <c r="H35" s="537"/>
      <c r="I35" s="537"/>
      <c r="J35" s="676"/>
      <c r="K35" s="677"/>
      <c r="L35" s="678"/>
      <c r="M35" s="658"/>
      <c r="N35" s="547"/>
      <c r="P35" s="661"/>
    </row>
    <row r="36" spans="1:16" x14ac:dyDescent="0.25">
      <c r="A36" s="755">
        <v>26</v>
      </c>
      <c r="B36" s="516" t="s">
        <v>66</v>
      </c>
      <c r="C36" s="524" t="s">
        <v>67</v>
      </c>
      <c r="D36" s="658">
        <f>0+3281+425-800</f>
        <v>2906</v>
      </c>
      <c r="E36" s="537"/>
      <c r="F36" s="537"/>
      <c r="G36" s="675">
        <f t="shared" si="2"/>
        <v>2906</v>
      </c>
      <c r="H36" s="537">
        <f>0+547+214</f>
        <v>761</v>
      </c>
      <c r="I36" s="537"/>
      <c r="J36" s="676">
        <f t="shared" si="3"/>
        <v>761</v>
      </c>
      <c r="K36" s="677"/>
      <c r="L36" s="678"/>
      <c r="M36" s="658"/>
      <c r="N36" s="547"/>
      <c r="P36" s="661"/>
    </row>
    <row r="37" spans="1:16" x14ac:dyDescent="0.25">
      <c r="A37" s="755">
        <v>27</v>
      </c>
      <c r="B37" s="521" t="s">
        <v>68</v>
      </c>
      <c r="C37" s="522" t="s">
        <v>69</v>
      </c>
      <c r="D37" s="658">
        <f>5625-3281-425</f>
        <v>1919</v>
      </c>
      <c r="E37" s="537"/>
      <c r="F37" s="537"/>
      <c r="G37" s="675">
        <f t="shared" si="2"/>
        <v>1919</v>
      </c>
      <c r="H37" s="537">
        <f>938-547-214</f>
        <v>177</v>
      </c>
      <c r="I37" s="537"/>
      <c r="J37" s="676">
        <f t="shared" si="3"/>
        <v>177</v>
      </c>
      <c r="K37" s="677"/>
      <c r="L37" s="678"/>
      <c r="M37" s="658"/>
      <c r="N37" s="547"/>
      <c r="P37" s="661"/>
    </row>
    <row r="38" spans="1:16" x14ac:dyDescent="0.25">
      <c r="A38" s="755">
        <v>28</v>
      </c>
      <c r="B38" s="521" t="s">
        <v>70</v>
      </c>
      <c r="C38" s="522" t="s">
        <v>71</v>
      </c>
      <c r="D38" s="658"/>
      <c r="E38" s="537"/>
      <c r="F38" s="537"/>
      <c r="G38" s="675"/>
      <c r="H38" s="537"/>
      <c r="I38" s="537"/>
      <c r="J38" s="676"/>
      <c r="K38" s="677"/>
      <c r="L38" s="678"/>
      <c r="M38" s="658"/>
      <c r="N38" s="547"/>
      <c r="P38" s="661"/>
    </row>
    <row r="39" spans="1:16" x14ac:dyDescent="0.25">
      <c r="A39" s="755">
        <v>29</v>
      </c>
      <c r="B39" s="516" t="s">
        <v>72</v>
      </c>
      <c r="C39" s="517" t="s">
        <v>73</v>
      </c>
      <c r="D39" s="658"/>
      <c r="E39" s="537"/>
      <c r="F39" s="537"/>
      <c r="G39" s="675"/>
      <c r="H39" s="537"/>
      <c r="I39" s="537"/>
      <c r="J39" s="676"/>
      <c r="K39" s="677"/>
      <c r="L39" s="678"/>
      <c r="M39" s="658"/>
      <c r="N39" s="547"/>
      <c r="P39" s="661"/>
    </row>
    <row r="40" spans="1:16" ht="25.5" x14ac:dyDescent="0.25">
      <c r="A40" s="755">
        <v>30</v>
      </c>
      <c r="B40" s="516" t="s">
        <v>74</v>
      </c>
      <c r="C40" s="524" t="s">
        <v>377</v>
      </c>
      <c r="D40" s="658"/>
      <c r="E40" s="537"/>
      <c r="F40" s="537"/>
      <c r="G40" s="675"/>
      <c r="H40" s="537"/>
      <c r="I40" s="537"/>
      <c r="J40" s="676"/>
      <c r="K40" s="677"/>
      <c r="L40" s="678"/>
      <c r="M40" s="658"/>
      <c r="N40" s="547"/>
      <c r="P40" s="661"/>
    </row>
    <row r="41" spans="1:16" x14ac:dyDescent="0.25">
      <c r="A41" s="755">
        <v>31</v>
      </c>
      <c r="B41" s="516" t="s">
        <v>75</v>
      </c>
      <c r="C41" s="517" t="s">
        <v>76</v>
      </c>
      <c r="D41" s="658"/>
      <c r="E41" s="537"/>
      <c r="F41" s="537"/>
      <c r="G41" s="675"/>
      <c r="H41" s="537"/>
      <c r="I41" s="537"/>
      <c r="J41" s="676"/>
      <c r="K41" s="677"/>
      <c r="L41" s="678"/>
      <c r="M41" s="658"/>
      <c r="N41" s="547"/>
      <c r="P41" s="661"/>
    </row>
    <row r="42" spans="1:16" x14ac:dyDescent="0.25">
      <c r="A42" s="755">
        <v>32</v>
      </c>
      <c r="B42" s="521" t="s">
        <v>77</v>
      </c>
      <c r="C42" s="522" t="s">
        <v>78</v>
      </c>
      <c r="D42" s="658"/>
      <c r="E42" s="537"/>
      <c r="F42" s="537"/>
      <c r="G42" s="675"/>
      <c r="H42" s="537"/>
      <c r="I42" s="537"/>
      <c r="J42" s="676"/>
      <c r="K42" s="677"/>
      <c r="L42" s="678"/>
      <c r="M42" s="658"/>
      <c r="N42" s="547"/>
      <c r="P42" s="661"/>
    </row>
    <row r="43" spans="1:16" x14ac:dyDescent="0.25">
      <c r="A43" s="755">
        <v>33</v>
      </c>
      <c r="B43" s="516" t="s">
        <v>79</v>
      </c>
      <c r="C43" s="517" t="s">
        <v>80</v>
      </c>
      <c r="D43" s="658"/>
      <c r="E43" s="537"/>
      <c r="F43" s="537"/>
      <c r="G43" s="675"/>
      <c r="H43" s="537"/>
      <c r="I43" s="537"/>
      <c r="J43" s="676"/>
      <c r="K43" s="677"/>
      <c r="L43" s="678"/>
      <c r="M43" s="658"/>
      <c r="N43" s="547"/>
      <c r="P43" s="661"/>
    </row>
    <row r="44" spans="1:16" x14ac:dyDescent="0.25">
      <c r="A44" s="755">
        <v>34</v>
      </c>
      <c r="B44" s="764" t="s">
        <v>81</v>
      </c>
      <c r="C44" s="524" t="s">
        <v>82</v>
      </c>
      <c r="D44" s="658">
        <v>3750</v>
      </c>
      <c r="E44" s="537"/>
      <c r="F44" s="537"/>
      <c r="G44" s="675">
        <f t="shared" si="2"/>
        <v>3750</v>
      </c>
      <c r="H44" s="537">
        <f>625+30</f>
        <v>655</v>
      </c>
      <c r="I44" s="537"/>
      <c r="J44" s="676">
        <f t="shared" si="3"/>
        <v>655</v>
      </c>
      <c r="K44" s="677"/>
      <c r="L44" s="678"/>
      <c r="M44" s="658"/>
      <c r="N44" s="547"/>
      <c r="P44" s="661"/>
    </row>
    <row r="45" spans="1:16" x14ac:dyDescent="0.25">
      <c r="A45" s="755">
        <v>35</v>
      </c>
      <c r="B45" s="516" t="s">
        <v>83</v>
      </c>
      <c r="C45" s="517" t="s">
        <v>84</v>
      </c>
      <c r="D45" s="658"/>
      <c r="E45" s="537"/>
      <c r="F45" s="537"/>
      <c r="G45" s="675"/>
      <c r="H45" s="537"/>
      <c r="I45" s="537"/>
      <c r="J45" s="676"/>
      <c r="K45" s="677"/>
      <c r="L45" s="678"/>
      <c r="M45" s="658"/>
      <c r="N45" s="547"/>
      <c r="P45" s="661"/>
    </row>
    <row r="46" spans="1:16" x14ac:dyDescent="0.25">
      <c r="A46" s="755">
        <v>36</v>
      </c>
      <c r="B46" s="516" t="s">
        <v>85</v>
      </c>
      <c r="C46" s="517" t="s">
        <v>86</v>
      </c>
      <c r="D46" s="658">
        <f>3750+141+250</f>
        <v>4141</v>
      </c>
      <c r="E46" s="537"/>
      <c r="F46" s="537"/>
      <c r="G46" s="675">
        <f t="shared" si="2"/>
        <v>4141</v>
      </c>
      <c r="H46" s="537">
        <v>625</v>
      </c>
      <c r="I46" s="537"/>
      <c r="J46" s="676">
        <f t="shared" si="3"/>
        <v>625</v>
      </c>
      <c r="K46" s="677"/>
      <c r="L46" s="678"/>
      <c r="M46" s="658"/>
      <c r="N46" s="547"/>
      <c r="P46" s="661"/>
    </row>
    <row r="47" spans="1:16" x14ac:dyDescent="0.25">
      <c r="A47" s="755">
        <v>37</v>
      </c>
      <c r="B47" s="521" t="s">
        <v>87</v>
      </c>
      <c r="C47" s="522" t="s">
        <v>88</v>
      </c>
      <c r="D47" s="658">
        <v>11250</v>
      </c>
      <c r="E47" s="537"/>
      <c r="F47" s="537"/>
      <c r="G47" s="675">
        <f t="shared" si="2"/>
        <v>11250</v>
      </c>
      <c r="H47" s="537">
        <v>1875</v>
      </c>
      <c r="I47" s="537"/>
      <c r="J47" s="676">
        <f t="shared" si="3"/>
        <v>1875</v>
      </c>
      <c r="K47" s="677"/>
      <c r="L47" s="678"/>
      <c r="M47" s="658"/>
      <c r="N47" s="547"/>
      <c r="P47" s="661"/>
    </row>
    <row r="48" spans="1:16" x14ac:dyDescent="0.25">
      <c r="A48" s="755">
        <v>38</v>
      </c>
      <c r="B48" s="516" t="s">
        <v>89</v>
      </c>
      <c r="C48" s="517" t="s">
        <v>90</v>
      </c>
      <c r="D48" s="658">
        <v>3000</v>
      </c>
      <c r="E48" s="537"/>
      <c r="F48" s="537"/>
      <c r="G48" s="675">
        <f t="shared" si="2"/>
        <v>3000</v>
      </c>
      <c r="H48" s="537">
        <v>500</v>
      </c>
      <c r="I48" s="537"/>
      <c r="J48" s="676">
        <f t="shared" si="3"/>
        <v>500</v>
      </c>
      <c r="K48" s="677"/>
      <c r="L48" s="678"/>
      <c r="M48" s="658"/>
      <c r="N48" s="547"/>
      <c r="P48" s="661"/>
    </row>
    <row r="49" spans="1:16" ht="20.25" customHeight="1" x14ac:dyDescent="0.25">
      <c r="A49" s="755">
        <v>39</v>
      </c>
      <c r="B49" s="516" t="s">
        <v>91</v>
      </c>
      <c r="C49" s="517" t="s">
        <v>92</v>
      </c>
      <c r="D49" s="658">
        <f>2700+40</f>
        <v>2740</v>
      </c>
      <c r="E49" s="537"/>
      <c r="F49" s="537"/>
      <c r="G49" s="675">
        <f t="shared" si="2"/>
        <v>2740</v>
      </c>
      <c r="H49" s="537">
        <f>450+30</f>
        <v>480</v>
      </c>
      <c r="I49" s="537"/>
      <c r="J49" s="676">
        <f t="shared" si="3"/>
        <v>480</v>
      </c>
      <c r="K49" s="677"/>
      <c r="L49" s="678"/>
      <c r="M49" s="658"/>
      <c r="N49" s="547"/>
      <c r="P49" s="661"/>
    </row>
    <row r="50" spans="1:16" x14ac:dyDescent="0.25">
      <c r="A50" s="755">
        <v>40</v>
      </c>
      <c r="B50" s="529" t="s">
        <v>93</v>
      </c>
      <c r="C50" s="530" t="s">
        <v>94</v>
      </c>
      <c r="D50" s="658">
        <f>5025+65+500</f>
        <v>5590</v>
      </c>
      <c r="E50" s="537"/>
      <c r="F50" s="537"/>
      <c r="G50" s="675">
        <f t="shared" si="2"/>
        <v>5590</v>
      </c>
      <c r="H50" s="537">
        <f>838+42+70</f>
        <v>950</v>
      </c>
      <c r="I50" s="537"/>
      <c r="J50" s="676">
        <f t="shared" si="3"/>
        <v>950</v>
      </c>
      <c r="K50" s="677"/>
      <c r="L50" s="678"/>
      <c r="M50" s="658"/>
      <c r="N50" s="547"/>
      <c r="P50" s="661"/>
    </row>
    <row r="51" spans="1:16" x14ac:dyDescent="0.25">
      <c r="A51" s="755">
        <v>41</v>
      </c>
      <c r="B51" s="516" t="s">
        <v>95</v>
      </c>
      <c r="C51" s="517" t="s">
        <v>96</v>
      </c>
      <c r="D51" s="658">
        <f>2819+40</f>
        <v>2859</v>
      </c>
      <c r="E51" s="537"/>
      <c r="F51" s="537"/>
      <c r="G51" s="675">
        <f t="shared" si="2"/>
        <v>2859</v>
      </c>
      <c r="H51" s="537">
        <f>470+20</f>
        <v>490</v>
      </c>
      <c r="I51" s="537"/>
      <c r="J51" s="676">
        <f t="shared" si="3"/>
        <v>490</v>
      </c>
      <c r="K51" s="677"/>
      <c r="L51" s="678"/>
      <c r="M51" s="658"/>
      <c r="N51" s="547"/>
      <c r="P51" s="661"/>
    </row>
    <row r="52" spans="1:16" x14ac:dyDescent="0.25">
      <c r="A52" s="755">
        <v>42</v>
      </c>
      <c r="B52" s="764" t="s">
        <v>97</v>
      </c>
      <c r="C52" s="524" t="s">
        <v>98</v>
      </c>
      <c r="D52" s="658"/>
      <c r="E52" s="537"/>
      <c r="F52" s="537"/>
      <c r="G52" s="675"/>
      <c r="H52" s="537"/>
      <c r="I52" s="537"/>
      <c r="J52" s="676"/>
      <c r="K52" s="677"/>
      <c r="L52" s="678"/>
      <c r="M52" s="658"/>
      <c r="N52" s="547"/>
      <c r="P52" s="661"/>
    </row>
    <row r="53" spans="1:16" x14ac:dyDescent="0.25">
      <c r="A53" s="755">
        <v>43</v>
      </c>
      <c r="B53" s="521" t="s">
        <v>99</v>
      </c>
      <c r="C53" s="522" t="s">
        <v>100</v>
      </c>
      <c r="D53" s="658"/>
      <c r="E53" s="537"/>
      <c r="F53" s="537"/>
      <c r="G53" s="675"/>
      <c r="H53" s="537"/>
      <c r="I53" s="537"/>
      <c r="J53" s="676"/>
      <c r="K53" s="677"/>
      <c r="L53" s="678"/>
      <c r="M53" s="658"/>
      <c r="N53" s="547"/>
      <c r="P53" s="661"/>
    </row>
    <row r="54" spans="1:16" x14ac:dyDescent="0.25">
      <c r="A54" s="755">
        <v>44</v>
      </c>
      <c r="B54" s="516" t="s">
        <v>101</v>
      </c>
      <c r="C54" s="517" t="s">
        <v>102</v>
      </c>
      <c r="D54" s="658">
        <v>3000</v>
      </c>
      <c r="E54" s="537"/>
      <c r="F54" s="537"/>
      <c r="G54" s="675">
        <f t="shared" si="2"/>
        <v>3000</v>
      </c>
      <c r="H54" s="537">
        <f>500+20</f>
        <v>520</v>
      </c>
      <c r="I54" s="537"/>
      <c r="J54" s="676">
        <f t="shared" si="3"/>
        <v>520</v>
      </c>
      <c r="K54" s="677"/>
      <c r="L54" s="678"/>
      <c r="M54" s="658"/>
      <c r="N54" s="547"/>
      <c r="P54" s="661"/>
    </row>
    <row r="55" spans="1:16" x14ac:dyDescent="0.25">
      <c r="A55" s="755">
        <v>45</v>
      </c>
      <c r="B55" s="521" t="s">
        <v>103</v>
      </c>
      <c r="C55" s="522" t="s">
        <v>104</v>
      </c>
      <c r="D55" s="658">
        <v>6000</v>
      </c>
      <c r="E55" s="537"/>
      <c r="F55" s="537"/>
      <c r="G55" s="675">
        <f t="shared" si="2"/>
        <v>6000</v>
      </c>
      <c r="H55" s="537">
        <f>1000-100</f>
        <v>900</v>
      </c>
      <c r="I55" s="537"/>
      <c r="J55" s="676">
        <f t="shared" si="3"/>
        <v>900</v>
      </c>
      <c r="K55" s="677"/>
      <c r="L55" s="678"/>
      <c r="M55" s="658"/>
      <c r="N55" s="547"/>
      <c r="P55" s="661"/>
    </row>
    <row r="56" spans="1:16" x14ac:dyDescent="0.25">
      <c r="A56" s="755">
        <v>46</v>
      </c>
      <c r="B56" s="516" t="s">
        <v>105</v>
      </c>
      <c r="C56" s="517" t="s">
        <v>106</v>
      </c>
      <c r="D56" s="658">
        <v>3375</v>
      </c>
      <c r="E56" s="537"/>
      <c r="F56" s="537"/>
      <c r="G56" s="675">
        <f t="shared" si="2"/>
        <v>3375</v>
      </c>
      <c r="H56" s="537">
        <f>562+70+100</f>
        <v>732</v>
      </c>
      <c r="I56" s="537"/>
      <c r="J56" s="676">
        <f t="shared" si="3"/>
        <v>732</v>
      </c>
      <c r="K56" s="677"/>
      <c r="L56" s="678"/>
      <c r="M56" s="658"/>
      <c r="N56" s="547"/>
      <c r="P56" s="661"/>
    </row>
    <row r="57" spans="1:16" x14ac:dyDescent="0.25">
      <c r="A57" s="755">
        <v>47</v>
      </c>
      <c r="B57" s="516" t="s">
        <v>107</v>
      </c>
      <c r="C57" s="517" t="s">
        <v>108</v>
      </c>
      <c r="D57" s="658">
        <f>3750-1200</f>
        <v>2550</v>
      </c>
      <c r="E57" s="537"/>
      <c r="F57" s="537"/>
      <c r="G57" s="675">
        <f t="shared" si="2"/>
        <v>2550</v>
      </c>
      <c r="H57" s="537">
        <f>625-600</f>
        <v>25</v>
      </c>
      <c r="I57" s="537"/>
      <c r="J57" s="676">
        <f t="shared" si="3"/>
        <v>25</v>
      </c>
      <c r="K57" s="677"/>
      <c r="L57" s="678"/>
      <c r="M57" s="658"/>
      <c r="N57" s="547"/>
      <c r="P57" s="661"/>
    </row>
    <row r="58" spans="1:16" x14ac:dyDescent="0.25">
      <c r="A58" s="755">
        <v>48</v>
      </c>
      <c r="B58" s="521" t="s">
        <v>109</v>
      </c>
      <c r="C58" s="522" t="s">
        <v>110</v>
      </c>
      <c r="D58" s="658">
        <v>5625</v>
      </c>
      <c r="E58" s="537"/>
      <c r="F58" s="537"/>
      <c r="G58" s="675">
        <f t="shared" si="2"/>
        <v>5625</v>
      </c>
      <c r="H58" s="537">
        <f>938+130+50</f>
        <v>1118</v>
      </c>
      <c r="I58" s="537"/>
      <c r="J58" s="676">
        <f t="shared" si="3"/>
        <v>1118</v>
      </c>
      <c r="K58" s="677"/>
      <c r="L58" s="678"/>
      <c r="M58" s="658"/>
      <c r="N58" s="547"/>
      <c r="P58" s="661"/>
    </row>
    <row r="59" spans="1:16" x14ac:dyDescent="0.25">
      <c r="A59" s="755">
        <v>49</v>
      </c>
      <c r="B59" s="521" t="s">
        <v>111</v>
      </c>
      <c r="C59" s="522" t="s">
        <v>112</v>
      </c>
      <c r="D59" s="658">
        <v>2250</v>
      </c>
      <c r="E59" s="537"/>
      <c r="F59" s="537"/>
      <c r="G59" s="675">
        <f t="shared" si="2"/>
        <v>2250</v>
      </c>
      <c r="H59" s="537">
        <f>375+30</f>
        <v>405</v>
      </c>
      <c r="I59" s="537"/>
      <c r="J59" s="676">
        <f t="shared" si="3"/>
        <v>405</v>
      </c>
      <c r="K59" s="677"/>
      <c r="L59" s="678"/>
      <c r="M59" s="658"/>
      <c r="N59" s="547"/>
      <c r="P59" s="661"/>
    </row>
    <row r="60" spans="1:16" x14ac:dyDescent="0.25">
      <c r="A60" s="755">
        <v>50</v>
      </c>
      <c r="B60" s="516" t="s">
        <v>113</v>
      </c>
      <c r="C60" s="517" t="s">
        <v>114</v>
      </c>
      <c r="D60" s="658">
        <f>3750+44+200</f>
        <v>3994</v>
      </c>
      <c r="E60" s="537"/>
      <c r="F60" s="537"/>
      <c r="G60" s="675">
        <f t="shared" si="2"/>
        <v>3994</v>
      </c>
      <c r="H60" s="537">
        <v>625</v>
      </c>
      <c r="I60" s="537"/>
      <c r="J60" s="676">
        <f t="shared" si="3"/>
        <v>625</v>
      </c>
      <c r="K60" s="677"/>
      <c r="L60" s="678"/>
      <c r="M60" s="658"/>
      <c r="N60" s="547"/>
      <c r="P60" s="661"/>
    </row>
    <row r="61" spans="1:16" x14ac:dyDescent="0.25">
      <c r="A61" s="755">
        <v>51</v>
      </c>
      <c r="B61" s="521" t="s">
        <v>115</v>
      </c>
      <c r="C61" s="522" t="s">
        <v>116</v>
      </c>
      <c r="D61" s="658">
        <f>5850+227+900</f>
        <v>6977</v>
      </c>
      <c r="E61" s="537"/>
      <c r="F61" s="537"/>
      <c r="G61" s="675">
        <f t="shared" si="2"/>
        <v>6977</v>
      </c>
      <c r="H61" s="537">
        <f>975+80+100</f>
        <v>1155</v>
      </c>
      <c r="I61" s="537"/>
      <c r="J61" s="676">
        <f t="shared" si="3"/>
        <v>1155</v>
      </c>
      <c r="K61" s="677"/>
      <c r="L61" s="678"/>
      <c r="M61" s="658"/>
      <c r="N61" s="547"/>
      <c r="P61" s="661"/>
    </row>
    <row r="62" spans="1:16" x14ac:dyDescent="0.25">
      <c r="A62" s="755">
        <v>52</v>
      </c>
      <c r="B62" s="516" t="s">
        <v>117</v>
      </c>
      <c r="C62" s="517" t="s">
        <v>118</v>
      </c>
      <c r="D62" s="658">
        <v>11250</v>
      </c>
      <c r="E62" s="537"/>
      <c r="F62" s="537"/>
      <c r="G62" s="675">
        <f t="shared" si="2"/>
        <v>11250</v>
      </c>
      <c r="H62" s="537">
        <v>1875</v>
      </c>
      <c r="I62" s="537"/>
      <c r="J62" s="676">
        <f t="shared" si="3"/>
        <v>1875</v>
      </c>
      <c r="K62" s="677"/>
      <c r="L62" s="678"/>
      <c r="M62" s="658"/>
      <c r="N62" s="547"/>
      <c r="P62" s="661"/>
    </row>
    <row r="63" spans="1:16" x14ac:dyDescent="0.25">
      <c r="A63" s="755">
        <v>53</v>
      </c>
      <c r="B63" s="521" t="s">
        <v>119</v>
      </c>
      <c r="C63" s="522" t="s">
        <v>120</v>
      </c>
      <c r="D63" s="658">
        <f>3075+150</f>
        <v>3225</v>
      </c>
      <c r="E63" s="537"/>
      <c r="F63" s="537"/>
      <c r="G63" s="675">
        <f t="shared" si="2"/>
        <v>3225</v>
      </c>
      <c r="H63" s="537">
        <f>512+20+40</f>
        <v>572</v>
      </c>
      <c r="I63" s="537"/>
      <c r="J63" s="676">
        <f t="shared" si="3"/>
        <v>572</v>
      </c>
      <c r="K63" s="677"/>
      <c r="L63" s="678"/>
      <c r="M63" s="658"/>
      <c r="N63" s="547"/>
      <c r="P63" s="661"/>
    </row>
    <row r="64" spans="1:16" s="661" customFormat="1" x14ac:dyDescent="0.25">
      <c r="A64" s="755">
        <v>54</v>
      </c>
      <c r="B64" s="521" t="s">
        <v>121</v>
      </c>
      <c r="C64" s="522" t="s">
        <v>122</v>
      </c>
      <c r="D64" s="658"/>
      <c r="E64" s="537"/>
      <c r="F64" s="537"/>
      <c r="G64" s="675"/>
      <c r="H64" s="537"/>
      <c r="I64" s="537"/>
      <c r="J64" s="676"/>
      <c r="K64" s="677"/>
      <c r="L64" s="678"/>
      <c r="M64" s="658"/>
      <c r="N64" s="547"/>
    </row>
    <row r="65" spans="1:16" s="661" customFormat="1" x14ac:dyDescent="0.25">
      <c r="A65" s="755">
        <v>55</v>
      </c>
      <c r="B65" s="521" t="s">
        <v>123</v>
      </c>
      <c r="C65" s="522" t="s">
        <v>124</v>
      </c>
      <c r="D65" s="658"/>
      <c r="E65" s="537"/>
      <c r="F65" s="537"/>
      <c r="G65" s="675"/>
      <c r="H65" s="537"/>
      <c r="I65" s="537"/>
      <c r="J65" s="676"/>
      <c r="K65" s="677"/>
      <c r="L65" s="678"/>
      <c r="M65" s="658"/>
      <c r="N65" s="547"/>
    </row>
    <row r="66" spans="1:16" x14ac:dyDescent="0.25">
      <c r="A66" s="755">
        <v>56</v>
      </c>
      <c r="B66" s="756" t="s">
        <v>125</v>
      </c>
      <c r="C66" s="532" t="s">
        <v>126</v>
      </c>
      <c r="D66" s="658"/>
      <c r="E66" s="537"/>
      <c r="F66" s="537"/>
      <c r="G66" s="675"/>
      <c r="H66" s="537"/>
      <c r="I66" s="537"/>
      <c r="J66" s="676"/>
      <c r="K66" s="677"/>
      <c r="L66" s="678"/>
      <c r="M66" s="658"/>
      <c r="N66" s="547"/>
      <c r="P66" s="661"/>
    </row>
    <row r="67" spans="1:16" s="687" customFormat="1" ht="25.5" x14ac:dyDescent="0.25">
      <c r="A67" s="755">
        <v>57</v>
      </c>
      <c r="B67" s="521" t="s">
        <v>127</v>
      </c>
      <c r="C67" s="522" t="s">
        <v>128</v>
      </c>
      <c r="D67" s="658"/>
      <c r="E67" s="682"/>
      <c r="F67" s="682"/>
      <c r="G67" s="675"/>
      <c r="H67" s="537"/>
      <c r="I67" s="537"/>
      <c r="J67" s="676"/>
      <c r="K67" s="683"/>
      <c r="L67" s="684"/>
      <c r="M67" s="685"/>
      <c r="N67" s="686"/>
      <c r="P67" s="661"/>
    </row>
    <row r="68" spans="1:16" ht="25.5" x14ac:dyDescent="0.25">
      <c r="A68" s="755">
        <v>58</v>
      </c>
      <c r="B68" s="521" t="s">
        <v>129</v>
      </c>
      <c r="C68" s="522" t="s">
        <v>459</v>
      </c>
      <c r="D68" s="658"/>
      <c r="E68" s="537"/>
      <c r="F68" s="537"/>
      <c r="G68" s="675"/>
      <c r="H68" s="537"/>
      <c r="I68" s="537"/>
      <c r="J68" s="676"/>
      <c r="K68" s="677"/>
      <c r="L68" s="644"/>
      <c r="M68" s="645"/>
      <c r="N68" s="646"/>
      <c r="P68" s="661"/>
    </row>
    <row r="69" spans="1:16" ht="25.5" x14ac:dyDescent="0.25">
      <c r="A69" s="755">
        <v>59</v>
      </c>
      <c r="B69" s="521" t="s">
        <v>131</v>
      </c>
      <c r="C69" s="522" t="s">
        <v>132</v>
      </c>
      <c r="D69" s="658"/>
      <c r="E69" s="537"/>
      <c r="F69" s="537"/>
      <c r="G69" s="675"/>
      <c r="H69" s="537"/>
      <c r="I69" s="537"/>
      <c r="J69" s="676"/>
      <c r="K69" s="677"/>
      <c r="L69" s="678"/>
      <c r="M69" s="658"/>
      <c r="N69" s="547"/>
      <c r="P69" s="661"/>
    </row>
    <row r="70" spans="1:16" ht="25.5" x14ac:dyDescent="0.25">
      <c r="A70" s="755">
        <v>60</v>
      </c>
      <c r="B70" s="516" t="s">
        <v>133</v>
      </c>
      <c r="C70" s="522" t="s">
        <v>299</v>
      </c>
      <c r="D70" s="658"/>
      <c r="E70" s="537"/>
      <c r="F70" s="537"/>
      <c r="G70" s="675"/>
      <c r="H70" s="537"/>
      <c r="I70" s="537"/>
      <c r="J70" s="676"/>
      <c r="K70" s="677"/>
      <c r="L70" s="678"/>
      <c r="M70" s="658"/>
      <c r="N70" s="547"/>
      <c r="P70" s="661"/>
    </row>
    <row r="71" spans="1:16" ht="25.5" x14ac:dyDescent="0.25">
      <c r="A71" s="755">
        <v>61</v>
      </c>
      <c r="B71" s="764" t="s">
        <v>135</v>
      </c>
      <c r="C71" s="522" t="s">
        <v>461</v>
      </c>
      <c r="D71" s="658"/>
      <c r="E71" s="537"/>
      <c r="F71" s="537"/>
      <c r="G71" s="675"/>
      <c r="H71" s="537"/>
      <c r="I71" s="537"/>
      <c r="J71" s="676"/>
      <c r="K71" s="677"/>
      <c r="L71" s="678"/>
      <c r="M71" s="658"/>
      <c r="N71" s="547"/>
      <c r="P71" s="661"/>
    </row>
    <row r="72" spans="1:16" ht="25.5" x14ac:dyDescent="0.25">
      <c r="A72" s="755">
        <v>62</v>
      </c>
      <c r="B72" s="516" t="s">
        <v>137</v>
      </c>
      <c r="C72" s="522" t="s">
        <v>639</v>
      </c>
      <c r="D72" s="658"/>
      <c r="E72" s="537"/>
      <c r="F72" s="537"/>
      <c r="G72" s="675"/>
      <c r="H72" s="537"/>
      <c r="I72" s="537"/>
      <c r="J72" s="676"/>
      <c r="K72" s="677"/>
      <c r="L72" s="678"/>
      <c r="M72" s="658"/>
      <c r="N72" s="547"/>
      <c r="P72" s="661"/>
    </row>
    <row r="73" spans="1:16" ht="25.5" x14ac:dyDescent="0.25">
      <c r="A73" s="755">
        <v>63</v>
      </c>
      <c r="B73" s="521" t="s">
        <v>139</v>
      </c>
      <c r="C73" s="522" t="s">
        <v>640</v>
      </c>
      <c r="D73" s="658"/>
      <c r="E73" s="537"/>
      <c r="F73" s="537"/>
      <c r="G73" s="675"/>
      <c r="H73" s="537"/>
      <c r="I73" s="537"/>
      <c r="J73" s="676"/>
      <c r="K73" s="677"/>
      <c r="L73" s="678"/>
      <c r="M73" s="658"/>
      <c r="N73" s="547"/>
      <c r="P73" s="661"/>
    </row>
    <row r="74" spans="1:16" x14ac:dyDescent="0.25">
      <c r="A74" s="755">
        <v>64</v>
      </c>
      <c r="B74" s="516" t="s">
        <v>141</v>
      </c>
      <c r="C74" s="522" t="s">
        <v>456</v>
      </c>
      <c r="D74" s="658"/>
      <c r="E74" s="537"/>
      <c r="F74" s="537"/>
      <c r="G74" s="675"/>
      <c r="H74" s="537"/>
      <c r="I74" s="537"/>
      <c r="J74" s="676"/>
      <c r="K74" s="677"/>
      <c r="L74" s="678"/>
      <c r="M74" s="658"/>
      <c r="N74" s="547"/>
      <c r="P74" s="661"/>
    </row>
    <row r="75" spans="1:16" x14ac:dyDescent="0.25">
      <c r="A75" s="755">
        <v>65</v>
      </c>
      <c r="B75" s="516" t="s">
        <v>143</v>
      </c>
      <c r="C75" s="522" t="s">
        <v>144</v>
      </c>
      <c r="D75" s="658"/>
      <c r="E75" s="537"/>
      <c r="F75" s="537"/>
      <c r="G75" s="675"/>
      <c r="H75" s="537"/>
      <c r="I75" s="537"/>
      <c r="J75" s="676"/>
      <c r="K75" s="677"/>
      <c r="L75" s="678"/>
      <c r="M75" s="658"/>
      <c r="N75" s="547"/>
      <c r="P75" s="661"/>
    </row>
    <row r="76" spans="1:16" x14ac:dyDescent="0.25">
      <c r="A76" s="755">
        <v>66</v>
      </c>
      <c r="B76" s="516" t="s">
        <v>145</v>
      </c>
      <c r="C76" s="522" t="s">
        <v>457</v>
      </c>
      <c r="D76" s="658"/>
      <c r="E76" s="537"/>
      <c r="F76" s="537"/>
      <c r="G76" s="675"/>
      <c r="H76" s="537"/>
      <c r="I76" s="537"/>
      <c r="J76" s="676"/>
      <c r="K76" s="677"/>
      <c r="L76" s="678"/>
      <c r="M76" s="658"/>
      <c r="N76" s="547"/>
      <c r="P76" s="661"/>
    </row>
    <row r="77" spans="1:16" ht="25.5" x14ac:dyDescent="0.25">
      <c r="A77" s="755">
        <v>67</v>
      </c>
      <c r="B77" s="516" t="s">
        <v>147</v>
      </c>
      <c r="C77" s="522" t="s">
        <v>641</v>
      </c>
      <c r="D77" s="658"/>
      <c r="E77" s="537"/>
      <c r="F77" s="537"/>
      <c r="G77" s="675"/>
      <c r="H77" s="537"/>
      <c r="I77" s="537"/>
      <c r="J77" s="676"/>
      <c r="K77" s="677"/>
      <c r="L77" s="678"/>
      <c r="M77" s="658"/>
      <c r="N77" s="547"/>
      <c r="P77" s="661"/>
    </row>
    <row r="78" spans="1:16" ht="25.5" x14ac:dyDescent="0.25">
      <c r="A78" s="755">
        <v>68</v>
      </c>
      <c r="B78" s="516" t="s">
        <v>149</v>
      </c>
      <c r="C78" s="522" t="s">
        <v>463</v>
      </c>
      <c r="D78" s="658"/>
      <c r="E78" s="537"/>
      <c r="F78" s="537"/>
      <c r="G78" s="675"/>
      <c r="H78" s="537"/>
      <c r="I78" s="537"/>
      <c r="J78" s="676"/>
      <c r="K78" s="677"/>
      <c r="L78" s="678"/>
      <c r="M78" s="658"/>
      <c r="N78" s="547"/>
      <c r="P78" s="661"/>
    </row>
    <row r="79" spans="1:16" ht="25.5" x14ac:dyDescent="0.25">
      <c r="A79" s="755">
        <v>69</v>
      </c>
      <c r="B79" s="516" t="s">
        <v>151</v>
      </c>
      <c r="C79" s="522" t="s">
        <v>642</v>
      </c>
      <c r="D79" s="658"/>
      <c r="E79" s="537"/>
      <c r="F79" s="537"/>
      <c r="G79" s="675"/>
      <c r="H79" s="537"/>
      <c r="I79" s="537"/>
      <c r="J79" s="676"/>
      <c r="K79" s="677"/>
      <c r="L79" s="678"/>
      <c r="M79" s="658"/>
      <c r="N79" s="547"/>
      <c r="P79" s="661"/>
    </row>
    <row r="80" spans="1:16" ht="25.5" x14ac:dyDescent="0.25">
      <c r="A80" s="755">
        <v>70</v>
      </c>
      <c r="B80" s="516" t="s">
        <v>153</v>
      </c>
      <c r="C80" s="522" t="s">
        <v>643</v>
      </c>
      <c r="D80" s="658"/>
      <c r="E80" s="537"/>
      <c r="F80" s="537"/>
      <c r="G80" s="675"/>
      <c r="H80" s="537"/>
      <c r="I80" s="537"/>
      <c r="J80" s="676"/>
      <c r="K80" s="677"/>
      <c r="L80" s="678"/>
      <c r="M80" s="658"/>
      <c r="N80" s="547"/>
      <c r="P80" s="661"/>
    </row>
    <row r="81" spans="1:16" ht="25.5" x14ac:dyDescent="0.25">
      <c r="A81" s="755">
        <v>71</v>
      </c>
      <c r="B81" s="521" t="s">
        <v>155</v>
      </c>
      <c r="C81" s="522" t="s">
        <v>644</v>
      </c>
      <c r="D81" s="658"/>
      <c r="E81" s="537"/>
      <c r="F81" s="537"/>
      <c r="G81" s="675"/>
      <c r="H81" s="537"/>
      <c r="I81" s="537"/>
      <c r="J81" s="676"/>
      <c r="K81" s="677"/>
      <c r="L81" s="678"/>
      <c r="M81" s="658"/>
      <c r="N81" s="547"/>
      <c r="P81" s="661"/>
    </row>
    <row r="82" spans="1:16" ht="25.5" x14ac:dyDescent="0.25">
      <c r="A82" s="755">
        <v>72</v>
      </c>
      <c r="B82" s="516" t="s">
        <v>157</v>
      </c>
      <c r="C82" s="517" t="s">
        <v>645</v>
      </c>
      <c r="D82" s="658"/>
      <c r="E82" s="537"/>
      <c r="F82" s="537"/>
      <c r="G82" s="675"/>
      <c r="H82" s="537"/>
      <c r="I82" s="537"/>
      <c r="J82" s="676"/>
      <c r="K82" s="677"/>
      <c r="L82" s="678"/>
      <c r="M82" s="658"/>
      <c r="N82" s="547"/>
      <c r="P82" s="661"/>
    </row>
    <row r="83" spans="1:16" ht="25.5" x14ac:dyDescent="0.25">
      <c r="A83" s="755">
        <v>73</v>
      </c>
      <c r="B83" s="521" t="s">
        <v>159</v>
      </c>
      <c r="C83" s="522" t="s">
        <v>646</v>
      </c>
      <c r="D83" s="658"/>
      <c r="E83" s="537"/>
      <c r="F83" s="537"/>
      <c r="G83" s="675"/>
      <c r="H83" s="537"/>
      <c r="I83" s="537"/>
      <c r="J83" s="676"/>
      <c r="K83" s="677"/>
      <c r="L83" s="678"/>
      <c r="M83" s="658"/>
      <c r="N83" s="547"/>
      <c r="P83" s="661"/>
    </row>
    <row r="84" spans="1:16" x14ac:dyDescent="0.25">
      <c r="A84" s="755">
        <v>74</v>
      </c>
      <c r="B84" s="516" t="s">
        <v>161</v>
      </c>
      <c r="C84" s="522" t="s">
        <v>162</v>
      </c>
      <c r="D84" s="658"/>
      <c r="E84" s="537"/>
      <c r="F84" s="537"/>
      <c r="G84" s="675"/>
      <c r="H84" s="537"/>
      <c r="I84" s="537"/>
      <c r="J84" s="676"/>
      <c r="K84" s="677"/>
      <c r="L84" s="678"/>
      <c r="M84" s="658"/>
      <c r="N84" s="547"/>
      <c r="P84" s="661"/>
    </row>
    <row r="85" spans="1:16" x14ac:dyDescent="0.25">
      <c r="A85" s="755">
        <v>75</v>
      </c>
      <c r="B85" s="521" t="s">
        <v>163</v>
      </c>
      <c r="C85" s="522" t="s">
        <v>458</v>
      </c>
      <c r="D85" s="658"/>
      <c r="E85" s="537"/>
      <c r="F85" s="537"/>
      <c r="G85" s="675"/>
      <c r="H85" s="537"/>
      <c r="I85" s="537"/>
      <c r="J85" s="676"/>
      <c r="K85" s="677"/>
      <c r="L85" s="678"/>
      <c r="M85" s="658"/>
      <c r="N85" s="547"/>
      <c r="P85" s="661"/>
    </row>
    <row r="86" spans="1:16" x14ac:dyDescent="0.25">
      <c r="A86" s="755">
        <v>76</v>
      </c>
      <c r="B86" s="521" t="s">
        <v>165</v>
      </c>
      <c r="C86" s="522" t="s">
        <v>166</v>
      </c>
      <c r="D86" s="658"/>
      <c r="E86" s="537"/>
      <c r="F86" s="537"/>
      <c r="G86" s="675"/>
      <c r="H86" s="537"/>
      <c r="I86" s="537"/>
      <c r="J86" s="676"/>
      <c r="K86" s="677"/>
      <c r="L86" s="678"/>
      <c r="M86" s="658"/>
      <c r="N86" s="547"/>
      <c r="P86" s="661"/>
    </row>
    <row r="87" spans="1:16" x14ac:dyDescent="0.25">
      <c r="A87" s="755">
        <v>77</v>
      </c>
      <c r="B87" s="516" t="s">
        <v>167</v>
      </c>
      <c r="C87" s="522" t="s">
        <v>168</v>
      </c>
      <c r="D87" s="658"/>
      <c r="E87" s="537"/>
      <c r="F87" s="537"/>
      <c r="G87" s="675"/>
      <c r="H87" s="537"/>
      <c r="I87" s="537"/>
      <c r="J87" s="676"/>
      <c r="K87" s="677"/>
      <c r="L87" s="678"/>
      <c r="M87" s="658"/>
      <c r="N87" s="547"/>
      <c r="P87" s="661"/>
    </row>
    <row r="88" spans="1:16" x14ac:dyDescent="0.25">
      <c r="A88" s="755">
        <v>78</v>
      </c>
      <c r="B88" s="516" t="s">
        <v>169</v>
      </c>
      <c r="C88" s="522" t="s">
        <v>170</v>
      </c>
      <c r="D88" s="658"/>
      <c r="E88" s="537"/>
      <c r="F88" s="537"/>
      <c r="G88" s="675"/>
      <c r="H88" s="537"/>
      <c r="I88" s="537"/>
      <c r="J88" s="676"/>
      <c r="K88" s="677"/>
      <c r="L88" s="678"/>
      <c r="M88" s="658"/>
      <c r="N88" s="547"/>
      <c r="P88" s="661"/>
    </row>
    <row r="89" spans="1:16" x14ac:dyDescent="0.25">
      <c r="A89" s="755">
        <v>79</v>
      </c>
      <c r="B89" s="516" t="s">
        <v>171</v>
      </c>
      <c r="C89" s="522" t="s">
        <v>172</v>
      </c>
      <c r="D89" s="658"/>
      <c r="E89" s="537"/>
      <c r="F89" s="537"/>
      <c r="G89" s="675"/>
      <c r="H89" s="537"/>
      <c r="I89" s="537"/>
      <c r="J89" s="676"/>
      <c r="K89" s="677"/>
      <c r="L89" s="678"/>
      <c r="M89" s="658"/>
      <c r="N89" s="547"/>
      <c r="P89" s="661"/>
    </row>
    <row r="90" spans="1:16" x14ac:dyDescent="0.25">
      <c r="A90" s="755">
        <v>80</v>
      </c>
      <c r="B90" s="516" t="s">
        <v>173</v>
      </c>
      <c r="C90" s="522" t="s">
        <v>616</v>
      </c>
      <c r="D90" s="658"/>
      <c r="E90" s="537"/>
      <c r="F90" s="537"/>
      <c r="G90" s="675"/>
      <c r="H90" s="537"/>
      <c r="I90" s="537"/>
      <c r="J90" s="676"/>
      <c r="K90" s="677"/>
      <c r="L90" s="678"/>
      <c r="M90" s="658"/>
      <c r="N90" s="547"/>
      <c r="P90" s="661"/>
    </row>
    <row r="91" spans="1:16" x14ac:dyDescent="0.25">
      <c r="A91" s="755">
        <v>81</v>
      </c>
      <c r="B91" s="516" t="s">
        <v>175</v>
      </c>
      <c r="C91" s="784" t="s">
        <v>746</v>
      </c>
      <c r="D91" s="658"/>
      <c r="E91" s="537"/>
      <c r="F91" s="537"/>
      <c r="G91" s="675"/>
      <c r="H91" s="537"/>
      <c r="I91" s="537"/>
      <c r="J91" s="676"/>
      <c r="K91" s="677"/>
      <c r="L91" s="678"/>
      <c r="M91" s="658"/>
      <c r="N91" s="547"/>
      <c r="P91" s="661"/>
    </row>
    <row r="92" spans="1:16" x14ac:dyDescent="0.25">
      <c r="A92" s="755">
        <v>82</v>
      </c>
      <c r="B92" s="533" t="s">
        <v>177</v>
      </c>
      <c r="C92" s="532" t="s">
        <v>749</v>
      </c>
      <c r="D92" s="658"/>
      <c r="E92" s="537"/>
      <c r="F92" s="537"/>
      <c r="G92" s="675"/>
      <c r="H92" s="537"/>
      <c r="I92" s="537"/>
      <c r="J92" s="676"/>
      <c r="K92" s="677"/>
      <c r="L92" s="678"/>
      <c r="M92" s="658"/>
      <c r="N92" s="547"/>
      <c r="P92" s="661"/>
    </row>
    <row r="93" spans="1:16" ht="25.5" x14ac:dyDescent="0.25">
      <c r="A93" s="1252">
        <v>83</v>
      </c>
      <c r="B93" s="1253" t="s">
        <v>178</v>
      </c>
      <c r="C93" s="534" t="s">
        <v>750</v>
      </c>
      <c r="D93" s="658"/>
      <c r="E93" s="537"/>
      <c r="F93" s="537"/>
      <c r="G93" s="675"/>
      <c r="H93" s="537"/>
      <c r="I93" s="537"/>
      <c r="J93" s="676"/>
      <c r="K93" s="677"/>
      <c r="L93" s="678"/>
      <c r="M93" s="658"/>
      <c r="N93" s="547"/>
      <c r="P93" s="661"/>
    </row>
    <row r="94" spans="1:16" ht="25.5" x14ac:dyDescent="0.25">
      <c r="A94" s="1252"/>
      <c r="B94" s="1253"/>
      <c r="C94" s="532" t="s">
        <v>179</v>
      </c>
      <c r="D94" s="658"/>
      <c r="E94" s="537"/>
      <c r="F94" s="537"/>
      <c r="G94" s="675"/>
      <c r="H94" s="537"/>
      <c r="I94" s="537"/>
      <c r="J94" s="676"/>
      <c r="K94" s="677"/>
      <c r="L94" s="678"/>
      <c r="M94" s="658"/>
      <c r="N94" s="547"/>
      <c r="P94" s="661"/>
    </row>
    <row r="95" spans="1:16" ht="25.5" x14ac:dyDescent="0.25">
      <c r="A95" s="1252"/>
      <c r="B95" s="1253"/>
      <c r="C95" s="532" t="s">
        <v>180</v>
      </c>
      <c r="D95" s="658"/>
      <c r="E95" s="537"/>
      <c r="F95" s="537"/>
      <c r="G95" s="675"/>
      <c r="H95" s="537"/>
      <c r="I95" s="537"/>
      <c r="J95" s="676"/>
      <c r="K95" s="677"/>
      <c r="L95" s="678"/>
      <c r="M95" s="658"/>
      <c r="N95" s="547"/>
      <c r="P95" s="661"/>
    </row>
    <row r="96" spans="1:16" ht="38.25" x14ac:dyDescent="0.25">
      <c r="A96" s="1252"/>
      <c r="B96" s="1253"/>
      <c r="C96" s="535" t="s">
        <v>509</v>
      </c>
      <c r="D96" s="658"/>
      <c r="E96" s="537"/>
      <c r="F96" s="537"/>
      <c r="G96" s="675"/>
      <c r="H96" s="537"/>
      <c r="I96" s="537"/>
      <c r="J96" s="676"/>
      <c r="K96" s="677"/>
      <c r="L96" s="678"/>
      <c r="M96" s="658"/>
      <c r="N96" s="547"/>
      <c r="P96" s="661"/>
    </row>
    <row r="97" spans="1:16" ht="25.5" x14ac:dyDescent="0.25">
      <c r="A97" s="755">
        <v>84</v>
      </c>
      <c r="B97" s="521" t="s">
        <v>181</v>
      </c>
      <c r="C97" s="522" t="s">
        <v>182</v>
      </c>
      <c r="D97" s="658"/>
      <c r="E97" s="537"/>
      <c r="F97" s="537"/>
      <c r="G97" s="675"/>
      <c r="H97" s="537"/>
      <c r="I97" s="537"/>
      <c r="J97" s="676"/>
      <c r="K97" s="677"/>
      <c r="L97" s="678"/>
      <c r="M97" s="658"/>
      <c r="N97" s="547"/>
      <c r="P97" s="661"/>
    </row>
    <row r="98" spans="1:16" x14ac:dyDescent="0.25">
      <c r="A98" s="755">
        <v>85</v>
      </c>
      <c r="B98" s="516" t="s">
        <v>183</v>
      </c>
      <c r="C98" s="522" t="s">
        <v>184</v>
      </c>
      <c r="D98" s="658"/>
      <c r="E98" s="537"/>
      <c r="F98" s="537"/>
      <c r="G98" s="675"/>
      <c r="H98" s="537"/>
      <c r="I98" s="537"/>
      <c r="J98" s="676"/>
      <c r="K98" s="677"/>
      <c r="L98" s="678"/>
      <c r="M98" s="658"/>
      <c r="N98" s="547"/>
      <c r="P98" s="661"/>
    </row>
    <row r="99" spans="1:16" x14ac:dyDescent="0.25">
      <c r="A99" s="755">
        <v>86</v>
      </c>
      <c r="B99" s="521" t="s">
        <v>185</v>
      </c>
      <c r="C99" s="522" t="s">
        <v>186</v>
      </c>
      <c r="D99" s="658"/>
      <c r="E99" s="537"/>
      <c r="F99" s="537"/>
      <c r="G99" s="675"/>
      <c r="H99" s="537"/>
      <c r="I99" s="537"/>
      <c r="J99" s="676"/>
      <c r="K99" s="677"/>
      <c r="L99" s="678"/>
      <c r="M99" s="658"/>
      <c r="N99" s="547"/>
      <c r="P99" s="661"/>
    </row>
    <row r="100" spans="1:16" x14ac:dyDescent="0.25">
      <c r="A100" s="755">
        <v>87</v>
      </c>
      <c r="B100" s="764" t="s">
        <v>187</v>
      </c>
      <c r="C100" s="524" t="s">
        <v>188</v>
      </c>
      <c r="D100" s="658">
        <v>2475</v>
      </c>
      <c r="E100" s="537"/>
      <c r="F100" s="537"/>
      <c r="G100" s="675">
        <f t="shared" ref="G100:G114" si="4">SUM(D100:F100)</f>
        <v>2475</v>
      </c>
      <c r="H100" s="537">
        <f>413-100</f>
        <v>313</v>
      </c>
      <c r="I100" s="537"/>
      <c r="J100" s="676">
        <f t="shared" ref="J100:J114" si="5">SUM(H100:I100)</f>
        <v>313</v>
      </c>
      <c r="K100" s="677"/>
      <c r="L100" s="678"/>
      <c r="M100" s="658"/>
      <c r="N100" s="547"/>
      <c r="P100" s="661"/>
    </row>
    <row r="101" spans="1:16" x14ac:dyDescent="0.25">
      <c r="A101" s="755">
        <v>88</v>
      </c>
      <c r="B101" s="516" t="s">
        <v>189</v>
      </c>
      <c r="C101" s="522" t="s">
        <v>190</v>
      </c>
      <c r="D101" s="658">
        <v>3375</v>
      </c>
      <c r="E101" s="537"/>
      <c r="F101" s="537"/>
      <c r="G101" s="675">
        <f t="shared" si="4"/>
        <v>3375</v>
      </c>
      <c r="H101" s="537">
        <f>562+30</f>
        <v>592</v>
      </c>
      <c r="I101" s="537"/>
      <c r="J101" s="676">
        <f t="shared" si="5"/>
        <v>592</v>
      </c>
      <c r="K101" s="677"/>
      <c r="L101" s="678"/>
      <c r="M101" s="658"/>
      <c r="N101" s="547"/>
      <c r="P101" s="661"/>
    </row>
    <row r="102" spans="1:16" x14ac:dyDescent="0.25">
      <c r="A102" s="755">
        <v>89</v>
      </c>
      <c r="B102" s="516" t="s">
        <v>191</v>
      </c>
      <c r="C102" s="522" t="s">
        <v>192</v>
      </c>
      <c r="D102" s="658">
        <f>6450+300</f>
        <v>6750</v>
      </c>
      <c r="E102" s="537"/>
      <c r="F102" s="537"/>
      <c r="G102" s="675">
        <f t="shared" si="4"/>
        <v>6750</v>
      </c>
      <c r="H102" s="537">
        <f>1075+60+150</f>
        <v>1285</v>
      </c>
      <c r="I102" s="537"/>
      <c r="J102" s="676">
        <f t="shared" si="5"/>
        <v>1285</v>
      </c>
      <c r="K102" s="677"/>
      <c r="L102" s="678"/>
      <c r="M102" s="658"/>
      <c r="N102" s="547"/>
      <c r="P102" s="661"/>
    </row>
    <row r="103" spans="1:16" x14ac:dyDescent="0.25">
      <c r="A103" s="755">
        <v>90</v>
      </c>
      <c r="B103" s="764" t="s">
        <v>193</v>
      </c>
      <c r="C103" s="524" t="s">
        <v>194</v>
      </c>
      <c r="D103" s="658">
        <v>3375</v>
      </c>
      <c r="E103" s="537"/>
      <c r="F103" s="537"/>
      <c r="G103" s="675">
        <f t="shared" si="4"/>
        <v>3375</v>
      </c>
      <c r="H103" s="537">
        <f>562-100</f>
        <v>462</v>
      </c>
      <c r="I103" s="537"/>
      <c r="J103" s="676">
        <f t="shared" si="5"/>
        <v>462</v>
      </c>
      <c r="K103" s="677"/>
      <c r="L103" s="678"/>
      <c r="M103" s="658"/>
      <c r="N103" s="547"/>
      <c r="P103" s="661"/>
    </row>
    <row r="104" spans="1:16" x14ac:dyDescent="0.25">
      <c r="A104" s="755">
        <v>91</v>
      </c>
      <c r="B104" s="516" t="s">
        <v>195</v>
      </c>
      <c r="C104" s="522" t="s">
        <v>196</v>
      </c>
      <c r="D104" s="658">
        <f>3750+107+500</f>
        <v>4357</v>
      </c>
      <c r="E104" s="537"/>
      <c r="F104" s="537"/>
      <c r="G104" s="675">
        <f t="shared" si="4"/>
        <v>4357</v>
      </c>
      <c r="H104" s="537">
        <f>625+20+40</f>
        <v>685</v>
      </c>
      <c r="I104" s="537"/>
      <c r="J104" s="676">
        <f t="shared" si="5"/>
        <v>685</v>
      </c>
      <c r="K104" s="677"/>
      <c r="L104" s="678"/>
      <c r="M104" s="658"/>
      <c r="N104" s="547"/>
      <c r="P104" s="661"/>
    </row>
    <row r="105" spans="1:16" x14ac:dyDescent="0.25">
      <c r="A105" s="755">
        <v>92</v>
      </c>
      <c r="B105" s="764" t="s">
        <v>197</v>
      </c>
      <c r="C105" s="524" t="s">
        <v>198</v>
      </c>
      <c r="D105" s="658">
        <v>6125</v>
      </c>
      <c r="E105" s="537"/>
      <c r="F105" s="537"/>
      <c r="G105" s="675">
        <f t="shared" si="4"/>
        <v>6125</v>
      </c>
      <c r="H105" s="537">
        <f>1028-150</f>
        <v>878</v>
      </c>
      <c r="I105" s="537"/>
      <c r="J105" s="676">
        <f t="shared" si="5"/>
        <v>878</v>
      </c>
      <c r="K105" s="677"/>
      <c r="L105" s="678"/>
      <c r="M105" s="658"/>
      <c r="N105" s="547"/>
      <c r="P105" s="661"/>
    </row>
    <row r="106" spans="1:16" x14ac:dyDescent="0.25">
      <c r="A106" s="755">
        <v>93</v>
      </c>
      <c r="B106" s="516" t="s">
        <v>199</v>
      </c>
      <c r="C106" s="522" t="s">
        <v>200</v>
      </c>
      <c r="D106" s="658">
        <f>4125+28</f>
        <v>4153</v>
      </c>
      <c r="E106" s="537"/>
      <c r="F106" s="537"/>
      <c r="G106" s="675">
        <f t="shared" si="4"/>
        <v>4153</v>
      </c>
      <c r="H106" s="537">
        <f>687-25</f>
        <v>662</v>
      </c>
      <c r="I106" s="537"/>
      <c r="J106" s="676">
        <f t="shared" si="5"/>
        <v>662</v>
      </c>
      <c r="K106" s="677"/>
      <c r="L106" s="678"/>
      <c r="M106" s="658"/>
      <c r="N106" s="547"/>
      <c r="P106" s="661"/>
    </row>
    <row r="107" spans="1:16" x14ac:dyDescent="0.25">
      <c r="A107" s="755">
        <v>94</v>
      </c>
      <c r="B107" s="521" t="s">
        <v>201</v>
      </c>
      <c r="C107" s="522" t="s">
        <v>202</v>
      </c>
      <c r="D107" s="658">
        <v>2250</v>
      </c>
      <c r="E107" s="537"/>
      <c r="F107" s="537"/>
      <c r="G107" s="675">
        <f t="shared" si="4"/>
        <v>2250</v>
      </c>
      <c r="H107" s="537">
        <v>375</v>
      </c>
      <c r="I107" s="537"/>
      <c r="J107" s="676">
        <f t="shared" si="5"/>
        <v>375</v>
      </c>
      <c r="K107" s="677"/>
      <c r="L107" s="678"/>
      <c r="M107" s="658"/>
      <c r="N107" s="547"/>
      <c r="P107" s="661"/>
    </row>
    <row r="108" spans="1:16" x14ac:dyDescent="0.25">
      <c r="A108" s="755">
        <v>95</v>
      </c>
      <c r="B108" s="516" t="s">
        <v>203</v>
      </c>
      <c r="C108" s="517" t="s">
        <v>204</v>
      </c>
      <c r="D108" s="658">
        <f>3000-800</f>
        <v>2200</v>
      </c>
      <c r="E108" s="537"/>
      <c r="F108" s="537"/>
      <c r="G108" s="675">
        <f t="shared" si="4"/>
        <v>2200</v>
      </c>
      <c r="H108" s="537">
        <f>500-125</f>
        <v>375</v>
      </c>
      <c r="I108" s="537"/>
      <c r="J108" s="676">
        <f t="shared" si="5"/>
        <v>375</v>
      </c>
      <c r="K108" s="677"/>
      <c r="L108" s="678"/>
      <c r="M108" s="658"/>
      <c r="N108" s="547"/>
      <c r="P108" s="661"/>
    </row>
    <row r="109" spans="1:16" x14ac:dyDescent="0.25">
      <c r="A109" s="755">
        <v>96</v>
      </c>
      <c r="B109" s="516" t="s">
        <v>205</v>
      </c>
      <c r="C109" s="524" t="s">
        <v>206</v>
      </c>
      <c r="D109" s="658">
        <f>3000+100</f>
        <v>3100</v>
      </c>
      <c r="E109" s="537"/>
      <c r="F109" s="537"/>
      <c r="G109" s="675">
        <f t="shared" si="4"/>
        <v>3100</v>
      </c>
      <c r="H109" s="537">
        <f>500+100</f>
        <v>600</v>
      </c>
      <c r="I109" s="537"/>
      <c r="J109" s="676">
        <f t="shared" si="5"/>
        <v>600</v>
      </c>
      <c r="K109" s="677"/>
      <c r="L109" s="678"/>
      <c r="M109" s="658"/>
      <c r="N109" s="547"/>
      <c r="P109" s="661"/>
    </row>
    <row r="110" spans="1:16" x14ac:dyDescent="0.25">
      <c r="A110" s="755">
        <v>97</v>
      </c>
      <c r="B110" s="521" t="s">
        <v>207</v>
      </c>
      <c r="C110" s="522" t="s">
        <v>208</v>
      </c>
      <c r="D110" s="658">
        <f>3750+83+700</f>
        <v>4533</v>
      </c>
      <c r="E110" s="537"/>
      <c r="F110" s="537"/>
      <c r="G110" s="675">
        <f t="shared" si="4"/>
        <v>4533</v>
      </c>
      <c r="H110" s="537">
        <f>625+100+100</f>
        <v>825</v>
      </c>
      <c r="I110" s="537"/>
      <c r="J110" s="676">
        <f t="shared" si="5"/>
        <v>825</v>
      </c>
      <c r="K110" s="677"/>
      <c r="L110" s="678"/>
      <c r="M110" s="658"/>
      <c r="N110" s="547"/>
      <c r="P110" s="661"/>
    </row>
    <row r="111" spans="1:16" x14ac:dyDescent="0.25">
      <c r="A111" s="755">
        <v>98</v>
      </c>
      <c r="B111" s="516" t="s">
        <v>209</v>
      </c>
      <c r="C111" s="517" t="s">
        <v>210</v>
      </c>
      <c r="D111" s="658">
        <f>2850+51</f>
        <v>2901</v>
      </c>
      <c r="E111" s="537"/>
      <c r="F111" s="537"/>
      <c r="G111" s="675">
        <f t="shared" si="4"/>
        <v>2901</v>
      </c>
      <c r="H111" s="537">
        <v>475</v>
      </c>
      <c r="I111" s="537"/>
      <c r="J111" s="676">
        <f t="shared" si="5"/>
        <v>475</v>
      </c>
      <c r="K111" s="677"/>
      <c r="L111" s="678"/>
      <c r="M111" s="658"/>
      <c r="N111" s="547"/>
      <c r="P111" s="661"/>
    </row>
    <row r="112" spans="1:16" x14ac:dyDescent="0.25">
      <c r="A112" s="755">
        <v>99</v>
      </c>
      <c r="B112" s="521" t="s">
        <v>211</v>
      </c>
      <c r="C112" s="522" t="s">
        <v>212</v>
      </c>
      <c r="D112" s="658">
        <v>4200</v>
      </c>
      <c r="E112" s="537"/>
      <c r="F112" s="537"/>
      <c r="G112" s="675">
        <f t="shared" si="4"/>
        <v>4200</v>
      </c>
      <c r="H112" s="537">
        <v>700</v>
      </c>
      <c r="I112" s="537"/>
      <c r="J112" s="676">
        <f t="shared" si="5"/>
        <v>700</v>
      </c>
      <c r="K112" s="677"/>
      <c r="L112" s="678"/>
      <c r="M112" s="658"/>
      <c r="N112" s="547"/>
      <c r="P112" s="661"/>
    </row>
    <row r="113" spans="1:16" x14ac:dyDescent="0.25">
      <c r="A113" s="755">
        <v>100</v>
      </c>
      <c r="B113" s="521" t="s">
        <v>213</v>
      </c>
      <c r="C113" s="522" t="s">
        <v>214</v>
      </c>
      <c r="D113" s="658">
        <v>6750</v>
      </c>
      <c r="E113" s="537"/>
      <c r="F113" s="537"/>
      <c r="G113" s="675">
        <f t="shared" si="4"/>
        <v>6750</v>
      </c>
      <c r="H113" s="537">
        <v>1125</v>
      </c>
      <c r="I113" s="537"/>
      <c r="J113" s="676">
        <f t="shared" si="5"/>
        <v>1125</v>
      </c>
      <c r="K113" s="677"/>
      <c r="L113" s="678"/>
      <c r="M113" s="658"/>
      <c r="N113" s="547"/>
      <c r="P113" s="661"/>
    </row>
    <row r="114" spans="1:16" x14ac:dyDescent="0.25">
      <c r="A114" s="755">
        <v>101</v>
      </c>
      <c r="B114" s="516" t="s">
        <v>215</v>
      </c>
      <c r="C114" s="524" t="s">
        <v>216</v>
      </c>
      <c r="D114" s="658">
        <v>3225</v>
      </c>
      <c r="E114" s="537"/>
      <c r="F114" s="537"/>
      <c r="G114" s="675">
        <f t="shared" si="4"/>
        <v>3225</v>
      </c>
      <c r="H114" s="537">
        <f>538+20</f>
        <v>558</v>
      </c>
      <c r="I114" s="537"/>
      <c r="J114" s="676">
        <f t="shared" si="5"/>
        <v>558</v>
      </c>
      <c r="K114" s="677"/>
      <c r="L114" s="678"/>
      <c r="M114" s="658"/>
      <c r="N114" s="547"/>
      <c r="P114" s="661"/>
    </row>
    <row r="115" spans="1:16" x14ac:dyDescent="0.25">
      <c r="A115" s="755">
        <v>102</v>
      </c>
      <c r="B115" s="516" t="s">
        <v>217</v>
      </c>
      <c r="C115" s="517" t="s">
        <v>218</v>
      </c>
      <c r="D115" s="658"/>
      <c r="E115" s="537"/>
      <c r="F115" s="537"/>
      <c r="G115" s="675"/>
      <c r="H115" s="537"/>
      <c r="I115" s="537"/>
      <c r="J115" s="676"/>
      <c r="K115" s="677"/>
      <c r="L115" s="678"/>
      <c r="M115" s="658"/>
      <c r="N115" s="547"/>
      <c r="P115" s="661"/>
    </row>
    <row r="116" spans="1:16" x14ac:dyDescent="0.25">
      <c r="A116" s="755">
        <v>103</v>
      </c>
      <c r="B116" s="516" t="s">
        <v>219</v>
      </c>
      <c r="C116" s="517" t="s">
        <v>220</v>
      </c>
      <c r="D116" s="658"/>
      <c r="E116" s="537"/>
      <c r="F116" s="537"/>
      <c r="G116" s="675"/>
      <c r="H116" s="537"/>
      <c r="I116" s="537"/>
      <c r="J116" s="676"/>
      <c r="K116" s="677"/>
      <c r="L116" s="678"/>
      <c r="M116" s="658"/>
      <c r="N116" s="547"/>
      <c r="P116" s="661"/>
    </row>
    <row r="117" spans="1:16" x14ac:dyDescent="0.25">
      <c r="A117" s="755">
        <v>104</v>
      </c>
      <c r="B117" s="516" t="s">
        <v>221</v>
      </c>
      <c r="C117" s="517" t="s">
        <v>222</v>
      </c>
      <c r="D117" s="658"/>
      <c r="E117" s="537"/>
      <c r="F117" s="537"/>
      <c r="G117" s="675"/>
      <c r="H117" s="537"/>
      <c r="I117" s="537"/>
      <c r="J117" s="676"/>
      <c r="K117" s="677"/>
      <c r="L117" s="678"/>
      <c r="M117" s="658"/>
      <c r="N117" s="547"/>
      <c r="P117" s="661"/>
    </row>
    <row r="118" spans="1:16" x14ac:dyDescent="0.25">
      <c r="A118" s="755">
        <v>105</v>
      </c>
      <c r="B118" s="521" t="s">
        <v>223</v>
      </c>
      <c r="C118" s="522" t="s">
        <v>224</v>
      </c>
      <c r="D118" s="658"/>
      <c r="E118" s="537"/>
      <c r="F118" s="537"/>
      <c r="G118" s="675"/>
      <c r="H118" s="537"/>
      <c r="I118" s="537"/>
      <c r="J118" s="676"/>
      <c r="K118" s="677"/>
      <c r="L118" s="678"/>
      <c r="M118" s="658"/>
      <c r="N118" s="547"/>
      <c r="P118" s="661"/>
    </row>
    <row r="119" spans="1:16" x14ac:dyDescent="0.25">
      <c r="A119" s="755">
        <v>106</v>
      </c>
      <c r="B119" s="764" t="s">
        <v>225</v>
      </c>
      <c r="C119" s="524" t="s">
        <v>226</v>
      </c>
      <c r="D119" s="658"/>
      <c r="E119" s="537"/>
      <c r="F119" s="537"/>
      <c r="G119" s="675"/>
      <c r="H119" s="537"/>
      <c r="I119" s="537"/>
      <c r="J119" s="676"/>
      <c r="K119" s="677"/>
      <c r="L119" s="678"/>
      <c r="M119" s="658"/>
      <c r="N119" s="547"/>
      <c r="P119" s="661"/>
    </row>
    <row r="120" spans="1:16" ht="25.5" x14ac:dyDescent="0.25">
      <c r="A120" s="755">
        <v>107</v>
      </c>
      <c r="B120" s="516" t="s">
        <v>227</v>
      </c>
      <c r="C120" s="517" t="s">
        <v>228</v>
      </c>
      <c r="D120" s="658"/>
      <c r="E120" s="537"/>
      <c r="F120" s="537"/>
      <c r="G120" s="675"/>
      <c r="H120" s="537"/>
      <c r="I120" s="537"/>
      <c r="J120" s="676"/>
      <c r="K120" s="677"/>
      <c r="L120" s="678"/>
      <c r="M120" s="658"/>
      <c r="N120" s="547"/>
      <c r="P120" s="661"/>
    </row>
    <row r="121" spans="1:16" x14ac:dyDescent="0.25">
      <c r="A121" s="755">
        <v>108</v>
      </c>
      <c r="B121" s="516" t="s">
        <v>229</v>
      </c>
      <c r="C121" s="517" t="s">
        <v>230</v>
      </c>
      <c r="D121" s="658"/>
      <c r="E121" s="537"/>
      <c r="F121" s="537"/>
      <c r="G121" s="675"/>
      <c r="H121" s="537"/>
      <c r="I121" s="537"/>
      <c r="J121" s="676"/>
      <c r="K121" s="677"/>
      <c r="L121" s="678"/>
      <c r="M121" s="658"/>
      <c r="N121" s="547"/>
      <c r="P121" s="661"/>
    </row>
    <row r="122" spans="1:16" x14ac:dyDescent="0.25">
      <c r="A122" s="755">
        <v>109</v>
      </c>
      <c r="B122" s="521" t="s">
        <v>231</v>
      </c>
      <c r="C122" s="522" t="s">
        <v>232</v>
      </c>
      <c r="D122" s="658"/>
      <c r="E122" s="537"/>
      <c r="F122" s="537"/>
      <c r="G122" s="675"/>
      <c r="H122" s="537"/>
      <c r="I122" s="537"/>
      <c r="J122" s="676"/>
      <c r="K122" s="677"/>
      <c r="L122" s="678"/>
      <c r="M122" s="658"/>
      <c r="N122" s="547"/>
      <c r="P122" s="661"/>
    </row>
    <row r="123" spans="1:16" x14ac:dyDescent="0.25">
      <c r="A123" s="755">
        <v>110</v>
      </c>
      <c r="B123" s="521" t="s">
        <v>233</v>
      </c>
      <c r="C123" s="522" t="s">
        <v>234</v>
      </c>
      <c r="D123" s="658"/>
      <c r="E123" s="537"/>
      <c r="F123" s="537"/>
      <c r="G123" s="675"/>
      <c r="H123" s="537"/>
      <c r="I123" s="537"/>
      <c r="J123" s="676"/>
      <c r="K123" s="677"/>
      <c r="L123" s="678"/>
      <c r="M123" s="658"/>
      <c r="N123" s="547"/>
      <c r="P123" s="661"/>
    </row>
    <row r="124" spans="1:16" x14ac:dyDescent="0.25">
      <c r="A124" s="755">
        <v>111</v>
      </c>
      <c r="B124" s="536" t="s">
        <v>235</v>
      </c>
      <c r="C124" s="517" t="s">
        <v>236</v>
      </c>
      <c r="D124" s="658"/>
      <c r="E124" s="537"/>
      <c r="F124" s="537"/>
      <c r="G124" s="675"/>
      <c r="H124" s="537"/>
      <c r="I124" s="537"/>
      <c r="J124" s="676"/>
      <c r="K124" s="677"/>
      <c r="L124" s="678"/>
      <c r="M124" s="658"/>
      <c r="N124" s="547"/>
      <c r="P124" s="661"/>
    </row>
    <row r="125" spans="1:16" x14ac:dyDescent="0.25">
      <c r="A125" s="755">
        <v>112</v>
      </c>
      <c r="B125" s="516" t="s">
        <v>237</v>
      </c>
      <c r="C125" s="517" t="s">
        <v>238</v>
      </c>
      <c r="D125" s="658"/>
      <c r="E125" s="537"/>
      <c r="F125" s="537"/>
      <c r="G125" s="675"/>
      <c r="H125" s="537"/>
      <c r="I125" s="537"/>
      <c r="J125" s="676"/>
      <c r="K125" s="677"/>
      <c r="L125" s="678"/>
      <c r="M125" s="658"/>
      <c r="N125" s="547"/>
      <c r="P125" s="661"/>
    </row>
    <row r="126" spans="1:16" x14ac:dyDescent="0.25">
      <c r="A126" s="755">
        <v>113</v>
      </c>
      <c r="B126" s="516" t="s">
        <v>239</v>
      </c>
      <c r="C126" s="522" t="s">
        <v>240</v>
      </c>
      <c r="D126" s="658"/>
      <c r="E126" s="537"/>
      <c r="F126" s="537"/>
      <c r="G126" s="675"/>
      <c r="H126" s="537"/>
      <c r="I126" s="537"/>
      <c r="J126" s="676"/>
      <c r="K126" s="677"/>
      <c r="L126" s="678"/>
      <c r="M126" s="658"/>
      <c r="N126" s="547"/>
      <c r="P126" s="661"/>
    </row>
    <row r="127" spans="1:16" x14ac:dyDescent="0.25">
      <c r="A127" s="755">
        <v>114</v>
      </c>
      <c r="B127" s="516" t="s">
        <v>241</v>
      </c>
      <c r="C127" s="517" t="s">
        <v>242</v>
      </c>
      <c r="D127" s="658"/>
      <c r="E127" s="537"/>
      <c r="F127" s="537"/>
      <c r="G127" s="675"/>
      <c r="H127" s="537"/>
      <c r="I127" s="537"/>
      <c r="J127" s="676"/>
      <c r="K127" s="677"/>
      <c r="L127" s="678"/>
      <c r="M127" s="658"/>
      <c r="N127" s="547"/>
      <c r="P127" s="661"/>
    </row>
    <row r="128" spans="1:16" x14ac:dyDescent="0.25">
      <c r="A128" s="755">
        <v>115</v>
      </c>
      <c r="B128" s="756" t="s">
        <v>243</v>
      </c>
      <c r="C128" s="532" t="s">
        <v>385</v>
      </c>
      <c r="D128" s="658"/>
      <c r="E128" s="537"/>
      <c r="F128" s="537"/>
      <c r="G128" s="675"/>
      <c r="H128" s="537"/>
      <c r="I128" s="537"/>
      <c r="J128" s="676"/>
      <c r="K128" s="677"/>
      <c r="L128" s="678"/>
      <c r="M128" s="658"/>
      <c r="N128" s="547"/>
      <c r="P128" s="661"/>
    </row>
    <row r="129" spans="1:16" x14ac:dyDescent="0.25">
      <c r="A129" s="755">
        <v>116</v>
      </c>
      <c r="B129" s="521" t="s">
        <v>244</v>
      </c>
      <c r="C129" s="522" t="s">
        <v>648</v>
      </c>
      <c r="D129" s="658"/>
      <c r="E129" s="537"/>
      <c r="F129" s="537"/>
      <c r="G129" s="675"/>
      <c r="H129" s="537"/>
      <c r="I129" s="537"/>
      <c r="J129" s="676"/>
      <c r="K129" s="677"/>
      <c r="L129" s="678"/>
      <c r="M129" s="658"/>
      <c r="N129" s="547"/>
      <c r="P129" s="661"/>
    </row>
    <row r="130" spans="1:16" x14ac:dyDescent="0.25">
      <c r="A130" s="755">
        <v>117</v>
      </c>
      <c r="B130" s="521" t="s">
        <v>246</v>
      </c>
      <c r="C130" s="522" t="s">
        <v>247</v>
      </c>
      <c r="D130" s="658"/>
      <c r="E130" s="537"/>
      <c r="F130" s="537"/>
      <c r="G130" s="675"/>
      <c r="H130" s="537"/>
      <c r="I130" s="537"/>
      <c r="J130" s="676"/>
      <c r="K130" s="677"/>
      <c r="L130" s="678"/>
      <c r="M130" s="658"/>
      <c r="N130" s="547"/>
      <c r="P130" s="661"/>
    </row>
    <row r="131" spans="1:16" x14ac:dyDescent="0.25">
      <c r="A131" s="755">
        <v>118</v>
      </c>
      <c r="B131" s="521" t="s">
        <v>248</v>
      </c>
      <c r="C131" s="522" t="s">
        <v>249</v>
      </c>
      <c r="D131" s="658"/>
      <c r="E131" s="537"/>
      <c r="F131" s="537"/>
      <c r="G131" s="675"/>
      <c r="H131" s="537"/>
      <c r="I131" s="537"/>
      <c r="J131" s="676"/>
      <c r="K131" s="677"/>
      <c r="L131" s="678"/>
      <c r="M131" s="658"/>
      <c r="N131" s="547"/>
      <c r="P131" s="661"/>
    </row>
    <row r="132" spans="1:16" x14ac:dyDescent="0.25">
      <c r="A132" s="755">
        <v>119</v>
      </c>
      <c r="B132" s="521" t="s">
        <v>250</v>
      </c>
      <c r="C132" s="522" t="s">
        <v>251</v>
      </c>
      <c r="D132" s="658"/>
      <c r="E132" s="537"/>
      <c r="F132" s="537"/>
      <c r="G132" s="675"/>
      <c r="H132" s="537"/>
      <c r="I132" s="537"/>
      <c r="J132" s="676"/>
      <c r="K132" s="677"/>
      <c r="L132" s="678"/>
      <c r="M132" s="658"/>
      <c r="N132" s="547"/>
      <c r="P132" s="661"/>
    </row>
    <row r="133" spans="1:16" x14ac:dyDescent="0.25">
      <c r="A133" s="755">
        <v>120</v>
      </c>
      <c r="B133" s="537" t="s">
        <v>252</v>
      </c>
      <c r="C133" s="538" t="s">
        <v>253</v>
      </c>
      <c r="D133" s="658"/>
      <c r="E133" s="537"/>
      <c r="F133" s="537"/>
      <c r="G133" s="675"/>
      <c r="H133" s="537"/>
      <c r="I133" s="537"/>
      <c r="J133" s="676"/>
      <c r="K133" s="677"/>
      <c r="L133" s="678"/>
      <c r="M133" s="658"/>
      <c r="N133" s="547"/>
      <c r="P133" s="661"/>
    </row>
    <row r="134" spans="1:16" x14ac:dyDescent="0.25">
      <c r="A134" s="755">
        <v>121</v>
      </c>
      <c r="B134" s="516" t="s">
        <v>254</v>
      </c>
      <c r="C134" s="517" t="s">
        <v>255</v>
      </c>
      <c r="D134" s="658"/>
      <c r="E134" s="537"/>
      <c r="F134" s="537"/>
      <c r="G134" s="675"/>
      <c r="H134" s="537"/>
      <c r="I134" s="537"/>
      <c r="J134" s="676"/>
      <c r="K134" s="677"/>
      <c r="L134" s="678"/>
      <c r="M134" s="658"/>
      <c r="N134" s="547"/>
      <c r="P134" s="661"/>
    </row>
    <row r="135" spans="1:16" x14ac:dyDescent="0.25">
      <c r="A135" s="755">
        <v>122</v>
      </c>
      <c r="B135" s="521" t="s">
        <v>256</v>
      </c>
      <c r="C135" s="522" t="s">
        <v>257</v>
      </c>
      <c r="D135" s="658"/>
      <c r="E135" s="537"/>
      <c r="F135" s="537"/>
      <c r="G135" s="675"/>
      <c r="H135" s="537"/>
      <c r="I135" s="537"/>
      <c r="J135" s="676"/>
      <c r="K135" s="677"/>
      <c r="L135" s="678"/>
      <c r="M135" s="658"/>
      <c r="N135" s="547"/>
      <c r="P135" s="661"/>
    </row>
    <row r="136" spans="1:16" x14ac:dyDescent="0.25">
      <c r="A136" s="755">
        <v>123</v>
      </c>
      <c r="B136" s="516" t="s">
        <v>258</v>
      </c>
      <c r="C136" s="522" t="s">
        <v>259</v>
      </c>
      <c r="D136" s="658"/>
      <c r="E136" s="537"/>
      <c r="F136" s="537"/>
      <c r="G136" s="675"/>
      <c r="H136" s="537"/>
      <c r="I136" s="537"/>
      <c r="J136" s="676"/>
      <c r="K136" s="677"/>
      <c r="L136" s="678"/>
      <c r="M136" s="658"/>
      <c r="N136" s="547"/>
      <c r="P136" s="661"/>
    </row>
    <row r="137" spans="1:16" x14ac:dyDescent="0.25">
      <c r="A137" s="755">
        <v>124</v>
      </c>
      <c r="B137" s="521" t="s">
        <v>260</v>
      </c>
      <c r="C137" s="522" t="s">
        <v>261</v>
      </c>
      <c r="D137" s="658"/>
      <c r="E137" s="537"/>
      <c r="F137" s="537"/>
      <c r="G137" s="675"/>
      <c r="H137" s="537"/>
      <c r="I137" s="537"/>
      <c r="J137" s="676"/>
      <c r="K137" s="677"/>
      <c r="L137" s="678"/>
      <c r="M137" s="658"/>
      <c r="N137" s="547"/>
      <c r="P137" s="661"/>
    </row>
    <row r="138" spans="1:16" x14ac:dyDescent="0.25">
      <c r="A138" s="755">
        <v>125</v>
      </c>
      <c r="B138" s="521" t="s">
        <v>262</v>
      </c>
      <c r="C138" s="522" t="s">
        <v>263</v>
      </c>
      <c r="D138" s="658"/>
      <c r="E138" s="537"/>
      <c r="F138" s="537"/>
      <c r="G138" s="675"/>
      <c r="H138" s="537"/>
      <c r="I138" s="537"/>
      <c r="J138" s="676"/>
      <c r="K138" s="677"/>
      <c r="L138" s="678"/>
      <c r="M138" s="658"/>
      <c r="N138" s="547"/>
      <c r="P138" s="661"/>
    </row>
    <row r="139" spans="1:16" x14ac:dyDescent="0.25">
      <c r="A139" s="755">
        <v>126</v>
      </c>
      <c r="B139" s="516" t="s">
        <v>264</v>
      </c>
      <c r="C139" s="522" t="s">
        <v>265</v>
      </c>
      <c r="D139" s="658"/>
      <c r="E139" s="537"/>
      <c r="F139" s="537"/>
      <c r="G139" s="675"/>
      <c r="H139" s="537"/>
      <c r="I139" s="537"/>
      <c r="J139" s="676"/>
      <c r="K139" s="677"/>
      <c r="L139" s="678"/>
      <c r="M139" s="658"/>
      <c r="N139" s="547"/>
      <c r="P139" s="661"/>
    </row>
    <row r="140" spans="1:16" x14ac:dyDescent="0.25">
      <c r="A140" s="755">
        <v>127</v>
      </c>
      <c r="B140" s="521" t="s">
        <v>266</v>
      </c>
      <c r="C140" s="522" t="s">
        <v>267</v>
      </c>
      <c r="D140" s="658"/>
      <c r="E140" s="537"/>
      <c r="F140" s="537"/>
      <c r="G140" s="675"/>
      <c r="H140" s="537"/>
      <c r="I140" s="537"/>
      <c r="J140" s="676"/>
      <c r="K140" s="677"/>
      <c r="L140" s="678"/>
      <c r="M140" s="658"/>
      <c r="N140" s="547"/>
      <c r="P140" s="661"/>
    </row>
    <row r="141" spans="1:16" x14ac:dyDescent="0.25">
      <c r="A141" s="755">
        <v>128</v>
      </c>
      <c r="B141" s="516" t="s">
        <v>268</v>
      </c>
      <c r="C141" s="517" t="s">
        <v>269</v>
      </c>
      <c r="D141" s="658"/>
      <c r="E141" s="537"/>
      <c r="F141" s="537"/>
      <c r="G141" s="675"/>
      <c r="H141" s="537"/>
      <c r="I141" s="537"/>
      <c r="J141" s="676"/>
      <c r="K141" s="677"/>
      <c r="L141" s="678"/>
      <c r="M141" s="658"/>
      <c r="N141" s="547"/>
      <c r="P141" s="661"/>
    </row>
    <row r="142" spans="1:16" x14ac:dyDescent="0.25">
      <c r="A142" s="755">
        <v>129</v>
      </c>
      <c r="B142" s="516" t="s">
        <v>270</v>
      </c>
      <c r="C142" s="517" t="s">
        <v>271</v>
      </c>
      <c r="D142" s="658"/>
      <c r="E142" s="537"/>
      <c r="F142" s="537"/>
      <c r="G142" s="675"/>
      <c r="H142" s="537"/>
      <c r="I142" s="537"/>
      <c r="J142" s="676"/>
      <c r="K142" s="677"/>
      <c r="L142" s="678"/>
      <c r="M142" s="658"/>
      <c r="N142" s="547"/>
      <c r="P142" s="661"/>
    </row>
    <row r="143" spans="1:16" x14ac:dyDescent="0.25">
      <c r="A143" s="755">
        <v>130</v>
      </c>
      <c r="B143" s="521" t="s">
        <v>272</v>
      </c>
      <c r="C143" s="522" t="s">
        <v>273</v>
      </c>
      <c r="D143" s="658"/>
      <c r="E143" s="537"/>
      <c r="F143" s="537"/>
      <c r="G143" s="675"/>
      <c r="H143" s="537"/>
      <c r="I143" s="537"/>
      <c r="J143" s="676"/>
      <c r="K143" s="677"/>
      <c r="L143" s="678"/>
      <c r="M143" s="658"/>
      <c r="N143" s="547"/>
      <c r="P143" s="661"/>
    </row>
    <row r="144" spans="1:16" x14ac:dyDescent="0.25">
      <c r="A144" s="755">
        <v>131</v>
      </c>
      <c r="B144" s="521" t="s">
        <v>274</v>
      </c>
      <c r="C144" s="522" t="s">
        <v>275</v>
      </c>
      <c r="D144" s="658"/>
      <c r="E144" s="537"/>
      <c r="F144" s="537"/>
      <c r="G144" s="675"/>
      <c r="H144" s="537"/>
      <c r="I144" s="537"/>
      <c r="J144" s="676"/>
      <c r="K144" s="677"/>
      <c r="L144" s="678"/>
      <c r="M144" s="658"/>
      <c r="N144" s="547"/>
      <c r="P144" s="661"/>
    </row>
    <row r="145" spans="1:16" x14ac:dyDescent="0.25">
      <c r="A145" s="755">
        <v>132</v>
      </c>
      <c r="B145" s="521" t="s">
        <v>276</v>
      </c>
      <c r="C145" s="522" t="s">
        <v>277</v>
      </c>
      <c r="D145" s="658"/>
      <c r="E145" s="537"/>
      <c r="F145" s="537"/>
      <c r="G145" s="675"/>
      <c r="H145" s="537"/>
      <c r="I145" s="537"/>
      <c r="J145" s="676"/>
      <c r="K145" s="677"/>
      <c r="L145" s="678"/>
      <c r="M145" s="658"/>
      <c r="N145" s="547"/>
      <c r="P145" s="661"/>
    </row>
    <row r="146" spans="1:16" x14ac:dyDescent="0.25">
      <c r="A146" s="755">
        <v>133</v>
      </c>
      <c r="B146" s="521" t="s">
        <v>278</v>
      </c>
      <c r="C146" s="522" t="s">
        <v>279</v>
      </c>
      <c r="D146" s="658">
        <v>6750</v>
      </c>
      <c r="E146" s="537"/>
      <c r="F146" s="537"/>
      <c r="G146" s="675">
        <f t="shared" ref="G146:G152" si="6">SUM(D146:F146)</f>
        <v>6750</v>
      </c>
      <c r="H146" s="537">
        <f>1125+40</f>
        <v>1165</v>
      </c>
      <c r="I146" s="537"/>
      <c r="J146" s="676">
        <f t="shared" ref="J146:J152" si="7">SUM(H146:I146)</f>
        <v>1165</v>
      </c>
      <c r="K146" s="677"/>
      <c r="L146" s="678"/>
      <c r="M146" s="658"/>
      <c r="N146" s="547"/>
      <c r="P146" s="661"/>
    </row>
    <row r="147" spans="1:16" x14ac:dyDescent="0.25">
      <c r="A147" s="755">
        <v>134</v>
      </c>
      <c r="B147" s="521" t="s">
        <v>280</v>
      </c>
      <c r="C147" s="522" t="s">
        <v>281</v>
      </c>
      <c r="D147" s="658"/>
      <c r="E147" s="537"/>
      <c r="F147" s="537"/>
      <c r="G147" s="675"/>
      <c r="H147" s="537"/>
      <c r="I147" s="537"/>
      <c r="J147" s="676"/>
      <c r="K147" s="677"/>
      <c r="L147" s="678"/>
      <c r="M147" s="658"/>
      <c r="N147" s="547"/>
      <c r="P147" s="661"/>
    </row>
    <row r="148" spans="1:16" x14ac:dyDescent="0.25">
      <c r="A148" s="755">
        <v>135</v>
      </c>
      <c r="B148" s="516" t="s">
        <v>282</v>
      </c>
      <c r="C148" s="517" t="s">
        <v>283</v>
      </c>
      <c r="D148" s="658"/>
      <c r="E148" s="537"/>
      <c r="F148" s="537"/>
      <c r="G148" s="675"/>
      <c r="H148" s="537"/>
      <c r="I148" s="537"/>
      <c r="J148" s="676"/>
      <c r="K148" s="677"/>
      <c r="L148" s="678"/>
      <c r="M148" s="658"/>
      <c r="N148" s="547"/>
      <c r="P148" s="661"/>
    </row>
    <row r="149" spans="1:16" x14ac:dyDescent="0.25">
      <c r="A149" s="755">
        <v>136</v>
      </c>
      <c r="B149" s="521" t="s">
        <v>284</v>
      </c>
      <c r="C149" s="522" t="s">
        <v>285</v>
      </c>
      <c r="D149" s="658"/>
      <c r="E149" s="537"/>
      <c r="F149" s="537"/>
      <c r="G149" s="675"/>
      <c r="H149" s="537"/>
      <c r="I149" s="537"/>
      <c r="J149" s="676"/>
      <c r="K149" s="677"/>
      <c r="L149" s="678"/>
      <c r="M149" s="658"/>
      <c r="N149" s="547"/>
      <c r="P149" s="661"/>
    </row>
    <row r="150" spans="1:16" x14ac:dyDescent="0.25">
      <c r="A150" s="755">
        <v>137</v>
      </c>
      <c r="B150" s="539" t="s">
        <v>387</v>
      </c>
      <c r="C150" s="788" t="s">
        <v>388</v>
      </c>
      <c r="D150" s="658"/>
      <c r="E150" s="537"/>
      <c r="F150" s="537"/>
      <c r="G150" s="675"/>
      <c r="H150" s="537"/>
      <c r="I150" s="537"/>
      <c r="J150" s="676"/>
      <c r="K150" s="677"/>
      <c r="L150" s="678"/>
      <c r="M150" s="658"/>
      <c r="N150" s="547"/>
      <c r="P150" s="661"/>
    </row>
    <row r="151" spans="1:16" x14ac:dyDescent="0.25">
      <c r="A151" s="755">
        <v>138</v>
      </c>
      <c r="B151" s="540" t="s">
        <v>389</v>
      </c>
      <c r="C151" s="793" t="s">
        <v>390</v>
      </c>
      <c r="D151" s="658"/>
      <c r="E151" s="537"/>
      <c r="F151" s="537"/>
      <c r="G151" s="675"/>
      <c r="H151" s="537"/>
      <c r="I151" s="537"/>
      <c r="J151" s="681"/>
      <c r="K151" s="658"/>
      <c r="L151" s="547"/>
      <c r="M151" s="677"/>
      <c r="N151" s="547"/>
      <c r="P151" s="661"/>
    </row>
    <row r="152" spans="1:16" x14ac:dyDescent="0.25">
      <c r="A152" s="755">
        <v>139</v>
      </c>
      <c r="B152" s="539" t="s">
        <v>391</v>
      </c>
      <c r="C152" s="788" t="s">
        <v>392</v>
      </c>
      <c r="D152" s="798"/>
      <c r="E152" s="537">
        <v>419945</v>
      </c>
      <c r="F152" s="537">
        <v>99924</v>
      </c>
      <c r="G152" s="675">
        <f t="shared" si="6"/>
        <v>519869</v>
      </c>
      <c r="H152" s="799"/>
      <c r="I152" s="537">
        <v>151965</v>
      </c>
      <c r="J152" s="681">
        <f t="shared" si="7"/>
        <v>151965</v>
      </c>
      <c r="K152" s="658">
        <v>6603</v>
      </c>
      <c r="L152" s="547">
        <v>526080</v>
      </c>
      <c r="M152" s="677">
        <v>799</v>
      </c>
      <c r="N152" s="547">
        <v>41540</v>
      </c>
      <c r="P152" s="661"/>
    </row>
    <row r="153" spans="1:16" x14ac:dyDescent="0.25">
      <c r="A153" s="755">
        <v>140</v>
      </c>
      <c r="B153" s="754" t="s">
        <v>393</v>
      </c>
      <c r="C153" s="800" t="s">
        <v>394</v>
      </c>
      <c r="D153" s="677"/>
      <c r="E153" s="537"/>
      <c r="F153" s="537"/>
      <c r="G153" s="675"/>
      <c r="H153" s="537"/>
      <c r="I153" s="537"/>
      <c r="J153" s="681"/>
      <c r="K153" s="658"/>
      <c r="L153" s="547"/>
      <c r="M153" s="677"/>
      <c r="N153" s="547"/>
      <c r="P153" s="661"/>
    </row>
    <row r="154" spans="1:16" x14ac:dyDescent="0.25">
      <c r="A154" s="320">
        <v>141</v>
      </c>
      <c r="B154" s="801" t="s">
        <v>801</v>
      </c>
      <c r="C154" s="802" t="s">
        <v>800</v>
      </c>
      <c r="D154" s="677"/>
      <c r="E154" s="537"/>
      <c r="F154" s="537"/>
      <c r="G154" s="675"/>
      <c r="H154" s="537"/>
      <c r="I154" s="537"/>
      <c r="J154" s="681"/>
      <c r="K154" s="658"/>
      <c r="L154" s="547"/>
      <c r="M154" s="677"/>
      <c r="N154" s="547"/>
    </row>
    <row r="155" spans="1:16" ht="13.5" thickBot="1" x14ac:dyDescent="0.3">
      <c r="A155" s="454">
        <v>142</v>
      </c>
      <c r="B155" s="803" t="s">
        <v>810</v>
      </c>
      <c r="C155" s="804" t="s">
        <v>811</v>
      </c>
      <c r="D155" s="668"/>
      <c r="E155" s="666"/>
      <c r="F155" s="666"/>
      <c r="G155" s="688"/>
      <c r="H155" s="666"/>
      <c r="I155" s="666"/>
      <c r="J155" s="805"/>
      <c r="K155" s="665"/>
      <c r="L155" s="667"/>
      <c r="M155" s="668"/>
      <c r="N155" s="667"/>
    </row>
    <row r="156" spans="1:16" x14ac:dyDescent="0.25">
      <c r="G156" s="661"/>
    </row>
    <row r="157" spans="1:16" x14ac:dyDescent="0.25">
      <c r="G157" s="661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  <pageSetUpPr fitToPage="1"/>
  </sheetPr>
  <dimension ref="A1:R61"/>
  <sheetViews>
    <sheetView topLeftCell="A22" zoomScale="90" zoomScaleNormal="90" workbookViewId="0">
      <selection activeCell="I50" sqref="I50"/>
    </sheetView>
  </sheetViews>
  <sheetFormatPr defaultRowHeight="12.75" x14ac:dyDescent="0.25"/>
  <cols>
    <col min="1" max="1" width="6.140625" style="171" customWidth="1"/>
    <col min="2" max="2" width="12.140625" style="172" customWidth="1"/>
    <col min="3" max="3" width="35.28515625" style="153" customWidth="1"/>
    <col min="4" max="4" width="12.28515625" style="153" customWidth="1"/>
    <col min="5" max="5" width="10.5703125" style="173" customWidth="1"/>
    <col min="6" max="6" width="11" style="173" customWidth="1"/>
    <col min="7" max="7" width="15" style="173" customWidth="1"/>
    <col min="8" max="8" width="10.85546875" style="173" customWidth="1"/>
    <col min="9" max="9" width="10.42578125" style="173" customWidth="1"/>
    <col min="10" max="10" width="9" style="173" customWidth="1"/>
    <col min="11" max="12" width="13.85546875" style="173" customWidth="1"/>
    <col min="13" max="13" width="11.85546875" style="153" customWidth="1"/>
    <col min="14" max="16384" width="9.140625" style="153"/>
  </cols>
  <sheetData>
    <row r="1" spans="1:18" ht="22.5" customHeight="1" x14ac:dyDescent="0.25">
      <c r="A1" s="1350" t="s">
        <v>650</v>
      </c>
      <c r="B1" s="1350"/>
      <c r="C1" s="1350"/>
      <c r="D1" s="1350"/>
      <c r="E1" s="1350"/>
      <c r="F1" s="1350"/>
      <c r="G1" s="1350"/>
      <c r="H1" s="1350"/>
      <c r="I1" s="1350"/>
      <c r="J1" s="1350"/>
      <c r="K1" s="1350"/>
      <c r="L1" s="1350"/>
    </row>
    <row r="2" spans="1:18" ht="15" x14ac:dyDescent="0.25">
      <c r="A2" s="701"/>
      <c r="B2" s="702"/>
      <c r="C2" s="703"/>
      <c r="D2" s="703"/>
      <c r="E2" s="704"/>
      <c r="F2" s="704"/>
      <c r="G2" s="704"/>
      <c r="H2" s="704"/>
      <c r="I2" s="704"/>
      <c r="J2" s="704"/>
      <c r="K2" s="704"/>
      <c r="L2" s="704"/>
    </row>
    <row r="3" spans="1:18" ht="15.75" customHeight="1" x14ac:dyDescent="0.25">
      <c r="A3" s="1351" t="s">
        <v>0</v>
      </c>
      <c r="B3" s="1352" t="s">
        <v>302</v>
      </c>
      <c r="C3" s="1351" t="s">
        <v>292</v>
      </c>
      <c r="D3" s="1357" t="s">
        <v>651</v>
      </c>
      <c r="E3" s="1358"/>
      <c r="F3" s="1358"/>
      <c r="G3" s="1358"/>
      <c r="H3" s="1359"/>
      <c r="I3" s="1354" t="s">
        <v>652</v>
      </c>
      <c r="J3" s="1355"/>
      <c r="K3" s="1355"/>
      <c r="L3" s="1356"/>
    </row>
    <row r="4" spans="1:18" ht="28.5" customHeight="1" x14ac:dyDescent="0.25">
      <c r="A4" s="1351"/>
      <c r="B4" s="1353"/>
      <c r="C4" s="1351"/>
      <c r="D4" s="705" t="s">
        <v>653</v>
      </c>
      <c r="E4" s="706" t="s">
        <v>654</v>
      </c>
      <c r="F4" s="706" t="s">
        <v>655</v>
      </c>
      <c r="G4" s="707" t="s">
        <v>656</v>
      </c>
      <c r="H4" s="707" t="s">
        <v>6</v>
      </c>
      <c r="I4" s="706" t="s">
        <v>654</v>
      </c>
      <c r="J4" s="706" t="s">
        <v>655</v>
      </c>
      <c r="K4" s="707" t="s">
        <v>656</v>
      </c>
      <c r="L4" s="707" t="s">
        <v>6</v>
      </c>
    </row>
    <row r="5" spans="1:18" ht="12.75" customHeight="1" x14ac:dyDescent="0.25">
      <c r="A5" s="705"/>
      <c r="B5" s="708"/>
      <c r="C5" s="709" t="s">
        <v>6</v>
      </c>
      <c r="D5" s="710">
        <f>D6+D7</f>
        <v>12653</v>
      </c>
      <c r="E5" s="711">
        <f t="shared" ref="E5:K5" si="0">E6+E7</f>
        <v>171205</v>
      </c>
      <c r="F5" s="711">
        <f t="shared" si="0"/>
        <v>3638</v>
      </c>
      <c r="G5" s="710">
        <f t="shared" si="0"/>
        <v>34410</v>
      </c>
      <c r="H5" s="710">
        <f t="shared" si="0"/>
        <v>221906</v>
      </c>
      <c r="I5" s="711">
        <f t="shared" si="0"/>
        <v>77020</v>
      </c>
      <c r="J5" s="711">
        <f t="shared" si="0"/>
        <v>3082</v>
      </c>
      <c r="K5" s="710">
        <f t="shared" si="0"/>
        <v>5452</v>
      </c>
      <c r="L5" s="710">
        <f>L6+L7</f>
        <v>85554</v>
      </c>
    </row>
    <row r="6" spans="1:18" ht="12.75" customHeight="1" x14ac:dyDescent="0.25">
      <c r="A6" s="705"/>
      <c r="B6" s="708"/>
      <c r="C6" s="712" t="s">
        <v>14</v>
      </c>
      <c r="D6" s="713">
        <v>0</v>
      </c>
      <c r="E6" s="713">
        <v>0</v>
      </c>
      <c r="F6" s="713">
        <v>0</v>
      </c>
      <c r="G6" s="713">
        <v>0</v>
      </c>
      <c r="H6" s="706">
        <f>D6+E6+F6+G6</f>
        <v>0</v>
      </c>
      <c r="I6" s="706">
        <v>0</v>
      </c>
      <c r="J6" s="706">
        <v>0</v>
      </c>
      <c r="K6" s="706">
        <v>0</v>
      </c>
      <c r="L6" s="706">
        <f>I6+J6+K6</f>
        <v>0</v>
      </c>
    </row>
    <row r="7" spans="1:18" ht="12.75" customHeight="1" x14ac:dyDescent="0.25">
      <c r="A7" s="705"/>
      <c r="B7" s="708"/>
      <c r="C7" s="712" t="s">
        <v>15</v>
      </c>
      <c r="D7" s="710">
        <f>SUM(D8:D55)</f>
        <v>12653</v>
      </c>
      <c r="E7" s="710">
        <f t="shared" ref="E7:J7" si="1">SUM(E8:E55)</f>
        <v>171205</v>
      </c>
      <c r="F7" s="710">
        <f t="shared" si="1"/>
        <v>3638</v>
      </c>
      <c r="G7" s="710">
        <f t="shared" si="1"/>
        <v>34410</v>
      </c>
      <c r="H7" s="710">
        <f t="shared" si="1"/>
        <v>221906</v>
      </c>
      <c r="I7" s="710">
        <f t="shared" si="1"/>
        <v>77020</v>
      </c>
      <c r="J7" s="710">
        <f t="shared" si="1"/>
        <v>3082</v>
      </c>
      <c r="K7" s="710">
        <f>SUM(K8:K55)</f>
        <v>5452</v>
      </c>
      <c r="L7" s="710">
        <f>SUM(L8:L55)</f>
        <v>85554</v>
      </c>
    </row>
    <row r="8" spans="1:18" ht="12.75" customHeight="1" x14ac:dyDescent="0.25">
      <c r="A8" s="714">
        <v>1</v>
      </c>
      <c r="B8" s="715" t="s">
        <v>20</v>
      </c>
      <c r="C8" s="716" t="s">
        <v>21</v>
      </c>
      <c r="D8" s="713">
        <v>0</v>
      </c>
      <c r="E8" s="713">
        <v>2334</v>
      </c>
      <c r="F8" s="713">
        <v>14</v>
      </c>
      <c r="G8" s="713">
        <v>347</v>
      </c>
      <c r="H8" s="706">
        <f t="shared" ref="H8:H14" si="2">D8+E8+F8+G8</f>
        <v>2695</v>
      </c>
      <c r="I8" s="706">
        <v>0</v>
      </c>
      <c r="J8" s="706">
        <v>0</v>
      </c>
      <c r="K8" s="706">
        <v>0</v>
      </c>
      <c r="L8" s="706">
        <f t="shared" ref="L8:L55" si="3">I8+J8+K8</f>
        <v>0</v>
      </c>
      <c r="N8" s="174"/>
      <c r="O8" s="174"/>
      <c r="Q8" s="174"/>
      <c r="R8" s="174"/>
    </row>
    <row r="9" spans="1:18" ht="12.75" customHeight="1" x14ac:dyDescent="0.25">
      <c r="A9" s="714">
        <v>2</v>
      </c>
      <c r="B9" s="715" t="s">
        <v>26</v>
      </c>
      <c r="C9" s="716" t="s">
        <v>657</v>
      </c>
      <c r="D9" s="713">
        <v>0</v>
      </c>
      <c r="E9" s="713">
        <v>7507</v>
      </c>
      <c r="F9" s="713">
        <v>0</v>
      </c>
      <c r="G9" s="713">
        <v>2246</v>
      </c>
      <c r="H9" s="706">
        <f t="shared" si="2"/>
        <v>9753</v>
      </c>
      <c r="I9" s="706">
        <v>4590</v>
      </c>
      <c r="J9" s="706">
        <v>0</v>
      </c>
      <c r="K9" s="706">
        <v>0</v>
      </c>
      <c r="L9" s="706">
        <f t="shared" si="3"/>
        <v>4590</v>
      </c>
      <c r="N9" s="174"/>
      <c r="O9" s="174"/>
      <c r="Q9" s="174"/>
      <c r="R9" s="174"/>
    </row>
    <row r="10" spans="1:18" ht="12.75" customHeight="1" x14ac:dyDescent="0.25">
      <c r="A10" s="714">
        <v>3</v>
      </c>
      <c r="B10" s="715" t="s">
        <v>28</v>
      </c>
      <c r="C10" s="716" t="s">
        <v>29</v>
      </c>
      <c r="D10" s="713">
        <v>0</v>
      </c>
      <c r="E10" s="713">
        <v>2536</v>
      </c>
      <c r="F10" s="713">
        <v>4</v>
      </c>
      <c r="G10" s="713">
        <v>8</v>
      </c>
      <c r="H10" s="706">
        <f t="shared" si="2"/>
        <v>2548</v>
      </c>
      <c r="I10" s="706">
        <v>0</v>
      </c>
      <c r="J10" s="706">
        <v>0</v>
      </c>
      <c r="K10" s="706">
        <v>0</v>
      </c>
      <c r="L10" s="706">
        <f t="shared" si="3"/>
        <v>0</v>
      </c>
      <c r="N10" s="174"/>
      <c r="O10" s="174"/>
      <c r="Q10" s="174"/>
      <c r="R10" s="174"/>
    </row>
    <row r="11" spans="1:18" ht="12.75" customHeight="1" x14ac:dyDescent="0.25">
      <c r="A11" s="714">
        <v>4</v>
      </c>
      <c r="B11" s="715" t="s">
        <v>48</v>
      </c>
      <c r="C11" s="716" t="s">
        <v>49</v>
      </c>
      <c r="D11" s="713">
        <v>0</v>
      </c>
      <c r="E11" s="713">
        <v>1609</v>
      </c>
      <c r="F11" s="713">
        <v>78</v>
      </c>
      <c r="G11" s="713">
        <v>432</v>
      </c>
      <c r="H11" s="706">
        <f t="shared" si="2"/>
        <v>2119</v>
      </c>
      <c r="I11" s="706">
        <v>0</v>
      </c>
      <c r="J11" s="706">
        <v>0</v>
      </c>
      <c r="K11" s="706">
        <v>0</v>
      </c>
      <c r="L11" s="706">
        <f t="shared" si="3"/>
        <v>0</v>
      </c>
      <c r="N11" s="174"/>
      <c r="O11" s="174"/>
      <c r="Q11" s="174"/>
      <c r="R11" s="174"/>
    </row>
    <row r="12" spans="1:18" ht="12.75" customHeight="1" x14ac:dyDescent="0.25">
      <c r="A12" s="714">
        <v>5</v>
      </c>
      <c r="B12" s="715" t="s">
        <v>50</v>
      </c>
      <c r="C12" s="716" t="s">
        <v>51</v>
      </c>
      <c r="D12" s="713">
        <v>0</v>
      </c>
      <c r="E12" s="713">
        <v>5188</v>
      </c>
      <c r="F12" s="713">
        <v>0</v>
      </c>
      <c r="G12" s="713">
        <v>1546</v>
      </c>
      <c r="H12" s="706">
        <f t="shared" si="2"/>
        <v>6734</v>
      </c>
      <c r="I12" s="706">
        <v>1251</v>
      </c>
      <c r="J12" s="706">
        <v>0</v>
      </c>
      <c r="K12" s="706">
        <v>0</v>
      </c>
      <c r="L12" s="706">
        <f t="shared" si="3"/>
        <v>1251</v>
      </c>
      <c r="N12" s="174"/>
      <c r="O12" s="174"/>
      <c r="Q12" s="174"/>
      <c r="R12" s="174"/>
    </row>
    <row r="13" spans="1:18" ht="12.75" customHeight="1" x14ac:dyDescent="0.25">
      <c r="A13" s="714">
        <v>6</v>
      </c>
      <c r="B13" s="715" t="s">
        <v>56</v>
      </c>
      <c r="C13" s="716" t="s">
        <v>658</v>
      </c>
      <c r="D13" s="713">
        <v>0</v>
      </c>
      <c r="E13" s="713">
        <v>1271</v>
      </c>
      <c r="F13" s="713">
        <v>0</v>
      </c>
      <c r="G13" s="713">
        <v>0</v>
      </c>
      <c r="H13" s="706">
        <f t="shared" si="2"/>
        <v>1271</v>
      </c>
      <c r="I13" s="706">
        <v>0</v>
      </c>
      <c r="J13" s="706">
        <v>0</v>
      </c>
      <c r="K13" s="706">
        <v>0</v>
      </c>
      <c r="L13" s="706">
        <f t="shared" si="3"/>
        <v>0</v>
      </c>
      <c r="N13" s="174"/>
      <c r="O13" s="174"/>
      <c r="Q13" s="174"/>
      <c r="R13" s="174"/>
    </row>
    <row r="14" spans="1:18" ht="12.75" customHeight="1" x14ac:dyDescent="0.25">
      <c r="A14" s="714">
        <v>7</v>
      </c>
      <c r="B14" s="715" t="s">
        <v>58</v>
      </c>
      <c r="C14" s="716" t="s">
        <v>59</v>
      </c>
      <c r="D14" s="713">
        <v>0</v>
      </c>
      <c r="E14" s="713">
        <v>2942</v>
      </c>
      <c r="F14" s="713">
        <v>89</v>
      </c>
      <c r="G14" s="713">
        <v>561</v>
      </c>
      <c r="H14" s="706">
        <f t="shared" si="2"/>
        <v>3592</v>
      </c>
      <c r="I14" s="706">
        <v>1933</v>
      </c>
      <c r="J14" s="706">
        <v>420</v>
      </c>
      <c r="K14" s="706">
        <v>87</v>
      </c>
      <c r="L14" s="706">
        <f t="shared" si="3"/>
        <v>2440</v>
      </c>
      <c r="N14" s="174"/>
      <c r="O14" s="174"/>
      <c r="Q14" s="174"/>
      <c r="R14" s="174"/>
    </row>
    <row r="15" spans="1:18" ht="12.75" customHeight="1" x14ac:dyDescent="0.25">
      <c r="A15" s="714">
        <v>8</v>
      </c>
      <c r="B15" s="715" t="s">
        <v>62</v>
      </c>
      <c r="C15" s="716" t="s">
        <v>63</v>
      </c>
      <c r="D15" s="713">
        <v>0</v>
      </c>
      <c r="E15" s="713">
        <v>0</v>
      </c>
      <c r="F15" s="713">
        <v>0</v>
      </c>
      <c r="G15" s="713">
        <v>0</v>
      </c>
      <c r="H15" s="713">
        <v>0</v>
      </c>
      <c r="I15" s="706">
        <v>1749</v>
      </c>
      <c r="J15" s="706">
        <v>591</v>
      </c>
      <c r="K15" s="706">
        <v>163</v>
      </c>
      <c r="L15" s="706">
        <f t="shared" si="3"/>
        <v>2503</v>
      </c>
      <c r="N15" s="174"/>
      <c r="O15" s="174"/>
      <c r="Q15" s="174"/>
      <c r="R15" s="174"/>
    </row>
    <row r="16" spans="1:18" ht="12.75" customHeight="1" x14ac:dyDescent="0.25">
      <c r="A16" s="714">
        <v>9</v>
      </c>
      <c r="B16" s="715" t="s">
        <v>66</v>
      </c>
      <c r="C16" s="716" t="s">
        <v>481</v>
      </c>
      <c r="D16" s="713">
        <v>0</v>
      </c>
      <c r="E16" s="713">
        <v>7392</v>
      </c>
      <c r="F16" s="713">
        <v>184</v>
      </c>
      <c r="G16" s="713">
        <v>1197</v>
      </c>
      <c r="H16" s="706">
        <f>D16+E16+F16+G16</f>
        <v>8773</v>
      </c>
      <c r="I16" s="706">
        <v>2849</v>
      </c>
      <c r="J16" s="706">
        <v>205</v>
      </c>
      <c r="K16" s="706">
        <v>0</v>
      </c>
      <c r="L16" s="706">
        <f t="shared" si="3"/>
        <v>3054</v>
      </c>
      <c r="N16" s="174"/>
      <c r="O16" s="174"/>
      <c r="Q16" s="174"/>
      <c r="R16" s="174"/>
    </row>
    <row r="17" spans="1:18" ht="12.75" customHeight="1" x14ac:dyDescent="0.25">
      <c r="A17" s="714">
        <v>10</v>
      </c>
      <c r="B17" s="715" t="s">
        <v>68</v>
      </c>
      <c r="C17" s="716" t="s">
        <v>69</v>
      </c>
      <c r="D17" s="713">
        <v>0</v>
      </c>
      <c r="E17" s="713">
        <v>1329</v>
      </c>
      <c r="F17" s="713">
        <v>124</v>
      </c>
      <c r="G17" s="713">
        <v>395</v>
      </c>
      <c r="H17" s="706">
        <f t="shared" ref="H17:H55" si="4">D17+E17+F17+G17</f>
        <v>1848</v>
      </c>
      <c r="I17" s="706">
        <v>0</v>
      </c>
      <c r="J17" s="706">
        <v>0</v>
      </c>
      <c r="K17" s="706">
        <v>0</v>
      </c>
      <c r="L17" s="706">
        <f t="shared" si="3"/>
        <v>0</v>
      </c>
      <c r="N17" s="174"/>
      <c r="O17" s="174"/>
      <c r="Q17" s="174"/>
      <c r="R17" s="174"/>
    </row>
    <row r="18" spans="1:18" ht="12.75" customHeight="1" x14ac:dyDescent="0.25">
      <c r="A18" s="714">
        <v>11</v>
      </c>
      <c r="B18" s="715" t="s">
        <v>77</v>
      </c>
      <c r="C18" s="716" t="s">
        <v>78</v>
      </c>
      <c r="D18" s="713">
        <v>0</v>
      </c>
      <c r="E18" s="713">
        <v>3832</v>
      </c>
      <c r="F18" s="713">
        <v>15</v>
      </c>
      <c r="G18" s="713">
        <v>78</v>
      </c>
      <c r="H18" s="706">
        <f t="shared" si="4"/>
        <v>3925</v>
      </c>
      <c r="I18" s="706">
        <v>0</v>
      </c>
      <c r="J18" s="706">
        <v>0</v>
      </c>
      <c r="K18" s="706">
        <v>0</v>
      </c>
      <c r="L18" s="706">
        <f t="shared" si="3"/>
        <v>0</v>
      </c>
      <c r="N18" s="174"/>
      <c r="O18" s="174"/>
      <c r="Q18" s="174"/>
      <c r="R18" s="174"/>
    </row>
    <row r="19" spans="1:18" ht="12.75" customHeight="1" x14ac:dyDescent="0.25">
      <c r="A19" s="714">
        <v>12</v>
      </c>
      <c r="B19" s="715" t="s">
        <v>79</v>
      </c>
      <c r="C19" s="716" t="s">
        <v>80</v>
      </c>
      <c r="D19" s="713">
        <v>0</v>
      </c>
      <c r="E19" s="713">
        <v>6085</v>
      </c>
      <c r="F19" s="713">
        <v>441</v>
      </c>
      <c r="G19" s="713">
        <v>0</v>
      </c>
      <c r="H19" s="706">
        <f t="shared" si="4"/>
        <v>6526</v>
      </c>
      <c r="I19" s="706">
        <v>0</v>
      </c>
      <c r="J19" s="706">
        <v>0</v>
      </c>
      <c r="K19" s="706">
        <v>0</v>
      </c>
      <c r="L19" s="706">
        <f t="shared" si="3"/>
        <v>0</v>
      </c>
      <c r="N19" s="174"/>
      <c r="O19" s="174"/>
      <c r="Q19" s="174"/>
      <c r="R19" s="174"/>
    </row>
    <row r="20" spans="1:18" ht="12.75" customHeight="1" x14ac:dyDescent="0.25">
      <c r="A20" s="714">
        <v>13</v>
      </c>
      <c r="B20" s="715" t="s">
        <v>83</v>
      </c>
      <c r="C20" s="716" t="s">
        <v>84</v>
      </c>
      <c r="D20" s="713">
        <v>0</v>
      </c>
      <c r="E20" s="713">
        <v>3293</v>
      </c>
      <c r="F20" s="713">
        <v>98</v>
      </c>
      <c r="G20" s="713">
        <v>12</v>
      </c>
      <c r="H20" s="706">
        <f t="shared" si="4"/>
        <v>3403</v>
      </c>
      <c r="I20" s="706">
        <v>0</v>
      </c>
      <c r="J20" s="706">
        <v>0</v>
      </c>
      <c r="K20" s="706">
        <v>0</v>
      </c>
      <c r="L20" s="706">
        <f t="shared" si="3"/>
        <v>0</v>
      </c>
      <c r="N20" s="174"/>
      <c r="O20" s="174"/>
      <c r="Q20" s="174"/>
      <c r="R20" s="174"/>
    </row>
    <row r="21" spans="1:18" ht="12.75" customHeight="1" x14ac:dyDescent="0.25">
      <c r="A21" s="714">
        <v>14</v>
      </c>
      <c r="B21" s="715" t="s">
        <v>87</v>
      </c>
      <c r="C21" s="716" t="s">
        <v>88</v>
      </c>
      <c r="D21" s="713">
        <v>0</v>
      </c>
      <c r="E21" s="713">
        <v>3655</v>
      </c>
      <c r="F21" s="713">
        <v>1</v>
      </c>
      <c r="G21" s="713">
        <v>802</v>
      </c>
      <c r="H21" s="706">
        <f t="shared" si="4"/>
        <v>4458</v>
      </c>
      <c r="I21" s="706">
        <v>0</v>
      </c>
      <c r="J21" s="706">
        <v>0</v>
      </c>
      <c r="K21" s="706">
        <v>0</v>
      </c>
      <c r="L21" s="706">
        <f t="shared" si="3"/>
        <v>0</v>
      </c>
      <c r="N21" s="174"/>
      <c r="O21" s="174"/>
      <c r="Q21" s="174"/>
      <c r="R21" s="174"/>
    </row>
    <row r="22" spans="1:18" ht="12.75" customHeight="1" x14ac:dyDescent="0.25">
      <c r="A22" s="714">
        <v>15</v>
      </c>
      <c r="B22" s="715" t="s">
        <v>97</v>
      </c>
      <c r="C22" s="716" t="s">
        <v>659</v>
      </c>
      <c r="D22" s="713">
        <v>0</v>
      </c>
      <c r="E22" s="713">
        <v>548</v>
      </c>
      <c r="F22" s="713">
        <v>15</v>
      </c>
      <c r="G22" s="713">
        <v>109</v>
      </c>
      <c r="H22" s="706">
        <f>D22+E22+F22+G22</f>
        <v>672</v>
      </c>
      <c r="I22" s="706">
        <v>210</v>
      </c>
      <c r="J22" s="706">
        <v>0</v>
      </c>
      <c r="K22" s="706">
        <v>0</v>
      </c>
      <c r="L22" s="706">
        <f t="shared" si="3"/>
        <v>210</v>
      </c>
      <c r="N22" s="174"/>
      <c r="O22" s="174"/>
      <c r="Q22" s="174"/>
      <c r="R22" s="174"/>
    </row>
    <row r="23" spans="1:18" ht="12.75" customHeight="1" x14ac:dyDescent="0.25">
      <c r="A23" s="714">
        <v>16</v>
      </c>
      <c r="B23" s="715" t="s">
        <v>99</v>
      </c>
      <c r="C23" s="716" t="s">
        <v>660</v>
      </c>
      <c r="D23" s="713">
        <v>0</v>
      </c>
      <c r="E23" s="713">
        <v>4569</v>
      </c>
      <c r="F23" s="713">
        <v>203</v>
      </c>
      <c r="G23" s="713">
        <v>96</v>
      </c>
      <c r="H23" s="706">
        <f>D23+E23+F23+G23</f>
        <v>4868</v>
      </c>
      <c r="I23" s="706">
        <v>5204</v>
      </c>
      <c r="J23" s="706">
        <v>198</v>
      </c>
      <c r="K23" s="706">
        <v>139</v>
      </c>
      <c r="L23" s="706">
        <f t="shared" si="3"/>
        <v>5541</v>
      </c>
      <c r="N23" s="174"/>
      <c r="O23" s="174"/>
      <c r="Q23" s="174"/>
      <c r="R23" s="174"/>
    </row>
    <row r="24" spans="1:18" ht="12.75" customHeight="1" x14ac:dyDescent="0.25">
      <c r="A24" s="714">
        <v>17</v>
      </c>
      <c r="B24" s="715" t="s">
        <v>103</v>
      </c>
      <c r="C24" s="716" t="s">
        <v>104</v>
      </c>
      <c r="D24" s="713">
        <v>0</v>
      </c>
      <c r="E24" s="713">
        <v>1093</v>
      </c>
      <c r="F24" s="713">
        <v>37</v>
      </c>
      <c r="G24" s="713">
        <v>1</v>
      </c>
      <c r="H24" s="706">
        <f t="shared" si="4"/>
        <v>1131</v>
      </c>
      <c r="I24" s="706">
        <v>0</v>
      </c>
      <c r="J24" s="706">
        <v>0</v>
      </c>
      <c r="K24" s="706">
        <v>0</v>
      </c>
      <c r="L24" s="706">
        <f t="shared" si="3"/>
        <v>0</v>
      </c>
      <c r="N24" s="174"/>
      <c r="O24" s="174"/>
      <c r="Q24" s="174"/>
      <c r="R24" s="174"/>
    </row>
    <row r="25" spans="1:18" ht="12.75" customHeight="1" x14ac:dyDescent="0.25">
      <c r="A25" s="714">
        <v>18</v>
      </c>
      <c r="B25" s="715" t="s">
        <v>109</v>
      </c>
      <c r="C25" s="716" t="s">
        <v>110</v>
      </c>
      <c r="D25" s="713">
        <v>0</v>
      </c>
      <c r="E25" s="713">
        <v>748</v>
      </c>
      <c r="F25" s="713">
        <v>0</v>
      </c>
      <c r="G25" s="713">
        <v>0</v>
      </c>
      <c r="H25" s="706">
        <f t="shared" si="4"/>
        <v>748</v>
      </c>
      <c r="I25" s="706">
        <v>0</v>
      </c>
      <c r="J25" s="706">
        <v>0</v>
      </c>
      <c r="K25" s="706">
        <v>0</v>
      </c>
      <c r="L25" s="706">
        <f t="shared" si="3"/>
        <v>0</v>
      </c>
      <c r="N25" s="174"/>
      <c r="O25" s="174"/>
      <c r="Q25" s="174"/>
      <c r="R25" s="174"/>
    </row>
    <row r="26" spans="1:18" ht="12.75" customHeight="1" x14ac:dyDescent="0.25">
      <c r="A26" s="714">
        <v>19</v>
      </c>
      <c r="B26" s="715" t="s">
        <v>117</v>
      </c>
      <c r="C26" s="716" t="s">
        <v>118</v>
      </c>
      <c r="D26" s="713">
        <v>0</v>
      </c>
      <c r="E26" s="713">
        <v>5025</v>
      </c>
      <c r="F26" s="713">
        <v>0</v>
      </c>
      <c r="G26" s="713">
        <v>1</v>
      </c>
      <c r="H26" s="706">
        <f t="shared" si="4"/>
        <v>5026</v>
      </c>
      <c r="I26" s="706">
        <v>0</v>
      </c>
      <c r="J26" s="706">
        <v>0</v>
      </c>
      <c r="K26" s="706">
        <v>0</v>
      </c>
      <c r="L26" s="706">
        <f t="shared" si="3"/>
        <v>0</v>
      </c>
      <c r="N26" s="174"/>
      <c r="O26" s="174"/>
      <c r="Q26" s="174"/>
      <c r="R26" s="174"/>
    </row>
    <row r="27" spans="1:18" ht="12.75" customHeight="1" x14ac:dyDescent="0.25">
      <c r="A27" s="714">
        <v>20</v>
      </c>
      <c r="B27" s="715" t="s">
        <v>143</v>
      </c>
      <c r="C27" s="716" t="s">
        <v>144</v>
      </c>
      <c r="D27" s="713">
        <v>0</v>
      </c>
      <c r="E27" s="713">
        <v>854</v>
      </c>
      <c r="F27" s="713">
        <v>0</v>
      </c>
      <c r="G27" s="713">
        <v>0</v>
      </c>
      <c r="H27" s="706">
        <f t="shared" si="4"/>
        <v>854</v>
      </c>
      <c r="I27" s="706">
        <v>0</v>
      </c>
      <c r="J27" s="706">
        <v>0</v>
      </c>
      <c r="K27" s="706">
        <v>0</v>
      </c>
      <c r="L27" s="706">
        <f t="shared" si="3"/>
        <v>0</v>
      </c>
      <c r="N27" s="174"/>
      <c r="O27" s="174"/>
      <c r="Q27" s="174"/>
      <c r="R27" s="174"/>
    </row>
    <row r="28" spans="1:18" ht="12.75" customHeight="1" x14ac:dyDescent="0.25">
      <c r="A28" s="714">
        <v>21</v>
      </c>
      <c r="B28" s="715" t="s">
        <v>161</v>
      </c>
      <c r="C28" s="716" t="s">
        <v>661</v>
      </c>
      <c r="D28" s="713">
        <v>0</v>
      </c>
      <c r="E28" s="713">
        <v>2209</v>
      </c>
      <c r="F28" s="713">
        <v>148</v>
      </c>
      <c r="G28" s="713">
        <v>0</v>
      </c>
      <c r="H28" s="706">
        <f t="shared" si="4"/>
        <v>2357</v>
      </c>
      <c r="I28" s="706">
        <v>0</v>
      </c>
      <c r="J28" s="706">
        <v>0</v>
      </c>
      <c r="K28" s="706">
        <v>0</v>
      </c>
      <c r="L28" s="706">
        <f t="shared" si="3"/>
        <v>0</v>
      </c>
      <c r="N28" s="174"/>
      <c r="O28" s="174"/>
      <c r="Q28" s="174"/>
      <c r="R28" s="174"/>
    </row>
    <row r="29" spans="1:18" ht="12.75" customHeight="1" x14ac:dyDescent="0.25">
      <c r="A29" s="714">
        <v>22</v>
      </c>
      <c r="B29" s="715" t="s">
        <v>163</v>
      </c>
      <c r="C29" s="716" t="s">
        <v>458</v>
      </c>
      <c r="D29" s="713">
        <v>0</v>
      </c>
      <c r="E29" s="713">
        <v>2557</v>
      </c>
      <c r="F29" s="713">
        <v>34</v>
      </c>
      <c r="G29" s="713">
        <v>0</v>
      </c>
      <c r="H29" s="706">
        <f t="shared" si="4"/>
        <v>2591</v>
      </c>
      <c r="I29" s="706">
        <v>0</v>
      </c>
      <c r="J29" s="706">
        <v>0</v>
      </c>
      <c r="K29" s="706">
        <v>0</v>
      </c>
      <c r="L29" s="706">
        <f t="shared" si="3"/>
        <v>0</v>
      </c>
      <c r="N29" s="174"/>
      <c r="O29" s="174"/>
      <c r="Q29" s="174"/>
      <c r="R29" s="174"/>
    </row>
    <row r="30" spans="1:18" ht="12.75" customHeight="1" x14ac:dyDescent="0.25">
      <c r="A30" s="714">
        <v>23</v>
      </c>
      <c r="B30" s="715" t="s">
        <v>165</v>
      </c>
      <c r="C30" s="716" t="s">
        <v>166</v>
      </c>
      <c r="D30" s="713">
        <v>601</v>
      </c>
      <c r="E30" s="713">
        <v>5835</v>
      </c>
      <c r="F30" s="713">
        <v>191</v>
      </c>
      <c r="G30" s="713">
        <v>332</v>
      </c>
      <c r="H30" s="706">
        <f t="shared" si="4"/>
        <v>6959</v>
      </c>
      <c r="I30" s="706">
        <v>0</v>
      </c>
      <c r="J30" s="706">
        <v>0</v>
      </c>
      <c r="K30" s="706">
        <v>0</v>
      </c>
      <c r="L30" s="706">
        <f t="shared" si="3"/>
        <v>0</v>
      </c>
      <c r="N30" s="174"/>
      <c r="O30" s="174"/>
      <c r="Q30" s="174"/>
      <c r="R30" s="174"/>
    </row>
    <row r="31" spans="1:18" ht="12.75" customHeight="1" x14ac:dyDescent="0.25">
      <c r="A31" s="714">
        <v>24</v>
      </c>
      <c r="B31" s="715" t="s">
        <v>169</v>
      </c>
      <c r="C31" s="716" t="s">
        <v>170</v>
      </c>
      <c r="D31" s="713">
        <v>5579</v>
      </c>
      <c r="E31" s="713">
        <v>10994</v>
      </c>
      <c r="F31" s="713">
        <v>490</v>
      </c>
      <c r="G31" s="713">
        <v>1560</v>
      </c>
      <c r="H31" s="706">
        <f t="shared" si="4"/>
        <v>18623</v>
      </c>
      <c r="I31" s="706">
        <v>0</v>
      </c>
      <c r="J31" s="706">
        <v>0</v>
      </c>
      <c r="K31" s="706">
        <v>0</v>
      </c>
      <c r="L31" s="706">
        <f t="shared" si="3"/>
        <v>0</v>
      </c>
      <c r="N31" s="174"/>
      <c r="O31" s="174"/>
      <c r="Q31" s="174"/>
      <c r="R31" s="174"/>
    </row>
    <row r="32" spans="1:18" ht="15" x14ac:dyDescent="0.25">
      <c r="A32" s="714">
        <v>25</v>
      </c>
      <c r="B32" s="715" t="s">
        <v>171</v>
      </c>
      <c r="C32" s="716" t="s">
        <v>662</v>
      </c>
      <c r="D32" s="713">
        <v>0</v>
      </c>
      <c r="E32" s="713">
        <v>4566</v>
      </c>
      <c r="F32" s="713">
        <v>29</v>
      </c>
      <c r="G32" s="713">
        <v>216</v>
      </c>
      <c r="H32" s="706">
        <f t="shared" si="4"/>
        <v>4811</v>
      </c>
      <c r="I32" s="706">
        <v>1631</v>
      </c>
      <c r="J32" s="706">
        <v>0</v>
      </c>
      <c r="K32" s="706">
        <v>0</v>
      </c>
      <c r="L32" s="706">
        <f t="shared" si="3"/>
        <v>1631</v>
      </c>
      <c r="N32" s="174"/>
      <c r="O32" s="174"/>
      <c r="Q32" s="174"/>
      <c r="R32" s="174"/>
    </row>
    <row r="33" spans="1:18" ht="12.75" customHeight="1" x14ac:dyDescent="0.25">
      <c r="A33" s="714">
        <v>26</v>
      </c>
      <c r="B33" s="715" t="s">
        <v>173</v>
      </c>
      <c r="C33" s="716" t="s">
        <v>663</v>
      </c>
      <c r="D33" s="713">
        <v>0</v>
      </c>
      <c r="E33" s="713">
        <v>1034</v>
      </c>
      <c r="F33" s="713">
        <v>42</v>
      </c>
      <c r="G33" s="713">
        <v>176</v>
      </c>
      <c r="H33" s="706">
        <f t="shared" si="4"/>
        <v>1252</v>
      </c>
      <c r="I33" s="706">
        <v>0</v>
      </c>
      <c r="J33" s="706">
        <v>0</v>
      </c>
      <c r="K33" s="706">
        <v>0</v>
      </c>
      <c r="L33" s="706">
        <f t="shared" si="3"/>
        <v>0</v>
      </c>
      <c r="N33" s="174"/>
      <c r="O33" s="174"/>
      <c r="Q33" s="174"/>
      <c r="R33" s="174"/>
    </row>
    <row r="34" spans="1:18" ht="12.75" customHeight="1" x14ac:dyDescent="0.25">
      <c r="A34" s="714">
        <v>27</v>
      </c>
      <c r="B34" s="717" t="s">
        <v>178</v>
      </c>
      <c r="C34" s="716" t="s">
        <v>664</v>
      </c>
      <c r="D34" s="713">
        <v>0</v>
      </c>
      <c r="E34" s="713">
        <v>735</v>
      </c>
      <c r="F34" s="713">
        <v>9</v>
      </c>
      <c r="G34" s="713">
        <v>102</v>
      </c>
      <c r="H34" s="706">
        <f t="shared" si="4"/>
        <v>846</v>
      </c>
      <c r="I34" s="706">
        <v>134</v>
      </c>
      <c r="J34" s="706">
        <v>12</v>
      </c>
      <c r="K34" s="706">
        <v>0</v>
      </c>
      <c r="L34" s="706">
        <f t="shared" si="3"/>
        <v>146</v>
      </c>
      <c r="N34" s="174"/>
      <c r="O34" s="174"/>
      <c r="Q34" s="174"/>
      <c r="R34" s="174"/>
    </row>
    <row r="35" spans="1:18" ht="12.75" customHeight="1" x14ac:dyDescent="0.25">
      <c r="A35" s="714">
        <v>28</v>
      </c>
      <c r="B35" s="715" t="s">
        <v>185</v>
      </c>
      <c r="C35" s="716" t="s">
        <v>665</v>
      </c>
      <c r="D35" s="713">
        <v>0</v>
      </c>
      <c r="E35" s="713">
        <v>4103</v>
      </c>
      <c r="F35" s="713">
        <v>112</v>
      </c>
      <c r="G35" s="713">
        <v>0</v>
      </c>
      <c r="H35" s="706">
        <f t="shared" si="4"/>
        <v>4215</v>
      </c>
      <c r="I35" s="706">
        <v>0</v>
      </c>
      <c r="J35" s="706">
        <v>0</v>
      </c>
      <c r="K35" s="706">
        <v>0</v>
      </c>
      <c r="L35" s="706">
        <f t="shared" si="3"/>
        <v>0</v>
      </c>
      <c r="N35" s="174"/>
      <c r="O35" s="174"/>
      <c r="Q35" s="174"/>
      <c r="R35" s="174"/>
    </row>
    <row r="36" spans="1:18" ht="12.75" customHeight="1" x14ac:dyDescent="0.25">
      <c r="A36" s="714">
        <v>29</v>
      </c>
      <c r="B36" s="715" t="s">
        <v>191</v>
      </c>
      <c r="C36" s="716" t="s">
        <v>192</v>
      </c>
      <c r="D36" s="713">
        <v>0</v>
      </c>
      <c r="E36" s="713">
        <v>387</v>
      </c>
      <c r="F36" s="713">
        <v>0</v>
      </c>
      <c r="G36" s="713">
        <v>0</v>
      </c>
      <c r="H36" s="706">
        <f t="shared" si="4"/>
        <v>387</v>
      </c>
      <c r="I36" s="706">
        <v>0</v>
      </c>
      <c r="J36" s="706">
        <v>0</v>
      </c>
      <c r="K36" s="706">
        <v>0</v>
      </c>
      <c r="L36" s="706">
        <f t="shared" si="3"/>
        <v>0</v>
      </c>
      <c r="N36" s="174"/>
      <c r="O36" s="174"/>
      <c r="Q36" s="174"/>
      <c r="R36" s="174"/>
    </row>
    <row r="37" spans="1:18" ht="12.75" customHeight="1" x14ac:dyDescent="0.25">
      <c r="A37" s="714">
        <v>30</v>
      </c>
      <c r="B37" s="715" t="s">
        <v>193</v>
      </c>
      <c r="C37" s="716" t="s">
        <v>194</v>
      </c>
      <c r="D37" s="713">
        <v>0</v>
      </c>
      <c r="E37" s="713">
        <v>951</v>
      </c>
      <c r="F37" s="713">
        <v>0</v>
      </c>
      <c r="G37" s="713">
        <v>0</v>
      </c>
      <c r="H37" s="706">
        <f t="shared" si="4"/>
        <v>951</v>
      </c>
      <c r="I37" s="706">
        <v>0</v>
      </c>
      <c r="J37" s="706">
        <v>0</v>
      </c>
      <c r="K37" s="706">
        <v>0</v>
      </c>
      <c r="L37" s="706">
        <f t="shared" si="3"/>
        <v>0</v>
      </c>
      <c r="N37" s="174"/>
      <c r="O37" s="174"/>
      <c r="Q37" s="174"/>
      <c r="R37" s="174"/>
    </row>
    <row r="38" spans="1:18" ht="12.75" customHeight="1" x14ac:dyDescent="0.25">
      <c r="A38" s="714">
        <v>31</v>
      </c>
      <c r="B38" s="715" t="s">
        <v>195</v>
      </c>
      <c r="C38" s="716" t="s">
        <v>196</v>
      </c>
      <c r="D38" s="713">
        <v>0</v>
      </c>
      <c r="E38" s="713">
        <v>754</v>
      </c>
      <c r="F38" s="713">
        <v>25</v>
      </c>
      <c r="G38" s="713">
        <v>164</v>
      </c>
      <c r="H38" s="706">
        <f t="shared" si="4"/>
        <v>943</v>
      </c>
      <c r="I38" s="706">
        <v>0</v>
      </c>
      <c r="J38" s="706">
        <v>0</v>
      </c>
      <c r="K38" s="706">
        <v>0</v>
      </c>
      <c r="L38" s="706">
        <f t="shared" si="3"/>
        <v>0</v>
      </c>
      <c r="N38" s="174"/>
      <c r="O38" s="174"/>
      <c r="Q38" s="174"/>
      <c r="R38" s="174"/>
    </row>
    <row r="39" spans="1:18" ht="12.75" customHeight="1" x14ac:dyDescent="0.25">
      <c r="A39" s="714">
        <v>32</v>
      </c>
      <c r="B39" s="715" t="s">
        <v>207</v>
      </c>
      <c r="C39" s="716" t="s">
        <v>208</v>
      </c>
      <c r="D39" s="713">
        <v>0</v>
      </c>
      <c r="E39" s="713">
        <v>1674</v>
      </c>
      <c r="F39" s="713">
        <v>79</v>
      </c>
      <c r="G39" s="713">
        <v>682</v>
      </c>
      <c r="H39" s="706">
        <f>D39+E39+F39+G39</f>
        <v>2435</v>
      </c>
      <c r="I39" s="706">
        <v>0</v>
      </c>
      <c r="J39" s="706">
        <v>0</v>
      </c>
      <c r="K39" s="706">
        <v>0</v>
      </c>
      <c r="L39" s="706">
        <f t="shared" si="3"/>
        <v>0</v>
      </c>
      <c r="N39" s="174"/>
      <c r="O39" s="174"/>
      <c r="Q39" s="174"/>
      <c r="R39" s="174"/>
    </row>
    <row r="40" spans="1:18" ht="12.75" customHeight="1" x14ac:dyDescent="0.25">
      <c r="A40" s="714">
        <v>33</v>
      </c>
      <c r="B40" s="715" t="s">
        <v>213</v>
      </c>
      <c r="C40" s="716" t="s">
        <v>214</v>
      </c>
      <c r="D40" s="713">
        <v>0</v>
      </c>
      <c r="E40" s="713">
        <v>1248</v>
      </c>
      <c r="F40" s="713">
        <v>88</v>
      </c>
      <c r="G40" s="713">
        <v>0</v>
      </c>
      <c r="H40" s="706">
        <f>D40+E40+F40+G40</f>
        <v>1336</v>
      </c>
      <c r="I40" s="706">
        <v>0</v>
      </c>
      <c r="J40" s="706">
        <v>0</v>
      </c>
      <c r="K40" s="706">
        <v>0</v>
      </c>
      <c r="L40" s="706">
        <f t="shared" si="3"/>
        <v>0</v>
      </c>
      <c r="N40" s="174"/>
      <c r="O40" s="174"/>
      <c r="Q40" s="174"/>
      <c r="R40" s="174"/>
    </row>
    <row r="41" spans="1:18" ht="12.75" customHeight="1" x14ac:dyDescent="0.25">
      <c r="A41" s="714">
        <v>34</v>
      </c>
      <c r="B41" s="715" t="s">
        <v>215</v>
      </c>
      <c r="C41" s="716" t="s">
        <v>216</v>
      </c>
      <c r="D41" s="713">
        <v>0</v>
      </c>
      <c r="E41" s="713">
        <v>180</v>
      </c>
      <c r="F41" s="713">
        <v>0</v>
      </c>
      <c r="G41" s="713">
        <v>0</v>
      </c>
      <c r="H41" s="706">
        <f>D41+E41+F41+G41</f>
        <v>180</v>
      </c>
      <c r="I41" s="706">
        <v>0</v>
      </c>
      <c r="J41" s="706">
        <v>0</v>
      </c>
      <c r="K41" s="706">
        <v>0</v>
      </c>
      <c r="L41" s="706">
        <f t="shared" si="3"/>
        <v>0</v>
      </c>
      <c r="N41" s="174"/>
      <c r="O41" s="174"/>
      <c r="Q41" s="174"/>
      <c r="R41" s="174"/>
    </row>
    <row r="42" spans="1:18" ht="12.75" customHeight="1" x14ac:dyDescent="0.25">
      <c r="A42" s="714">
        <v>35</v>
      </c>
      <c r="B42" s="715" t="s">
        <v>229</v>
      </c>
      <c r="C42" s="716" t="s">
        <v>230</v>
      </c>
      <c r="D42" s="713">
        <v>0</v>
      </c>
      <c r="E42" s="713">
        <v>0</v>
      </c>
      <c r="F42" s="713">
        <v>0</v>
      </c>
      <c r="G42" s="713">
        <v>0</v>
      </c>
      <c r="H42" s="713">
        <v>0</v>
      </c>
      <c r="I42" s="706">
        <v>1070</v>
      </c>
      <c r="J42" s="706">
        <v>0</v>
      </c>
      <c r="K42" s="706">
        <v>0</v>
      </c>
      <c r="L42" s="706">
        <f t="shared" si="3"/>
        <v>1070</v>
      </c>
      <c r="N42" s="174"/>
      <c r="O42" s="174"/>
      <c r="Q42" s="174"/>
      <c r="R42" s="174"/>
    </row>
    <row r="43" spans="1:18" ht="12.75" customHeight="1" x14ac:dyDescent="0.25">
      <c r="A43" s="714">
        <v>36</v>
      </c>
      <c r="B43" s="715" t="s">
        <v>233</v>
      </c>
      <c r="C43" s="716" t="s">
        <v>666</v>
      </c>
      <c r="D43" s="713">
        <v>0</v>
      </c>
      <c r="E43" s="713">
        <v>6999</v>
      </c>
      <c r="F43" s="713">
        <v>148</v>
      </c>
      <c r="G43" s="713">
        <v>1511</v>
      </c>
      <c r="H43" s="706">
        <f>D43+E43+F43+G43</f>
        <v>8658</v>
      </c>
      <c r="I43" s="706">
        <v>11726</v>
      </c>
      <c r="J43" s="706">
        <v>407</v>
      </c>
      <c r="K43" s="706">
        <v>413</v>
      </c>
      <c r="L43" s="706">
        <f t="shared" si="3"/>
        <v>12546</v>
      </c>
      <c r="N43" s="174"/>
      <c r="O43" s="174"/>
      <c r="Q43" s="174"/>
      <c r="R43" s="174"/>
    </row>
    <row r="44" spans="1:18" ht="12.75" customHeight="1" x14ac:dyDescent="0.25">
      <c r="A44" s="714">
        <v>37</v>
      </c>
      <c r="B44" s="715" t="s">
        <v>237</v>
      </c>
      <c r="C44" s="716" t="s">
        <v>667</v>
      </c>
      <c r="D44" s="713">
        <v>0</v>
      </c>
      <c r="E44" s="713">
        <v>0</v>
      </c>
      <c r="F44" s="713">
        <v>0</v>
      </c>
      <c r="G44" s="713">
        <v>0</v>
      </c>
      <c r="H44" s="713">
        <v>0</v>
      </c>
      <c r="I44" s="706">
        <v>2310</v>
      </c>
      <c r="J44" s="706">
        <v>275</v>
      </c>
      <c r="K44" s="706">
        <v>0</v>
      </c>
      <c r="L44" s="706">
        <f t="shared" si="3"/>
        <v>2585</v>
      </c>
      <c r="N44" s="174"/>
      <c r="O44" s="174"/>
      <c r="Q44" s="174"/>
      <c r="R44" s="174"/>
    </row>
    <row r="45" spans="1:18" ht="12.75" customHeight="1" x14ac:dyDescent="0.25">
      <c r="A45" s="714">
        <v>38</v>
      </c>
      <c r="B45" s="715" t="s">
        <v>243</v>
      </c>
      <c r="C45" s="716" t="s">
        <v>385</v>
      </c>
      <c r="D45" s="713">
        <v>0</v>
      </c>
      <c r="E45" s="713">
        <v>0</v>
      </c>
      <c r="F45" s="713">
        <v>0</v>
      </c>
      <c r="G45" s="713">
        <v>0</v>
      </c>
      <c r="H45" s="713">
        <v>0</v>
      </c>
      <c r="I45" s="706">
        <v>1459</v>
      </c>
      <c r="J45" s="706">
        <v>0</v>
      </c>
      <c r="K45" s="706">
        <v>0</v>
      </c>
      <c r="L45" s="706">
        <f t="shared" si="3"/>
        <v>1459</v>
      </c>
      <c r="N45" s="174"/>
      <c r="O45" s="174"/>
      <c r="Q45" s="174"/>
      <c r="R45" s="174"/>
    </row>
    <row r="46" spans="1:18" ht="12.75" customHeight="1" x14ac:dyDescent="0.25">
      <c r="A46" s="714">
        <v>39</v>
      </c>
      <c r="B46" s="715" t="s">
        <v>244</v>
      </c>
      <c r="C46" s="716" t="s">
        <v>517</v>
      </c>
      <c r="D46" s="713">
        <v>0</v>
      </c>
      <c r="E46" s="713">
        <v>990</v>
      </c>
      <c r="F46" s="713">
        <v>47</v>
      </c>
      <c r="G46" s="713">
        <v>0</v>
      </c>
      <c r="H46" s="706">
        <f t="shared" ref="H46:H54" si="5">D46+E46+F46+G46</f>
        <v>1037</v>
      </c>
      <c r="I46" s="706">
        <v>943</v>
      </c>
      <c r="J46" s="706">
        <v>65</v>
      </c>
      <c r="K46" s="706">
        <v>0</v>
      </c>
      <c r="L46" s="706">
        <f t="shared" si="3"/>
        <v>1008</v>
      </c>
      <c r="N46" s="174"/>
      <c r="O46" s="174"/>
      <c r="Q46" s="174"/>
      <c r="R46" s="174"/>
    </row>
    <row r="47" spans="1:18" ht="12.75" customHeight="1" x14ac:dyDescent="0.25">
      <c r="A47" s="714">
        <v>40</v>
      </c>
      <c r="B47" s="718" t="s">
        <v>258</v>
      </c>
      <c r="C47" s="716" t="s">
        <v>259</v>
      </c>
      <c r="D47" s="713">
        <v>2733</v>
      </c>
      <c r="E47" s="713">
        <v>12714</v>
      </c>
      <c r="F47" s="713">
        <v>109</v>
      </c>
      <c r="G47" s="713">
        <v>4471</v>
      </c>
      <c r="H47" s="706">
        <f t="shared" si="5"/>
        <v>20027</v>
      </c>
      <c r="I47" s="706">
        <v>6600</v>
      </c>
      <c r="J47" s="706">
        <v>0</v>
      </c>
      <c r="K47" s="706">
        <v>1291</v>
      </c>
      <c r="L47" s="706">
        <f t="shared" si="3"/>
        <v>7891</v>
      </c>
      <c r="N47" s="174"/>
      <c r="O47" s="174"/>
      <c r="Q47" s="174"/>
      <c r="R47" s="174"/>
    </row>
    <row r="48" spans="1:18" ht="12.75" customHeight="1" x14ac:dyDescent="0.25">
      <c r="A48" s="714">
        <v>41</v>
      </c>
      <c r="B48" s="717" t="s">
        <v>260</v>
      </c>
      <c r="C48" s="716" t="s">
        <v>398</v>
      </c>
      <c r="D48" s="713">
        <v>0</v>
      </c>
      <c r="E48" s="713">
        <v>29000</v>
      </c>
      <c r="F48" s="713">
        <v>0</v>
      </c>
      <c r="G48" s="713">
        <v>10750</v>
      </c>
      <c r="H48" s="706">
        <f t="shared" si="5"/>
        <v>39750</v>
      </c>
      <c r="I48" s="706">
        <v>15480</v>
      </c>
      <c r="J48" s="706">
        <v>0</v>
      </c>
      <c r="K48" s="706">
        <v>2585</v>
      </c>
      <c r="L48" s="706">
        <f t="shared" si="3"/>
        <v>18065</v>
      </c>
      <c r="N48" s="174"/>
      <c r="O48" s="174"/>
      <c r="Q48" s="174"/>
      <c r="R48" s="174"/>
    </row>
    <row r="49" spans="1:18" ht="13.5" customHeight="1" x14ac:dyDescent="0.25">
      <c r="A49" s="714">
        <v>42</v>
      </c>
      <c r="B49" s="717" t="s">
        <v>262</v>
      </c>
      <c r="C49" s="716" t="s">
        <v>263</v>
      </c>
      <c r="D49" s="713">
        <v>0</v>
      </c>
      <c r="E49" s="713">
        <v>501</v>
      </c>
      <c r="F49" s="713">
        <v>0</v>
      </c>
      <c r="G49" s="713">
        <v>2100</v>
      </c>
      <c r="H49" s="706">
        <f t="shared" si="5"/>
        <v>2601</v>
      </c>
      <c r="I49" s="706">
        <v>0</v>
      </c>
      <c r="J49" s="706">
        <v>0</v>
      </c>
      <c r="K49" s="706">
        <v>0</v>
      </c>
      <c r="L49" s="706">
        <f t="shared" si="3"/>
        <v>0</v>
      </c>
      <c r="N49" s="174"/>
      <c r="O49" s="174"/>
      <c r="Q49" s="174"/>
      <c r="R49" s="174"/>
    </row>
    <row r="50" spans="1:18" ht="12.75" customHeight="1" x14ac:dyDescent="0.25">
      <c r="A50" s="714">
        <v>43</v>
      </c>
      <c r="B50" s="715" t="s">
        <v>264</v>
      </c>
      <c r="C50" s="716" t="s">
        <v>265</v>
      </c>
      <c r="D50" s="713">
        <v>0</v>
      </c>
      <c r="E50" s="713">
        <v>4764</v>
      </c>
      <c r="F50" s="713">
        <v>4</v>
      </c>
      <c r="G50" s="713">
        <v>11</v>
      </c>
      <c r="H50" s="706">
        <f t="shared" si="5"/>
        <v>4779</v>
      </c>
      <c r="I50" s="706">
        <v>3804</v>
      </c>
      <c r="J50" s="706">
        <v>0</v>
      </c>
      <c r="K50" s="706">
        <v>0</v>
      </c>
      <c r="L50" s="706">
        <f t="shared" si="3"/>
        <v>3804</v>
      </c>
      <c r="N50" s="174"/>
      <c r="O50" s="174"/>
      <c r="Q50" s="174"/>
      <c r="R50" s="174"/>
    </row>
    <row r="51" spans="1:18" ht="12.75" customHeight="1" x14ac:dyDescent="0.25">
      <c r="A51" s="714">
        <v>44</v>
      </c>
      <c r="B51" s="715" t="s">
        <v>268</v>
      </c>
      <c r="C51" s="716" t="s">
        <v>269</v>
      </c>
      <c r="D51" s="713">
        <v>0</v>
      </c>
      <c r="E51" s="713">
        <v>0</v>
      </c>
      <c r="F51" s="713">
        <v>0</v>
      </c>
      <c r="G51" s="713">
        <v>0</v>
      </c>
      <c r="H51" s="706">
        <f t="shared" si="5"/>
        <v>0</v>
      </c>
      <c r="I51" s="706">
        <v>3330</v>
      </c>
      <c r="J51" s="706">
        <v>0</v>
      </c>
      <c r="K51" s="706">
        <v>87</v>
      </c>
      <c r="L51" s="706">
        <f t="shared" si="3"/>
        <v>3417</v>
      </c>
      <c r="N51" s="174"/>
      <c r="O51" s="174"/>
      <c r="Q51" s="174"/>
      <c r="R51" s="174"/>
    </row>
    <row r="52" spans="1:18" ht="12.75" customHeight="1" x14ac:dyDescent="0.25">
      <c r="A52" s="714">
        <v>45</v>
      </c>
      <c r="B52" s="717" t="s">
        <v>274</v>
      </c>
      <c r="C52" s="716" t="s">
        <v>275</v>
      </c>
      <c r="D52" s="713">
        <v>0</v>
      </c>
      <c r="E52" s="713">
        <v>2553</v>
      </c>
      <c r="F52" s="713">
        <v>170</v>
      </c>
      <c r="G52" s="713">
        <v>512</v>
      </c>
      <c r="H52" s="706">
        <f t="shared" si="5"/>
        <v>3235</v>
      </c>
      <c r="I52" s="706">
        <v>0</v>
      </c>
      <c r="J52" s="706">
        <v>0</v>
      </c>
      <c r="K52" s="706">
        <v>0</v>
      </c>
      <c r="L52" s="706">
        <f t="shared" si="3"/>
        <v>0</v>
      </c>
      <c r="N52" s="174"/>
      <c r="O52" s="174"/>
      <c r="Q52" s="174"/>
      <c r="R52" s="174"/>
    </row>
    <row r="53" spans="1:18" ht="12.75" customHeight="1" x14ac:dyDescent="0.25">
      <c r="A53" s="714">
        <v>46</v>
      </c>
      <c r="B53" s="717" t="s">
        <v>276</v>
      </c>
      <c r="C53" s="716" t="s">
        <v>277</v>
      </c>
      <c r="D53" s="713">
        <v>0</v>
      </c>
      <c r="E53" s="713">
        <v>8650</v>
      </c>
      <c r="F53" s="713">
        <v>473</v>
      </c>
      <c r="G53" s="713">
        <v>3034</v>
      </c>
      <c r="H53" s="706">
        <f t="shared" si="5"/>
        <v>12157</v>
      </c>
      <c r="I53" s="706">
        <v>8241</v>
      </c>
      <c r="J53" s="706">
        <v>815</v>
      </c>
      <c r="K53" s="706">
        <v>687</v>
      </c>
      <c r="L53" s="706">
        <f t="shared" si="3"/>
        <v>9743</v>
      </c>
      <c r="N53" s="174"/>
      <c r="O53" s="174"/>
      <c r="Q53" s="174"/>
      <c r="R53" s="174"/>
    </row>
    <row r="54" spans="1:18" ht="12.75" customHeight="1" x14ac:dyDescent="0.25">
      <c r="A54" s="714">
        <v>47</v>
      </c>
      <c r="B54" s="715" t="s">
        <v>278</v>
      </c>
      <c r="C54" s="716" t="s">
        <v>668</v>
      </c>
      <c r="D54" s="713">
        <v>0</v>
      </c>
      <c r="E54" s="713">
        <v>5997</v>
      </c>
      <c r="F54" s="713">
        <v>137</v>
      </c>
      <c r="G54" s="713">
        <v>958</v>
      </c>
      <c r="H54" s="706">
        <f t="shared" si="5"/>
        <v>7092</v>
      </c>
      <c r="I54" s="706">
        <v>2506</v>
      </c>
      <c r="J54" s="706">
        <v>94</v>
      </c>
      <c r="K54" s="706">
        <v>0</v>
      </c>
      <c r="L54" s="706">
        <f t="shared" si="3"/>
        <v>2600</v>
      </c>
      <c r="N54" s="174"/>
      <c r="O54" s="174"/>
      <c r="Q54" s="174"/>
      <c r="R54" s="174"/>
    </row>
    <row r="55" spans="1:18" ht="12.75" customHeight="1" x14ac:dyDescent="0.25">
      <c r="A55" s="714">
        <v>48</v>
      </c>
      <c r="B55" s="715" t="s">
        <v>280</v>
      </c>
      <c r="C55" s="716" t="s">
        <v>468</v>
      </c>
      <c r="D55" s="713">
        <v>3740</v>
      </c>
      <c r="E55" s="713">
        <v>0</v>
      </c>
      <c r="F55" s="713">
        <v>0</v>
      </c>
      <c r="G55" s="713">
        <v>0</v>
      </c>
      <c r="H55" s="706">
        <f t="shared" si="4"/>
        <v>3740</v>
      </c>
      <c r="I55" s="706">
        <v>0</v>
      </c>
      <c r="J55" s="706">
        <v>0</v>
      </c>
      <c r="K55" s="706">
        <v>0</v>
      </c>
      <c r="L55" s="706">
        <f t="shared" si="3"/>
        <v>0</v>
      </c>
      <c r="N55" s="174"/>
      <c r="O55" s="174"/>
      <c r="Q55" s="174"/>
      <c r="R55" s="174"/>
    </row>
    <row r="56" spans="1:18" s="166" customFormat="1" ht="15" x14ac:dyDescent="0.25">
      <c r="A56" s="162"/>
      <c r="B56" s="163"/>
      <c r="C56" s="164"/>
      <c r="D56" s="165"/>
      <c r="E56" s="165"/>
      <c r="F56" s="165"/>
      <c r="G56" s="165"/>
      <c r="H56" s="165"/>
      <c r="I56" s="165"/>
      <c r="J56" s="165"/>
      <c r="K56" s="838"/>
      <c r="L56" s="165"/>
      <c r="Q56" s="174"/>
      <c r="R56" s="174"/>
    </row>
    <row r="57" spans="1:18" s="170" customFormat="1" x14ac:dyDescent="0.25">
      <c r="A57" s="167"/>
      <c r="B57" s="168"/>
      <c r="C57" s="169"/>
      <c r="D57" s="165"/>
      <c r="E57" s="165"/>
      <c r="F57" s="165"/>
      <c r="G57" s="165"/>
      <c r="H57" s="165"/>
      <c r="I57" s="165"/>
      <c r="J57" s="165"/>
      <c r="K57" s="165"/>
      <c r="L57" s="165"/>
      <c r="Q57" s="174"/>
      <c r="R57" s="174"/>
    </row>
    <row r="58" spans="1:18" x14ac:dyDescent="0.25">
      <c r="K58" s="165"/>
      <c r="L58" s="165"/>
      <c r="M58" s="170"/>
    </row>
    <row r="59" spans="1:18" x14ac:dyDescent="0.25">
      <c r="K59" s="165"/>
      <c r="L59" s="165"/>
      <c r="M59" s="170"/>
    </row>
    <row r="60" spans="1:18" x14ac:dyDescent="0.25">
      <c r="K60" s="165"/>
      <c r="L60" s="165"/>
      <c r="M60" s="170"/>
    </row>
    <row r="61" spans="1:18" s="173" customFormat="1" x14ac:dyDescent="0.25">
      <c r="A61" s="171"/>
      <c r="B61" s="172"/>
      <c r="C61" s="153"/>
      <c r="D61" s="174"/>
    </row>
  </sheetData>
  <mergeCells count="6">
    <mergeCell ref="A1:L1"/>
    <mergeCell ref="A3:A4"/>
    <mergeCell ref="B3:B4"/>
    <mergeCell ref="C3:C4"/>
    <mergeCell ref="I3:L3"/>
    <mergeCell ref="D3:H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G101"/>
  <sheetViews>
    <sheetView zoomScale="80" zoomScaleNormal="80" workbookViewId="0">
      <pane xSplit="3" ySplit="5" topLeftCell="D36" activePane="bottomRight" state="frozen"/>
      <selection pane="topRight" activeCell="D1" sqref="D1"/>
      <selection pane="bottomLeft" activeCell="A6" sqref="A6"/>
      <selection pane="bottomRight" activeCell="G14" sqref="G14"/>
    </sheetView>
  </sheetViews>
  <sheetFormatPr defaultRowHeight="12.75" x14ac:dyDescent="0.25"/>
  <cols>
    <col min="1" max="1" width="4.5703125" style="173" customWidth="1"/>
    <col min="2" max="2" width="9" style="173" customWidth="1"/>
    <col min="3" max="3" width="37" style="175" customWidth="1"/>
    <col min="4" max="4" width="15.140625" style="173" customWidth="1"/>
    <col min="5" max="5" width="16.28515625" style="173" customWidth="1"/>
    <col min="6" max="6" width="19.140625" style="173" customWidth="1"/>
    <col min="7" max="7" width="15.42578125" style="173" customWidth="1"/>
    <col min="8" max="16384" width="9.140625" style="173"/>
  </cols>
  <sheetData>
    <row r="1" spans="1:7" ht="43.5" customHeight="1" x14ac:dyDescent="0.25">
      <c r="A1" s="1360" t="s">
        <v>669</v>
      </c>
      <c r="B1" s="1360"/>
      <c r="C1" s="1361"/>
      <c r="D1" s="1361"/>
      <c r="E1" s="1361"/>
      <c r="F1" s="1361"/>
      <c r="G1" s="1361"/>
    </row>
    <row r="2" spans="1:7" ht="17.25" customHeight="1" x14ac:dyDescent="0.25"/>
    <row r="3" spans="1:7" ht="15.75" customHeight="1" x14ac:dyDescent="0.25">
      <c r="A3" s="1362" t="s">
        <v>0</v>
      </c>
      <c r="B3" s="1362" t="s">
        <v>302</v>
      </c>
      <c r="C3" s="1363" t="s">
        <v>471</v>
      </c>
      <c r="D3" s="178" t="s">
        <v>670</v>
      </c>
      <c r="E3" s="178"/>
      <c r="F3" s="248"/>
      <c r="G3" s="248"/>
    </row>
    <row r="4" spans="1:7" ht="61.5" customHeight="1" x14ac:dyDescent="0.25">
      <c r="A4" s="1362"/>
      <c r="B4" s="1362"/>
      <c r="C4" s="1363"/>
      <c r="D4" s="156" t="s">
        <v>671</v>
      </c>
      <c r="E4" s="156" t="s">
        <v>672</v>
      </c>
      <c r="F4" s="156" t="s">
        <v>673</v>
      </c>
      <c r="G4" s="155" t="s">
        <v>6</v>
      </c>
    </row>
    <row r="5" spans="1:7" ht="11.25" customHeight="1" x14ac:dyDescent="0.25">
      <c r="A5" s="156"/>
      <c r="B5" s="249"/>
      <c r="C5" s="157" t="s">
        <v>6</v>
      </c>
      <c r="D5" s="158">
        <f>D7+D6</f>
        <v>206256</v>
      </c>
      <c r="E5" s="158">
        <f t="shared" ref="E5:F5" si="0">E7+E6</f>
        <v>101350</v>
      </c>
      <c r="F5" s="158">
        <f t="shared" si="0"/>
        <v>71367</v>
      </c>
      <c r="G5" s="158">
        <f>G7+G6</f>
        <v>378973</v>
      </c>
    </row>
    <row r="6" spans="1:7" ht="11.25" customHeight="1" x14ac:dyDescent="0.25">
      <c r="A6" s="156"/>
      <c r="B6" s="249"/>
      <c r="C6" s="176" t="s">
        <v>14</v>
      </c>
      <c r="D6" s="156">
        <v>0</v>
      </c>
      <c r="E6" s="156">
        <v>0</v>
      </c>
      <c r="F6" s="156">
        <v>0</v>
      </c>
      <c r="G6" s="155">
        <v>0</v>
      </c>
    </row>
    <row r="7" spans="1:7" ht="11.25" customHeight="1" x14ac:dyDescent="0.25">
      <c r="A7" s="156"/>
      <c r="B7" s="249"/>
      <c r="C7" s="176" t="s">
        <v>15</v>
      </c>
      <c r="D7" s="158">
        <f>SUM(D8:D92)</f>
        <v>206256</v>
      </c>
      <c r="E7" s="158">
        <f>SUM(E8:E92)</f>
        <v>101350</v>
      </c>
      <c r="F7" s="158">
        <f>SUM(F8:F92)</f>
        <v>71367</v>
      </c>
      <c r="G7" s="159">
        <f>SUM(G8:G92)</f>
        <v>378973</v>
      </c>
    </row>
    <row r="8" spans="1:7" ht="11.25" customHeight="1" x14ac:dyDescent="0.25">
      <c r="A8" s="156">
        <v>1</v>
      </c>
      <c r="B8" s="154" t="s">
        <v>16</v>
      </c>
      <c r="C8" s="177" t="s">
        <v>17</v>
      </c>
      <c r="D8" s="156">
        <v>886</v>
      </c>
      <c r="E8" s="548">
        <v>437</v>
      </c>
      <c r="F8" s="548">
        <v>215</v>
      </c>
      <c r="G8" s="155">
        <f>SUM(D8:F8)</f>
        <v>1538</v>
      </c>
    </row>
    <row r="9" spans="1:7" ht="11.25" customHeight="1" x14ac:dyDescent="0.25">
      <c r="A9" s="156">
        <v>2</v>
      </c>
      <c r="B9" s="154" t="s">
        <v>18</v>
      </c>
      <c r="C9" s="177" t="s">
        <v>19</v>
      </c>
      <c r="D9" s="831">
        <v>982</v>
      </c>
      <c r="E9" s="831">
        <v>528</v>
      </c>
      <c r="F9" s="831">
        <v>331</v>
      </c>
      <c r="G9" s="155">
        <f t="shared" ref="G9:G73" si="1">SUM(D9:F9)</f>
        <v>1841</v>
      </c>
    </row>
    <row r="10" spans="1:7" ht="11.25" customHeight="1" x14ac:dyDescent="0.25">
      <c r="A10" s="156">
        <v>3</v>
      </c>
      <c r="B10" s="154" t="s">
        <v>20</v>
      </c>
      <c r="C10" s="177" t="s">
        <v>21</v>
      </c>
      <c r="D10" s="831">
        <v>2848</v>
      </c>
      <c r="E10" s="831">
        <v>1319</v>
      </c>
      <c r="F10" s="831">
        <v>1557</v>
      </c>
      <c r="G10" s="155">
        <f t="shared" si="1"/>
        <v>5724</v>
      </c>
    </row>
    <row r="11" spans="1:7" ht="11.25" customHeight="1" x14ac:dyDescent="0.25">
      <c r="A11" s="156">
        <v>4</v>
      </c>
      <c r="B11" s="154" t="s">
        <v>22</v>
      </c>
      <c r="C11" s="177" t="s">
        <v>23</v>
      </c>
      <c r="D11" s="831">
        <v>747</v>
      </c>
      <c r="E11" s="831">
        <v>506</v>
      </c>
      <c r="F11" s="831">
        <v>0</v>
      </c>
      <c r="G11" s="155">
        <f t="shared" si="1"/>
        <v>1253</v>
      </c>
    </row>
    <row r="12" spans="1:7" ht="11.25" customHeight="1" x14ac:dyDescent="0.25">
      <c r="A12" s="156">
        <v>5</v>
      </c>
      <c r="B12" s="154" t="s">
        <v>24</v>
      </c>
      <c r="C12" s="177" t="s">
        <v>25</v>
      </c>
      <c r="D12" s="831">
        <v>1048</v>
      </c>
      <c r="E12" s="831">
        <v>525</v>
      </c>
      <c r="F12" s="831">
        <v>351</v>
      </c>
      <c r="G12" s="155">
        <f t="shared" si="1"/>
        <v>1924</v>
      </c>
    </row>
    <row r="13" spans="1:7" ht="11.25" customHeight="1" x14ac:dyDescent="0.25">
      <c r="A13" s="436">
        <v>6</v>
      </c>
      <c r="B13" s="154" t="s">
        <v>26</v>
      </c>
      <c r="C13" s="177" t="s">
        <v>27</v>
      </c>
      <c r="D13" s="831">
        <v>3052</v>
      </c>
      <c r="E13" s="831">
        <v>1799</v>
      </c>
      <c r="F13" s="831">
        <v>1202</v>
      </c>
      <c r="G13" s="155">
        <f t="shared" si="1"/>
        <v>6053</v>
      </c>
    </row>
    <row r="14" spans="1:7" ht="11.25" customHeight="1" x14ac:dyDescent="0.25">
      <c r="A14" s="831">
        <v>7</v>
      </c>
      <c r="B14" s="435" t="s">
        <v>28</v>
      </c>
      <c r="C14" s="177" t="s">
        <v>29</v>
      </c>
      <c r="D14" s="831">
        <v>94</v>
      </c>
      <c r="E14" s="831">
        <v>0</v>
      </c>
      <c r="F14" s="831">
        <v>0</v>
      </c>
      <c r="G14" s="155">
        <f t="shared" si="1"/>
        <v>94</v>
      </c>
    </row>
    <row r="15" spans="1:7" ht="11.25" customHeight="1" x14ac:dyDescent="0.25">
      <c r="A15" s="831">
        <v>8</v>
      </c>
      <c r="B15" s="435" t="s">
        <v>30</v>
      </c>
      <c r="C15" s="177" t="s">
        <v>31</v>
      </c>
      <c r="D15" s="831">
        <v>0</v>
      </c>
      <c r="E15" s="831">
        <v>494</v>
      </c>
      <c r="F15" s="831">
        <v>328</v>
      </c>
      <c r="G15" s="155">
        <f t="shared" si="1"/>
        <v>822</v>
      </c>
    </row>
    <row r="16" spans="1:7" ht="11.25" customHeight="1" x14ac:dyDescent="0.25">
      <c r="A16" s="831">
        <v>9</v>
      </c>
      <c r="B16" s="154" t="s">
        <v>32</v>
      </c>
      <c r="C16" s="177" t="s">
        <v>33</v>
      </c>
      <c r="D16" s="831">
        <v>762</v>
      </c>
      <c r="E16" s="831">
        <v>497</v>
      </c>
      <c r="F16" s="831">
        <v>357</v>
      </c>
      <c r="G16" s="155">
        <f t="shared" si="1"/>
        <v>1616</v>
      </c>
    </row>
    <row r="17" spans="1:7" ht="11.25" customHeight="1" x14ac:dyDescent="0.25">
      <c r="A17" s="831">
        <v>10</v>
      </c>
      <c r="B17" s="154" t="s">
        <v>34</v>
      </c>
      <c r="C17" s="177" t="s">
        <v>35</v>
      </c>
      <c r="D17" s="831">
        <v>1003</v>
      </c>
      <c r="E17" s="831">
        <v>654</v>
      </c>
      <c r="F17" s="831">
        <v>503</v>
      </c>
      <c r="G17" s="155">
        <f t="shared" si="1"/>
        <v>2160</v>
      </c>
    </row>
    <row r="18" spans="1:7" ht="11.25" customHeight="1" x14ac:dyDescent="0.25">
      <c r="A18" s="831">
        <v>11</v>
      </c>
      <c r="B18" s="154" t="s">
        <v>36</v>
      </c>
      <c r="C18" s="177" t="s">
        <v>37</v>
      </c>
      <c r="D18" s="831">
        <v>1026</v>
      </c>
      <c r="E18" s="831">
        <v>554</v>
      </c>
      <c r="F18" s="831">
        <v>339</v>
      </c>
      <c r="G18" s="155">
        <f t="shared" si="1"/>
        <v>1919</v>
      </c>
    </row>
    <row r="19" spans="1:7" ht="11.25" customHeight="1" x14ac:dyDescent="0.25">
      <c r="A19" s="831">
        <v>12</v>
      </c>
      <c r="B19" s="154" t="s">
        <v>38</v>
      </c>
      <c r="C19" s="177" t="s">
        <v>39</v>
      </c>
      <c r="D19" s="831">
        <v>1309</v>
      </c>
      <c r="E19" s="831">
        <v>0</v>
      </c>
      <c r="F19" s="831">
        <v>0</v>
      </c>
      <c r="G19" s="155">
        <f t="shared" si="1"/>
        <v>1309</v>
      </c>
    </row>
    <row r="20" spans="1:7" ht="11.25" customHeight="1" x14ac:dyDescent="0.25">
      <c r="A20" s="831">
        <v>13</v>
      </c>
      <c r="B20" s="161" t="s">
        <v>40</v>
      </c>
      <c r="C20" s="178" t="s">
        <v>41</v>
      </c>
      <c r="D20" s="831">
        <v>3488</v>
      </c>
      <c r="E20" s="831">
        <v>2877</v>
      </c>
      <c r="F20" s="831">
        <v>1924</v>
      </c>
      <c r="G20" s="155">
        <f t="shared" si="1"/>
        <v>8289</v>
      </c>
    </row>
    <row r="21" spans="1:7" ht="11.25" customHeight="1" x14ac:dyDescent="0.25">
      <c r="A21" s="831">
        <v>14</v>
      </c>
      <c r="B21" s="249" t="s">
        <v>44</v>
      </c>
      <c r="C21" s="177" t="s">
        <v>45</v>
      </c>
      <c r="D21" s="831">
        <v>470</v>
      </c>
      <c r="E21" s="831">
        <v>0</v>
      </c>
      <c r="F21" s="831">
        <v>0</v>
      </c>
      <c r="G21" s="155">
        <f t="shared" si="1"/>
        <v>470</v>
      </c>
    </row>
    <row r="22" spans="1:7" ht="11.25" customHeight="1" x14ac:dyDescent="0.25">
      <c r="A22" s="831">
        <v>15</v>
      </c>
      <c r="B22" s="154" t="s">
        <v>48</v>
      </c>
      <c r="C22" s="177" t="s">
        <v>49</v>
      </c>
      <c r="D22" s="831">
        <v>2607</v>
      </c>
      <c r="E22" s="831">
        <v>1197</v>
      </c>
      <c r="F22" s="831">
        <v>799</v>
      </c>
      <c r="G22" s="155">
        <f t="shared" si="1"/>
        <v>4603</v>
      </c>
    </row>
    <row r="23" spans="1:7" ht="11.25" customHeight="1" x14ac:dyDescent="0.25">
      <c r="A23" s="831">
        <v>16</v>
      </c>
      <c r="B23" s="154" t="s">
        <v>50</v>
      </c>
      <c r="C23" s="177" t="s">
        <v>51</v>
      </c>
      <c r="D23" s="831">
        <v>6202</v>
      </c>
      <c r="E23" s="831">
        <v>3572</v>
      </c>
      <c r="F23" s="831">
        <v>2492</v>
      </c>
      <c r="G23" s="155">
        <f t="shared" si="1"/>
        <v>12266</v>
      </c>
    </row>
    <row r="24" spans="1:7" ht="11.25" customHeight="1" x14ac:dyDescent="0.25">
      <c r="A24" s="831">
        <v>17</v>
      </c>
      <c r="B24" s="154" t="s">
        <v>52</v>
      </c>
      <c r="C24" s="177" t="s">
        <v>53</v>
      </c>
      <c r="D24" s="831">
        <v>542</v>
      </c>
      <c r="E24" s="831">
        <v>0</v>
      </c>
      <c r="F24" s="831">
        <v>0</v>
      </c>
      <c r="G24" s="155">
        <f t="shared" si="1"/>
        <v>542</v>
      </c>
    </row>
    <row r="25" spans="1:7" ht="11.25" customHeight="1" x14ac:dyDescent="0.25">
      <c r="A25" s="831">
        <v>18</v>
      </c>
      <c r="B25" s="154" t="s">
        <v>56</v>
      </c>
      <c r="C25" s="177" t="s">
        <v>57</v>
      </c>
      <c r="D25" s="831">
        <v>2619</v>
      </c>
      <c r="E25" s="831">
        <v>1590</v>
      </c>
      <c r="F25" s="831">
        <v>1108</v>
      </c>
      <c r="G25" s="155">
        <f t="shared" si="1"/>
        <v>5317</v>
      </c>
    </row>
    <row r="26" spans="1:7" ht="11.25" customHeight="1" x14ac:dyDescent="0.25">
      <c r="A26" s="831">
        <v>19</v>
      </c>
      <c r="B26" s="154" t="s">
        <v>58</v>
      </c>
      <c r="C26" s="177" t="s">
        <v>59</v>
      </c>
      <c r="D26" s="831">
        <v>4180</v>
      </c>
      <c r="E26" s="831">
        <v>2277</v>
      </c>
      <c r="F26" s="831">
        <v>1879</v>
      </c>
      <c r="G26" s="155">
        <f t="shared" si="1"/>
        <v>8336</v>
      </c>
    </row>
    <row r="27" spans="1:7" ht="11.25" customHeight="1" x14ac:dyDescent="0.25">
      <c r="A27" s="831">
        <v>20</v>
      </c>
      <c r="B27" s="154" t="s">
        <v>60</v>
      </c>
      <c r="C27" s="177" t="s">
        <v>61</v>
      </c>
      <c r="D27" s="831">
        <v>569</v>
      </c>
      <c r="E27" s="831">
        <v>322</v>
      </c>
      <c r="F27" s="831">
        <v>226</v>
      </c>
      <c r="G27" s="155">
        <f t="shared" si="1"/>
        <v>1117</v>
      </c>
    </row>
    <row r="28" spans="1:7" ht="11.25" customHeight="1" x14ac:dyDescent="0.25">
      <c r="A28" s="831">
        <v>21</v>
      </c>
      <c r="B28" s="154" t="s">
        <v>66</v>
      </c>
      <c r="C28" s="177" t="s">
        <v>67</v>
      </c>
      <c r="D28" s="831">
        <v>7348</v>
      </c>
      <c r="E28" s="831">
        <v>6637</v>
      </c>
      <c r="F28" s="831">
        <v>4154</v>
      </c>
      <c r="G28" s="155">
        <f t="shared" si="1"/>
        <v>18139</v>
      </c>
    </row>
    <row r="29" spans="1:7" ht="11.25" customHeight="1" x14ac:dyDescent="0.25">
      <c r="A29" s="831">
        <v>22</v>
      </c>
      <c r="B29" s="154" t="s">
        <v>68</v>
      </c>
      <c r="C29" s="177" t="s">
        <v>69</v>
      </c>
      <c r="D29" s="831">
        <v>3251</v>
      </c>
      <c r="E29" s="831">
        <v>1303</v>
      </c>
      <c r="F29" s="831">
        <v>1131</v>
      </c>
      <c r="G29" s="155">
        <f t="shared" si="1"/>
        <v>5685</v>
      </c>
    </row>
    <row r="30" spans="1:7" ht="11.25" customHeight="1" x14ac:dyDescent="0.25">
      <c r="A30" s="831">
        <v>23</v>
      </c>
      <c r="B30" s="154" t="s">
        <v>70</v>
      </c>
      <c r="C30" s="177" t="s">
        <v>71</v>
      </c>
      <c r="D30" s="831">
        <v>5179</v>
      </c>
      <c r="E30" s="831">
        <v>0</v>
      </c>
      <c r="F30" s="831">
        <v>0</v>
      </c>
      <c r="G30" s="155">
        <f t="shared" si="1"/>
        <v>5179</v>
      </c>
    </row>
    <row r="31" spans="1:7" ht="11.25" customHeight="1" x14ac:dyDescent="0.25">
      <c r="A31" s="831">
        <v>24</v>
      </c>
      <c r="B31" s="154" t="s">
        <v>75</v>
      </c>
      <c r="C31" s="177" t="s">
        <v>76</v>
      </c>
      <c r="D31" s="831">
        <v>457</v>
      </c>
      <c r="E31" s="831">
        <v>280</v>
      </c>
      <c r="F31" s="831">
        <v>192</v>
      </c>
      <c r="G31" s="155">
        <f t="shared" si="1"/>
        <v>929</v>
      </c>
    </row>
    <row r="32" spans="1:7" ht="11.25" customHeight="1" x14ac:dyDescent="0.25">
      <c r="A32" s="831">
        <v>25</v>
      </c>
      <c r="B32" s="154" t="s">
        <v>77</v>
      </c>
      <c r="C32" s="177" t="s">
        <v>78</v>
      </c>
      <c r="D32" s="831">
        <v>3708</v>
      </c>
      <c r="E32" s="831">
        <v>2350</v>
      </c>
      <c r="F32" s="831">
        <v>1570</v>
      </c>
      <c r="G32" s="155">
        <f t="shared" si="1"/>
        <v>7628</v>
      </c>
    </row>
    <row r="33" spans="1:7" ht="11.25" customHeight="1" x14ac:dyDescent="0.25">
      <c r="A33" s="831">
        <v>26</v>
      </c>
      <c r="B33" s="154" t="s">
        <v>79</v>
      </c>
      <c r="C33" s="177" t="s">
        <v>80</v>
      </c>
      <c r="D33" s="831">
        <v>5204</v>
      </c>
      <c r="E33" s="831">
        <v>3339</v>
      </c>
      <c r="F33" s="831">
        <v>2231</v>
      </c>
      <c r="G33" s="155">
        <f t="shared" si="1"/>
        <v>10774</v>
      </c>
    </row>
    <row r="34" spans="1:7" ht="11.25" customHeight="1" x14ac:dyDescent="0.25">
      <c r="A34" s="831">
        <v>27</v>
      </c>
      <c r="B34" s="154" t="s">
        <v>81</v>
      </c>
      <c r="C34" s="177" t="s">
        <v>82</v>
      </c>
      <c r="D34" s="831">
        <v>324</v>
      </c>
      <c r="E34" s="831">
        <v>5</v>
      </c>
      <c r="F34" s="831">
        <v>7</v>
      </c>
      <c r="G34" s="155">
        <f t="shared" si="1"/>
        <v>336</v>
      </c>
    </row>
    <row r="35" spans="1:7" ht="11.25" customHeight="1" x14ac:dyDescent="0.25">
      <c r="A35" s="831">
        <v>28</v>
      </c>
      <c r="B35" s="154" t="s">
        <v>83</v>
      </c>
      <c r="C35" s="177" t="s">
        <v>84</v>
      </c>
      <c r="D35" s="831">
        <v>2941</v>
      </c>
      <c r="E35" s="831">
        <v>1383</v>
      </c>
      <c r="F35" s="831">
        <v>923</v>
      </c>
      <c r="G35" s="155">
        <f t="shared" si="1"/>
        <v>5247</v>
      </c>
    </row>
    <row r="36" spans="1:7" ht="11.25" customHeight="1" x14ac:dyDescent="0.25">
      <c r="A36" s="831">
        <v>29</v>
      </c>
      <c r="B36" s="154" t="s">
        <v>85</v>
      </c>
      <c r="C36" s="177" t="s">
        <v>86</v>
      </c>
      <c r="D36" s="831">
        <v>1493</v>
      </c>
      <c r="E36" s="831">
        <v>728</v>
      </c>
      <c r="F36" s="831">
        <v>487</v>
      </c>
      <c r="G36" s="155">
        <f t="shared" si="1"/>
        <v>2708</v>
      </c>
    </row>
    <row r="37" spans="1:7" ht="11.25" customHeight="1" x14ac:dyDescent="0.25">
      <c r="A37" s="831">
        <v>30</v>
      </c>
      <c r="B37" s="154" t="s">
        <v>87</v>
      </c>
      <c r="C37" s="177" t="s">
        <v>88</v>
      </c>
      <c r="D37" s="831">
        <v>4642</v>
      </c>
      <c r="E37" s="831">
        <v>1989</v>
      </c>
      <c r="F37" s="831">
        <v>1312</v>
      </c>
      <c r="G37" s="155">
        <f t="shared" si="1"/>
        <v>7943</v>
      </c>
    </row>
    <row r="38" spans="1:7" ht="11.25" customHeight="1" x14ac:dyDescent="0.25">
      <c r="A38" s="831">
        <v>31</v>
      </c>
      <c r="B38" s="154" t="s">
        <v>89</v>
      </c>
      <c r="C38" s="177" t="s">
        <v>90</v>
      </c>
      <c r="D38" s="831">
        <v>1353</v>
      </c>
      <c r="E38" s="831">
        <v>485</v>
      </c>
      <c r="F38" s="831">
        <v>324</v>
      </c>
      <c r="G38" s="155">
        <f t="shared" si="1"/>
        <v>2162</v>
      </c>
    </row>
    <row r="39" spans="1:7" ht="11.25" customHeight="1" x14ac:dyDescent="0.25">
      <c r="A39" s="831">
        <v>32</v>
      </c>
      <c r="B39" s="161" t="s">
        <v>91</v>
      </c>
      <c r="C39" s="178" t="s">
        <v>92</v>
      </c>
      <c r="D39" s="831">
        <v>481</v>
      </c>
      <c r="E39" s="831">
        <v>216</v>
      </c>
      <c r="F39" s="831">
        <v>0</v>
      </c>
      <c r="G39" s="155">
        <f t="shared" si="1"/>
        <v>697</v>
      </c>
    </row>
    <row r="40" spans="1:7" ht="11.25" customHeight="1" x14ac:dyDescent="0.25">
      <c r="A40" s="831">
        <v>33</v>
      </c>
      <c r="B40" s="154" t="s">
        <v>93</v>
      </c>
      <c r="C40" s="177" t="s">
        <v>94</v>
      </c>
      <c r="D40" s="831">
        <v>1148</v>
      </c>
      <c r="E40" s="831">
        <v>0</v>
      </c>
      <c r="F40" s="831">
        <v>0</v>
      </c>
      <c r="G40" s="155">
        <f t="shared" si="1"/>
        <v>1148</v>
      </c>
    </row>
    <row r="41" spans="1:7" ht="11.25" customHeight="1" x14ac:dyDescent="0.25">
      <c r="A41" s="831">
        <v>34</v>
      </c>
      <c r="B41" s="154" t="s">
        <v>95</v>
      </c>
      <c r="C41" s="177" t="s">
        <v>96</v>
      </c>
      <c r="D41" s="831">
        <v>331</v>
      </c>
      <c r="E41" s="831">
        <v>181</v>
      </c>
      <c r="F41" s="831">
        <v>157</v>
      </c>
      <c r="G41" s="155">
        <f t="shared" si="1"/>
        <v>669</v>
      </c>
    </row>
    <row r="42" spans="1:7" ht="11.25" customHeight="1" x14ac:dyDescent="0.25">
      <c r="A42" s="831">
        <v>35</v>
      </c>
      <c r="B42" s="154" t="s">
        <v>97</v>
      </c>
      <c r="C42" s="177" t="s">
        <v>98</v>
      </c>
      <c r="D42" s="831">
        <v>759</v>
      </c>
      <c r="E42" s="831">
        <v>514</v>
      </c>
      <c r="F42" s="831">
        <v>343</v>
      </c>
      <c r="G42" s="155">
        <f t="shared" si="1"/>
        <v>1616</v>
      </c>
    </row>
    <row r="43" spans="1:7" ht="11.25" customHeight="1" x14ac:dyDescent="0.25">
      <c r="A43" s="831">
        <v>36</v>
      </c>
      <c r="B43" s="154" t="s">
        <v>99</v>
      </c>
      <c r="C43" s="177" t="s">
        <v>100</v>
      </c>
      <c r="D43" s="831">
        <v>5287</v>
      </c>
      <c r="E43" s="831">
        <v>2525</v>
      </c>
      <c r="F43" s="831">
        <v>1669</v>
      </c>
      <c r="G43" s="155">
        <f t="shared" si="1"/>
        <v>9481</v>
      </c>
    </row>
    <row r="44" spans="1:7" ht="11.25" customHeight="1" x14ac:dyDescent="0.25">
      <c r="A44" s="831">
        <v>37</v>
      </c>
      <c r="B44" s="154" t="s">
        <v>101</v>
      </c>
      <c r="C44" s="177" t="s">
        <v>102</v>
      </c>
      <c r="D44" s="831">
        <v>928</v>
      </c>
      <c r="E44" s="831">
        <v>628</v>
      </c>
      <c r="F44" s="831">
        <v>420</v>
      </c>
      <c r="G44" s="155">
        <f t="shared" si="1"/>
        <v>1976</v>
      </c>
    </row>
    <row r="45" spans="1:7" ht="11.25" customHeight="1" x14ac:dyDescent="0.25">
      <c r="A45" s="831">
        <v>38</v>
      </c>
      <c r="B45" s="154" t="s">
        <v>103</v>
      </c>
      <c r="C45" s="177" t="s">
        <v>104</v>
      </c>
      <c r="D45" s="831">
        <v>4373</v>
      </c>
      <c r="E45" s="831">
        <v>2362</v>
      </c>
      <c r="F45" s="831">
        <v>1427</v>
      </c>
      <c r="G45" s="155">
        <f t="shared" si="1"/>
        <v>8162</v>
      </c>
    </row>
    <row r="46" spans="1:7" ht="11.25" customHeight="1" x14ac:dyDescent="0.25">
      <c r="A46" s="831">
        <v>39</v>
      </c>
      <c r="B46" s="154" t="s">
        <v>105</v>
      </c>
      <c r="C46" s="177" t="s">
        <v>106</v>
      </c>
      <c r="D46" s="831">
        <v>1137</v>
      </c>
      <c r="E46" s="831">
        <v>770</v>
      </c>
      <c r="F46" s="831">
        <v>514</v>
      </c>
      <c r="G46" s="155">
        <f t="shared" si="1"/>
        <v>2421</v>
      </c>
    </row>
    <row r="47" spans="1:7" ht="11.25" customHeight="1" x14ac:dyDescent="0.25">
      <c r="A47" s="831">
        <v>40</v>
      </c>
      <c r="B47" s="154" t="s">
        <v>107</v>
      </c>
      <c r="C47" s="177" t="s">
        <v>108</v>
      </c>
      <c r="D47" s="831">
        <v>1185</v>
      </c>
      <c r="E47" s="831">
        <v>0</v>
      </c>
      <c r="F47" s="831">
        <v>0</v>
      </c>
      <c r="G47" s="155">
        <f t="shared" si="1"/>
        <v>1185</v>
      </c>
    </row>
    <row r="48" spans="1:7" ht="11.25" customHeight="1" x14ac:dyDescent="0.25">
      <c r="A48" s="831">
        <v>41</v>
      </c>
      <c r="B48" s="154" t="s">
        <v>109</v>
      </c>
      <c r="C48" s="177" t="s">
        <v>110</v>
      </c>
      <c r="D48" s="831">
        <v>2151</v>
      </c>
      <c r="E48" s="831">
        <v>1191</v>
      </c>
      <c r="F48" s="831">
        <v>725</v>
      </c>
      <c r="G48" s="155">
        <f t="shared" si="1"/>
        <v>4067</v>
      </c>
    </row>
    <row r="49" spans="1:7" ht="11.25" customHeight="1" x14ac:dyDescent="0.25">
      <c r="A49" s="831">
        <v>42</v>
      </c>
      <c r="B49" s="435" t="s">
        <v>111</v>
      </c>
      <c r="C49" s="177" t="s">
        <v>112</v>
      </c>
      <c r="D49" s="831">
        <v>212</v>
      </c>
      <c r="E49" s="831">
        <v>0</v>
      </c>
      <c r="F49" s="831">
        <v>150</v>
      </c>
      <c r="G49" s="155">
        <f t="shared" si="1"/>
        <v>362</v>
      </c>
    </row>
    <row r="50" spans="1:7" ht="11.25" customHeight="1" x14ac:dyDescent="0.25">
      <c r="A50" s="831">
        <v>43</v>
      </c>
      <c r="B50" s="154" t="s">
        <v>113</v>
      </c>
      <c r="C50" s="177" t="s">
        <v>114</v>
      </c>
      <c r="D50" s="831">
        <v>504</v>
      </c>
      <c r="E50" s="831">
        <v>585</v>
      </c>
      <c r="F50" s="831">
        <v>454</v>
      </c>
      <c r="G50" s="155">
        <f t="shared" si="1"/>
        <v>1543</v>
      </c>
    </row>
    <row r="51" spans="1:7" ht="11.25" customHeight="1" x14ac:dyDescent="0.25">
      <c r="A51" s="831">
        <v>44</v>
      </c>
      <c r="B51" s="154" t="s">
        <v>115</v>
      </c>
      <c r="C51" s="177" t="s">
        <v>116</v>
      </c>
      <c r="D51" s="831">
        <v>1740</v>
      </c>
      <c r="E51" s="831">
        <v>882</v>
      </c>
      <c r="F51" s="831">
        <v>589</v>
      </c>
      <c r="G51" s="155">
        <f t="shared" si="1"/>
        <v>3211</v>
      </c>
    </row>
    <row r="52" spans="1:7" ht="11.25" customHeight="1" x14ac:dyDescent="0.25">
      <c r="A52" s="831">
        <v>45</v>
      </c>
      <c r="B52" s="154" t="s">
        <v>117</v>
      </c>
      <c r="C52" s="178" t="s">
        <v>118</v>
      </c>
      <c r="D52" s="831">
        <v>4278</v>
      </c>
      <c r="E52" s="831">
        <v>2967</v>
      </c>
      <c r="F52" s="831">
        <v>1981</v>
      </c>
      <c r="G52" s="155">
        <f t="shared" si="1"/>
        <v>9226</v>
      </c>
    </row>
    <row r="53" spans="1:7" ht="11.25" customHeight="1" x14ac:dyDescent="0.25">
      <c r="A53" s="831">
        <v>46</v>
      </c>
      <c r="B53" s="154" t="s">
        <v>119</v>
      </c>
      <c r="C53" s="177" t="s">
        <v>120</v>
      </c>
      <c r="D53" s="831">
        <v>951</v>
      </c>
      <c r="E53" s="831">
        <v>523</v>
      </c>
      <c r="F53" s="831">
        <v>354</v>
      </c>
      <c r="G53" s="155">
        <f t="shared" si="1"/>
        <v>1828</v>
      </c>
    </row>
    <row r="54" spans="1:7" ht="11.25" customHeight="1" x14ac:dyDescent="0.25">
      <c r="A54" s="831">
        <v>47</v>
      </c>
      <c r="B54" s="154" t="s">
        <v>127</v>
      </c>
      <c r="C54" s="177" t="s">
        <v>128</v>
      </c>
      <c r="D54" s="831">
        <v>2467</v>
      </c>
      <c r="E54" s="831">
        <v>0</v>
      </c>
      <c r="F54" s="831">
        <v>0</v>
      </c>
      <c r="G54" s="155">
        <f t="shared" si="1"/>
        <v>2467</v>
      </c>
    </row>
    <row r="55" spans="1:7" ht="11.25" customHeight="1" x14ac:dyDescent="0.25">
      <c r="A55" s="831">
        <v>48</v>
      </c>
      <c r="B55" s="154" t="s">
        <v>129</v>
      </c>
      <c r="C55" s="177" t="s">
        <v>459</v>
      </c>
      <c r="D55" s="831">
        <v>2446</v>
      </c>
      <c r="E55" s="831">
        <v>0</v>
      </c>
      <c r="F55" s="831">
        <v>0</v>
      </c>
      <c r="G55" s="155">
        <f t="shared" si="1"/>
        <v>2446</v>
      </c>
    </row>
    <row r="56" spans="1:7" ht="11.25" customHeight="1" x14ac:dyDescent="0.25">
      <c r="A56" s="831">
        <v>49</v>
      </c>
      <c r="B56" s="154" t="s">
        <v>131</v>
      </c>
      <c r="C56" s="177" t="s">
        <v>132</v>
      </c>
      <c r="D56" s="831">
        <v>3224</v>
      </c>
      <c r="E56" s="831">
        <v>0</v>
      </c>
      <c r="F56" s="831">
        <v>0</v>
      </c>
      <c r="G56" s="155">
        <f t="shared" si="1"/>
        <v>3224</v>
      </c>
    </row>
    <row r="57" spans="1:7" ht="11.25" customHeight="1" x14ac:dyDescent="0.25">
      <c r="A57" s="831">
        <v>50</v>
      </c>
      <c r="B57" s="154" t="s">
        <v>133</v>
      </c>
      <c r="C57" s="177" t="s">
        <v>299</v>
      </c>
      <c r="D57" s="831">
        <v>3321</v>
      </c>
      <c r="E57" s="831">
        <v>0</v>
      </c>
      <c r="F57" s="831">
        <v>0</v>
      </c>
      <c r="G57" s="155">
        <f t="shared" si="1"/>
        <v>3321</v>
      </c>
    </row>
    <row r="58" spans="1:7" ht="11.25" customHeight="1" x14ac:dyDescent="0.25">
      <c r="A58" s="831">
        <v>51</v>
      </c>
      <c r="B58" s="250" t="s">
        <v>135</v>
      </c>
      <c r="C58" s="251" t="s">
        <v>674</v>
      </c>
      <c r="D58" s="831">
        <v>2083</v>
      </c>
      <c r="E58" s="831">
        <v>0</v>
      </c>
      <c r="F58" s="831">
        <v>0</v>
      </c>
      <c r="G58" s="155">
        <f t="shared" si="1"/>
        <v>2083</v>
      </c>
    </row>
    <row r="59" spans="1:7" ht="11.25" customHeight="1" x14ac:dyDescent="0.25">
      <c r="A59" s="831">
        <v>52</v>
      </c>
      <c r="B59" s="154" t="s">
        <v>141</v>
      </c>
      <c r="C59" s="177" t="s">
        <v>456</v>
      </c>
      <c r="D59" s="831">
        <v>4046</v>
      </c>
      <c r="E59" s="831">
        <v>2725</v>
      </c>
      <c r="F59" s="831">
        <v>1782</v>
      </c>
      <c r="G59" s="155">
        <f t="shared" si="1"/>
        <v>8553</v>
      </c>
    </row>
    <row r="60" spans="1:7" ht="11.25" customHeight="1" x14ac:dyDescent="0.25">
      <c r="A60" s="831">
        <v>53</v>
      </c>
      <c r="B60" s="154" t="s">
        <v>143</v>
      </c>
      <c r="C60" s="177" t="s">
        <v>144</v>
      </c>
      <c r="D60" s="831">
        <v>2561</v>
      </c>
      <c r="E60" s="831">
        <v>1735</v>
      </c>
      <c r="F60" s="831">
        <v>1271</v>
      </c>
      <c r="G60" s="155">
        <f t="shared" si="1"/>
        <v>5567</v>
      </c>
    </row>
    <row r="61" spans="1:7" ht="11.25" customHeight="1" x14ac:dyDescent="0.25">
      <c r="A61" s="831">
        <v>54</v>
      </c>
      <c r="B61" s="154" t="s">
        <v>145</v>
      </c>
      <c r="C61" s="177" t="s">
        <v>457</v>
      </c>
      <c r="D61" s="831">
        <v>5119</v>
      </c>
      <c r="E61" s="831">
        <v>3782</v>
      </c>
      <c r="F61" s="831">
        <v>2823</v>
      </c>
      <c r="G61" s="155">
        <f t="shared" si="1"/>
        <v>11724</v>
      </c>
    </row>
    <row r="62" spans="1:7" ht="11.25" customHeight="1" x14ac:dyDescent="0.25">
      <c r="A62" s="831">
        <v>55</v>
      </c>
      <c r="B62" s="161" t="s">
        <v>161</v>
      </c>
      <c r="C62" s="178" t="s">
        <v>162</v>
      </c>
      <c r="D62" s="831">
        <v>4217</v>
      </c>
      <c r="E62" s="831">
        <v>1793</v>
      </c>
      <c r="F62" s="831">
        <v>1289</v>
      </c>
      <c r="G62" s="155">
        <f t="shared" si="1"/>
        <v>7299</v>
      </c>
    </row>
    <row r="63" spans="1:7" ht="11.25" customHeight="1" x14ac:dyDescent="0.25">
      <c r="A63" s="831">
        <v>56</v>
      </c>
      <c r="B63" s="161" t="s">
        <v>163</v>
      </c>
      <c r="C63" s="178" t="s">
        <v>458</v>
      </c>
      <c r="D63" s="831">
        <v>7797</v>
      </c>
      <c r="E63" s="831">
        <v>4560</v>
      </c>
      <c r="F63" s="831">
        <v>3369</v>
      </c>
      <c r="G63" s="155">
        <f t="shared" si="1"/>
        <v>15726</v>
      </c>
    </row>
    <row r="64" spans="1:7" ht="11.25" customHeight="1" x14ac:dyDescent="0.25">
      <c r="A64" s="831">
        <v>57</v>
      </c>
      <c r="B64" s="161" t="s">
        <v>165</v>
      </c>
      <c r="C64" s="178" t="s">
        <v>166</v>
      </c>
      <c r="D64" s="831">
        <v>6152</v>
      </c>
      <c r="E64" s="831">
        <v>3897</v>
      </c>
      <c r="F64" s="831">
        <v>2821</v>
      </c>
      <c r="G64" s="155">
        <f t="shared" si="1"/>
        <v>12870</v>
      </c>
    </row>
    <row r="65" spans="1:7" ht="11.25" customHeight="1" x14ac:dyDescent="0.25">
      <c r="A65" s="831">
        <v>58</v>
      </c>
      <c r="B65" s="161" t="s">
        <v>167</v>
      </c>
      <c r="C65" s="178" t="s">
        <v>168</v>
      </c>
      <c r="D65" s="831">
        <v>1672</v>
      </c>
      <c r="E65" s="831">
        <v>909</v>
      </c>
      <c r="F65" s="831">
        <v>762</v>
      </c>
      <c r="G65" s="155">
        <f t="shared" si="1"/>
        <v>3343</v>
      </c>
    </row>
    <row r="66" spans="1:7" ht="11.25" customHeight="1" x14ac:dyDescent="0.25">
      <c r="A66" s="831">
        <v>59</v>
      </c>
      <c r="B66" s="161" t="s">
        <v>169</v>
      </c>
      <c r="C66" s="178" t="s">
        <v>170</v>
      </c>
      <c r="D66" s="831">
        <v>6478</v>
      </c>
      <c r="E66" s="831">
        <v>4237</v>
      </c>
      <c r="F66" s="831">
        <v>3162</v>
      </c>
      <c r="G66" s="155">
        <f t="shared" si="1"/>
        <v>13877</v>
      </c>
    </row>
    <row r="67" spans="1:7" ht="11.25" customHeight="1" x14ac:dyDescent="0.25">
      <c r="A67" s="831">
        <v>60</v>
      </c>
      <c r="B67" s="161" t="s">
        <v>171</v>
      </c>
      <c r="C67" s="178" t="s">
        <v>172</v>
      </c>
      <c r="D67" s="831">
        <v>1921</v>
      </c>
      <c r="E67" s="831">
        <v>0</v>
      </c>
      <c r="F67" s="831">
        <v>0</v>
      </c>
      <c r="G67" s="155">
        <f t="shared" si="1"/>
        <v>1921</v>
      </c>
    </row>
    <row r="68" spans="1:7" ht="11.25" customHeight="1" x14ac:dyDescent="0.25">
      <c r="A68" s="831">
        <v>61</v>
      </c>
      <c r="B68" s="161" t="s">
        <v>173</v>
      </c>
      <c r="C68" s="178" t="s">
        <v>616</v>
      </c>
      <c r="D68" s="831">
        <v>6920</v>
      </c>
      <c r="E68" s="831">
        <v>4454</v>
      </c>
      <c r="F68" s="831">
        <v>3307</v>
      </c>
      <c r="G68" s="155">
        <f t="shared" si="1"/>
        <v>14681</v>
      </c>
    </row>
    <row r="69" spans="1:7" ht="11.25" customHeight="1" x14ac:dyDescent="0.25">
      <c r="A69" s="831">
        <v>62</v>
      </c>
      <c r="B69" s="161" t="s">
        <v>178</v>
      </c>
      <c r="C69" s="178" t="s">
        <v>324</v>
      </c>
      <c r="D69" s="831">
        <v>357</v>
      </c>
      <c r="E69" s="831">
        <v>208</v>
      </c>
      <c r="F69" s="831">
        <v>132</v>
      </c>
      <c r="G69" s="155">
        <f t="shared" si="1"/>
        <v>697</v>
      </c>
    </row>
    <row r="70" spans="1:7" ht="11.25" customHeight="1" x14ac:dyDescent="0.25">
      <c r="A70" s="831">
        <v>63</v>
      </c>
      <c r="B70" s="161" t="s">
        <v>183</v>
      </c>
      <c r="C70" s="178" t="s">
        <v>184</v>
      </c>
      <c r="D70" s="831">
        <v>279</v>
      </c>
      <c r="E70" s="831">
        <v>159</v>
      </c>
      <c r="F70" s="831">
        <v>106</v>
      </c>
      <c r="G70" s="155">
        <f t="shared" si="1"/>
        <v>544</v>
      </c>
    </row>
    <row r="71" spans="1:7" ht="11.25" customHeight="1" x14ac:dyDescent="0.25">
      <c r="A71" s="831">
        <v>64</v>
      </c>
      <c r="B71" s="161" t="s">
        <v>185</v>
      </c>
      <c r="C71" s="178" t="s">
        <v>186</v>
      </c>
      <c r="D71" s="831">
        <v>3232</v>
      </c>
      <c r="E71" s="831">
        <v>2916</v>
      </c>
      <c r="F71" s="831">
        <v>2229</v>
      </c>
      <c r="G71" s="155">
        <f t="shared" si="1"/>
        <v>8377</v>
      </c>
    </row>
    <row r="72" spans="1:7" ht="11.25" customHeight="1" x14ac:dyDescent="0.25">
      <c r="A72" s="831">
        <v>65</v>
      </c>
      <c r="B72" s="161" t="s">
        <v>187</v>
      </c>
      <c r="C72" s="177" t="s">
        <v>188</v>
      </c>
      <c r="D72" s="831">
        <v>959</v>
      </c>
      <c r="E72" s="831">
        <v>459</v>
      </c>
      <c r="F72" s="831">
        <v>300</v>
      </c>
      <c r="G72" s="155">
        <f t="shared" si="1"/>
        <v>1718</v>
      </c>
    </row>
    <row r="73" spans="1:7" ht="11.25" customHeight="1" x14ac:dyDescent="0.25">
      <c r="A73" s="831">
        <v>66</v>
      </c>
      <c r="B73" s="154" t="s">
        <v>189</v>
      </c>
      <c r="C73" s="177" t="s">
        <v>190</v>
      </c>
      <c r="D73" s="831">
        <v>0</v>
      </c>
      <c r="E73" s="831">
        <v>203</v>
      </c>
      <c r="F73" s="831">
        <v>136</v>
      </c>
      <c r="G73" s="155">
        <f t="shared" si="1"/>
        <v>339</v>
      </c>
    </row>
    <row r="74" spans="1:7" ht="11.25" customHeight="1" x14ac:dyDescent="0.25">
      <c r="A74" s="831">
        <v>67</v>
      </c>
      <c r="B74" s="161" t="s">
        <v>191</v>
      </c>
      <c r="C74" s="177" t="s">
        <v>192</v>
      </c>
      <c r="D74" s="831">
        <v>2345</v>
      </c>
      <c r="E74" s="831">
        <v>1122</v>
      </c>
      <c r="F74" s="831">
        <v>749</v>
      </c>
      <c r="G74" s="155">
        <f t="shared" ref="G74:G92" si="2">SUM(D74:F74)</f>
        <v>4216</v>
      </c>
    </row>
    <row r="75" spans="1:7" ht="11.25" customHeight="1" x14ac:dyDescent="0.25">
      <c r="A75" s="831">
        <v>68</v>
      </c>
      <c r="B75" s="161" t="s">
        <v>193</v>
      </c>
      <c r="C75" s="177" t="s">
        <v>194</v>
      </c>
      <c r="D75" s="831">
        <v>717</v>
      </c>
      <c r="E75" s="831">
        <v>596</v>
      </c>
      <c r="F75" s="831">
        <v>373</v>
      </c>
      <c r="G75" s="155">
        <f t="shared" si="2"/>
        <v>1686</v>
      </c>
    </row>
    <row r="76" spans="1:7" ht="11.25" customHeight="1" x14ac:dyDescent="0.25">
      <c r="A76" s="831">
        <v>69</v>
      </c>
      <c r="B76" s="161" t="s">
        <v>195</v>
      </c>
      <c r="C76" s="177" t="s">
        <v>196</v>
      </c>
      <c r="D76" s="831">
        <v>1255</v>
      </c>
      <c r="E76" s="831">
        <v>631</v>
      </c>
      <c r="F76" s="831">
        <v>512</v>
      </c>
      <c r="G76" s="155">
        <f t="shared" si="2"/>
        <v>2398</v>
      </c>
    </row>
    <row r="77" spans="1:7" ht="11.25" customHeight="1" x14ac:dyDescent="0.25">
      <c r="A77" s="831">
        <v>70</v>
      </c>
      <c r="B77" s="161" t="s">
        <v>201</v>
      </c>
      <c r="C77" s="178" t="s">
        <v>202</v>
      </c>
      <c r="D77" s="831">
        <v>563</v>
      </c>
      <c r="E77" s="831">
        <v>210</v>
      </c>
      <c r="F77" s="831">
        <v>127</v>
      </c>
      <c r="G77" s="155">
        <f t="shared" si="2"/>
        <v>900</v>
      </c>
    </row>
    <row r="78" spans="1:7" ht="11.25" customHeight="1" x14ac:dyDescent="0.25">
      <c r="A78" s="831">
        <v>71</v>
      </c>
      <c r="B78" s="161" t="s">
        <v>203</v>
      </c>
      <c r="C78" s="178" t="s">
        <v>204</v>
      </c>
      <c r="D78" s="831">
        <v>624</v>
      </c>
      <c r="E78" s="831">
        <v>421</v>
      </c>
      <c r="F78" s="831">
        <v>0</v>
      </c>
      <c r="G78" s="155">
        <f t="shared" si="2"/>
        <v>1045</v>
      </c>
    </row>
    <row r="79" spans="1:7" ht="11.25" customHeight="1" x14ac:dyDescent="0.25">
      <c r="A79" s="831">
        <v>72</v>
      </c>
      <c r="B79" s="161" t="s">
        <v>205</v>
      </c>
      <c r="C79" s="178" t="s">
        <v>206</v>
      </c>
      <c r="D79" s="831">
        <v>1313</v>
      </c>
      <c r="E79" s="831">
        <v>550</v>
      </c>
      <c r="F79" s="831">
        <v>367</v>
      </c>
      <c r="G79" s="155">
        <f t="shared" si="2"/>
        <v>2230</v>
      </c>
    </row>
    <row r="80" spans="1:7" ht="11.25" customHeight="1" x14ac:dyDescent="0.25">
      <c r="A80" s="831">
        <v>73</v>
      </c>
      <c r="B80" s="161" t="s">
        <v>207</v>
      </c>
      <c r="C80" s="178" t="s">
        <v>208</v>
      </c>
      <c r="D80" s="831">
        <v>2088</v>
      </c>
      <c r="E80" s="831">
        <v>1502</v>
      </c>
      <c r="F80" s="831">
        <v>852</v>
      </c>
      <c r="G80" s="155">
        <f t="shared" si="2"/>
        <v>4442</v>
      </c>
    </row>
    <row r="81" spans="1:7" ht="11.25" customHeight="1" x14ac:dyDescent="0.25">
      <c r="A81" s="831">
        <v>74</v>
      </c>
      <c r="B81" s="161" t="s">
        <v>209</v>
      </c>
      <c r="C81" s="178" t="s">
        <v>210</v>
      </c>
      <c r="D81" s="831">
        <v>635</v>
      </c>
      <c r="E81" s="831">
        <v>430</v>
      </c>
      <c r="F81" s="831">
        <v>295</v>
      </c>
      <c r="G81" s="155">
        <f t="shared" si="2"/>
        <v>1360</v>
      </c>
    </row>
    <row r="82" spans="1:7" ht="11.25" customHeight="1" x14ac:dyDescent="0.25">
      <c r="A82" s="831">
        <v>75</v>
      </c>
      <c r="B82" s="161" t="s">
        <v>211</v>
      </c>
      <c r="C82" s="178" t="s">
        <v>212</v>
      </c>
      <c r="D82" s="831">
        <v>1631</v>
      </c>
      <c r="E82" s="831">
        <v>642</v>
      </c>
      <c r="F82" s="831">
        <v>429</v>
      </c>
      <c r="G82" s="155">
        <f t="shared" si="2"/>
        <v>2702</v>
      </c>
    </row>
    <row r="83" spans="1:7" ht="11.25" customHeight="1" x14ac:dyDescent="0.25">
      <c r="A83" s="831">
        <v>76</v>
      </c>
      <c r="B83" s="161" t="s">
        <v>213</v>
      </c>
      <c r="C83" s="178" t="s">
        <v>214</v>
      </c>
      <c r="D83" s="831">
        <v>2735</v>
      </c>
      <c r="E83" s="831">
        <v>1891</v>
      </c>
      <c r="F83" s="831">
        <v>1177</v>
      </c>
      <c r="G83" s="155">
        <f t="shared" si="2"/>
        <v>5803</v>
      </c>
    </row>
    <row r="84" spans="1:7" ht="11.25" customHeight="1" x14ac:dyDescent="0.25">
      <c r="A84" s="831">
        <v>77</v>
      </c>
      <c r="B84" s="161" t="s">
        <v>215</v>
      </c>
      <c r="C84" s="178" t="s">
        <v>216</v>
      </c>
      <c r="D84" s="831">
        <v>365</v>
      </c>
      <c r="E84" s="831">
        <v>174</v>
      </c>
      <c r="F84" s="831">
        <v>132</v>
      </c>
      <c r="G84" s="155">
        <f t="shared" si="2"/>
        <v>671</v>
      </c>
    </row>
    <row r="85" spans="1:7" ht="11.25" customHeight="1" x14ac:dyDescent="0.25">
      <c r="A85" s="831">
        <v>78</v>
      </c>
      <c r="B85" s="161" t="s">
        <v>258</v>
      </c>
      <c r="C85" s="178" t="s">
        <v>675</v>
      </c>
      <c r="D85" s="831">
        <v>3251</v>
      </c>
      <c r="E85" s="831">
        <v>2340</v>
      </c>
      <c r="F85" s="831">
        <v>2666</v>
      </c>
      <c r="G85" s="155">
        <f t="shared" si="2"/>
        <v>8257</v>
      </c>
    </row>
    <row r="86" spans="1:7" ht="11.25" customHeight="1" x14ac:dyDescent="0.25">
      <c r="A86" s="831">
        <v>79</v>
      </c>
      <c r="B86" s="161" t="s">
        <v>260</v>
      </c>
      <c r="C86" s="178" t="s">
        <v>261</v>
      </c>
      <c r="D86" s="831">
        <v>3124</v>
      </c>
      <c r="E86" s="831">
        <v>0</v>
      </c>
      <c r="F86" s="831">
        <v>0</v>
      </c>
      <c r="G86" s="155">
        <f t="shared" si="2"/>
        <v>3124</v>
      </c>
    </row>
    <row r="87" spans="1:7" ht="11.25" customHeight="1" x14ac:dyDescent="0.25">
      <c r="A87" s="831">
        <v>80</v>
      </c>
      <c r="B87" s="161" t="s">
        <v>262</v>
      </c>
      <c r="C87" s="178" t="s">
        <v>263</v>
      </c>
      <c r="D87" s="831">
        <v>11000</v>
      </c>
      <c r="E87" s="831">
        <v>1300</v>
      </c>
      <c r="F87" s="831">
        <v>550</v>
      </c>
      <c r="G87" s="155">
        <f t="shared" si="2"/>
        <v>12850</v>
      </c>
    </row>
    <row r="88" spans="1:7" ht="11.25" customHeight="1" x14ac:dyDescent="0.25">
      <c r="A88" s="831">
        <v>81</v>
      </c>
      <c r="B88" s="161" t="s">
        <v>264</v>
      </c>
      <c r="C88" s="178" t="s">
        <v>265</v>
      </c>
      <c r="D88" s="831">
        <v>4028</v>
      </c>
      <c r="E88" s="831">
        <v>2</v>
      </c>
      <c r="F88" s="831">
        <v>12</v>
      </c>
      <c r="G88" s="155">
        <f t="shared" si="2"/>
        <v>4042</v>
      </c>
    </row>
    <row r="89" spans="1:7" ht="11.25" customHeight="1" x14ac:dyDescent="0.25">
      <c r="A89" s="831">
        <v>82</v>
      </c>
      <c r="B89" s="161" t="s">
        <v>268</v>
      </c>
      <c r="C89" s="178" t="s">
        <v>269</v>
      </c>
      <c r="D89" s="831">
        <v>713</v>
      </c>
      <c r="E89" s="831">
        <v>0</v>
      </c>
      <c r="F89" s="831">
        <v>0</v>
      </c>
      <c r="G89" s="155">
        <f t="shared" si="2"/>
        <v>713</v>
      </c>
    </row>
    <row r="90" spans="1:7" ht="11.25" customHeight="1" x14ac:dyDescent="0.25">
      <c r="A90" s="831">
        <v>83</v>
      </c>
      <c r="B90" s="161" t="s">
        <v>274</v>
      </c>
      <c r="C90" s="178" t="s">
        <v>275</v>
      </c>
      <c r="D90" s="831">
        <v>440</v>
      </c>
      <c r="E90" s="831">
        <v>932</v>
      </c>
      <c r="F90" s="831">
        <v>1150</v>
      </c>
      <c r="G90" s="155">
        <f t="shared" si="2"/>
        <v>2522</v>
      </c>
    </row>
    <row r="91" spans="1:7" ht="11.25" customHeight="1" x14ac:dyDescent="0.25">
      <c r="A91" s="831">
        <v>84</v>
      </c>
      <c r="B91" s="161" t="s">
        <v>276</v>
      </c>
      <c r="C91" s="152" t="s">
        <v>277</v>
      </c>
      <c r="D91" s="831">
        <v>2798</v>
      </c>
      <c r="E91" s="831">
        <v>2055</v>
      </c>
      <c r="F91" s="831">
        <v>1535</v>
      </c>
      <c r="G91" s="155">
        <f t="shared" si="2"/>
        <v>6388</v>
      </c>
    </row>
    <row r="92" spans="1:7" ht="11.25" customHeight="1" x14ac:dyDescent="0.25">
      <c r="A92" s="831">
        <v>85</v>
      </c>
      <c r="B92" s="161" t="s">
        <v>278</v>
      </c>
      <c r="C92" s="178" t="s">
        <v>279</v>
      </c>
      <c r="D92" s="831">
        <v>5581</v>
      </c>
      <c r="E92" s="831">
        <v>3524</v>
      </c>
      <c r="F92" s="831">
        <v>2227</v>
      </c>
      <c r="G92" s="155">
        <f t="shared" si="2"/>
        <v>11332</v>
      </c>
    </row>
    <row r="93" spans="1:7" ht="11.25" customHeight="1" x14ac:dyDescent="0.25">
      <c r="C93" s="173"/>
    </row>
    <row r="94" spans="1:7" ht="11.25" customHeight="1" x14ac:dyDescent="0.25">
      <c r="C94" s="179"/>
      <c r="D94" s="437"/>
      <c r="E94" s="437"/>
      <c r="F94" s="437"/>
    </row>
    <row r="95" spans="1:7" ht="11.25" customHeight="1" x14ac:dyDescent="0.25">
      <c r="C95" s="179"/>
    </row>
    <row r="96" spans="1:7" ht="11.25" customHeight="1" x14ac:dyDescent="0.25"/>
    <row r="98" spans="5:5" ht="11.25" customHeight="1" x14ac:dyDescent="0.25"/>
    <row r="99" spans="5:5" ht="11.25" customHeight="1" x14ac:dyDescent="0.25">
      <c r="E99" s="173">
        <f>95555-E5</f>
        <v>-5795</v>
      </c>
    </row>
    <row r="100" spans="5:5" ht="15.75" customHeight="1" x14ac:dyDescent="0.25"/>
    <row r="101" spans="5:5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Z244"/>
  <sheetViews>
    <sheetView zoomScale="90" zoomScaleNormal="90" zoomScaleSheetLayoutView="85" workbookViewId="0">
      <pane xSplit="3" ySplit="5" topLeftCell="D45" activePane="bottomRight" state="frozen"/>
      <selection activeCell="D11" sqref="D11"/>
      <selection pane="topRight" activeCell="D11" sqref="D11"/>
      <selection pane="bottomLeft" activeCell="D11" sqref="D11"/>
      <selection pane="bottomRight" activeCell="C77" sqref="C77"/>
    </sheetView>
  </sheetViews>
  <sheetFormatPr defaultRowHeight="15" x14ac:dyDescent="0.25"/>
  <cols>
    <col min="1" max="1" width="4" style="180" customWidth="1"/>
    <col min="2" max="2" width="8.28515625" style="180" customWidth="1"/>
    <col min="3" max="3" width="35.42578125" style="226" customWidth="1"/>
    <col min="4" max="4" width="11.42578125" style="227" customWidth="1"/>
    <col min="5" max="5" width="9.140625" style="224" customWidth="1"/>
    <col min="6" max="6" width="11.42578125" style="183" customWidth="1"/>
    <col min="7" max="7" width="15.85546875" style="183" customWidth="1"/>
    <col min="8" max="8" width="8.140625" style="180" customWidth="1"/>
    <col min="9" max="10" width="9" style="180" customWidth="1"/>
    <col min="11" max="11" width="12.7109375" style="180" customWidth="1"/>
    <col min="12" max="12" width="8.7109375" style="180" customWidth="1"/>
    <col min="13" max="13" width="8.5703125" style="180" customWidth="1"/>
    <col min="14" max="14" width="9.140625" style="180" customWidth="1"/>
    <col min="15" max="15" width="8.7109375" style="180" customWidth="1"/>
    <col min="16" max="16" width="11.140625" style="180" customWidth="1"/>
    <col min="17" max="22" width="13.42578125" style="180" customWidth="1"/>
    <col min="23" max="23" width="17.85546875" style="180" customWidth="1"/>
    <col min="24" max="24" width="9.5703125" style="180" customWidth="1"/>
    <col min="25" max="25" width="10.140625" style="180" customWidth="1"/>
    <col min="26" max="26" width="34.42578125" style="180" customWidth="1"/>
    <col min="27" max="16384" width="9.140625" style="180"/>
  </cols>
  <sheetData>
    <row r="1" spans="1:26" ht="27" customHeight="1" x14ac:dyDescent="0.25">
      <c r="A1" s="1366" t="s">
        <v>751</v>
      </c>
      <c r="B1" s="1366"/>
      <c r="C1" s="1366"/>
      <c r="D1" s="1366"/>
      <c r="E1" s="1366"/>
      <c r="F1" s="1366"/>
      <c r="G1" s="1366"/>
      <c r="H1" s="1366"/>
      <c r="I1" s="1366"/>
      <c r="J1" s="1366"/>
      <c r="K1" s="1366"/>
      <c r="L1" s="1366"/>
      <c r="M1" s="1366"/>
      <c r="N1" s="1366"/>
      <c r="O1" s="1366"/>
      <c r="P1" s="1366"/>
      <c r="Q1" s="1366"/>
      <c r="R1" s="1366"/>
      <c r="S1" s="1366"/>
      <c r="T1" s="1366"/>
      <c r="U1" s="1366"/>
      <c r="V1" s="1366"/>
      <c r="W1" s="1366"/>
      <c r="X1" s="1366"/>
      <c r="Y1" s="1366"/>
    </row>
    <row r="2" spans="1:26" ht="2.25" customHeight="1" thickBot="1" x14ac:dyDescent="0.3">
      <c r="C2" s="181"/>
      <c r="D2" s="182"/>
      <c r="E2" s="182"/>
      <c r="P2" s="184"/>
      <c r="Q2" s="184"/>
      <c r="R2" s="184"/>
      <c r="S2" s="184"/>
      <c r="T2" s="184"/>
      <c r="U2" s="184"/>
      <c r="V2" s="184"/>
      <c r="W2" s="1367" t="s">
        <v>326</v>
      </c>
      <c r="X2" s="1367"/>
      <c r="Y2" s="1367"/>
    </row>
    <row r="3" spans="1:26" s="187" customFormat="1" ht="72" customHeight="1" x14ac:dyDescent="0.25">
      <c r="A3" s="1368" t="s">
        <v>0</v>
      </c>
      <c r="B3" s="1370" t="s">
        <v>302</v>
      </c>
      <c r="C3" s="1370" t="s">
        <v>292</v>
      </c>
      <c r="D3" s="252" t="s">
        <v>676</v>
      </c>
      <c r="E3" s="185"/>
      <c r="F3" s="185"/>
      <c r="G3" s="185"/>
      <c r="H3" s="185"/>
      <c r="I3" s="185"/>
      <c r="J3" s="185"/>
      <c r="K3" s="186"/>
      <c r="L3" s="1372" t="s">
        <v>677</v>
      </c>
      <c r="M3" s="1373"/>
      <c r="N3" s="1373"/>
      <c r="O3" s="1373"/>
      <c r="P3" s="1374"/>
      <c r="Q3" s="1375" t="s">
        <v>678</v>
      </c>
      <c r="R3" s="1376"/>
      <c r="S3" s="1376"/>
      <c r="T3" s="1376"/>
      <c r="U3" s="1376"/>
      <c r="V3" s="1376"/>
      <c r="W3" s="1376"/>
      <c r="X3" s="1377"/>
      <c r="Y3" s="1378"/>
    </row>
    <row r="4" spans="1:26" s="187" customFormat="1" ht="67.5" customHeight="1" x14ac:dyDescent="0.25">
      <c r="A4" s="1369"/>
      <c r="B4" s="1371"/>
      <c r="C4" s="1371"/>
      <c r="D4" s="1379" t="s">
        <v>679</v>
      </c>
      <c r="E4" s="1381" t="s">
        <v>680</v>
      </c>
      <c r="F4" s="188" t="s">
        <v>752</v>
      </c>
      <c r="G4" s="1383" t="s">
        <v>753</v>
      </c>
      <c r="H4" s="1371" t="s">
        <v>4</v>
      </c>
      <c r="I4" s="1371"/>
      <c r="J4" s="1371"/>
      <c r="K4" s="1385" t="s">
        <v>6</v>
      </c>
      <c r="L4" s="1387" t="s">
        <v>681</v>
      </c>
      <c r="M4" s="1364" t="s">
        <v>682</v>
      </c>
      <c r="N4" s="1364" t="s">
        <v>683</v>
      </c>
      <c r="O4" s="1364" t="s">
        <v>684</v>
      </c>
      <c r="P4" s="1397" t="s">
        <v>6</v>
      </c>
      <c r="Q4" s="1398" t="s">
        <v>685</v>
      </c>
      <c r="R4" s="1389" t="s">
        <v>686</v>
      </c>
      <c r="S4" s="1389" t="s">
        <v>687</v>
      </c>
      <c r="T4" s="1389" t="s">
        <v>688</v>
      </c>
      <c r="U4" s="1389" t="s">
        <v>689</v>
      </c>
      <c r="V4" s="1389" t="s">
        <v>690</v>
      </c>
      <c r="W4" s="1391" t="s">
        <v>691</v>
      </c>
      <c r="X4" s="1393" t="s">
        <v>692</v>
      </c>
      <c r="Y4" s="1395" t="s">
        <v>6</v>
      </c>
    </row>
    <row r="5" spans="1:26" s="187" customFormat="1" ht="51.75" customHeight="1" x14ac:dyDescent="0.25">
      <c r="A5" s="1369"/>
      <c r="B5" s="1371"/>
      <c r="C5" s="1371"/>
      <c r="D5" s="1380"/>
      <c r="E5" s="1382"/>
      <c r="F5" s="189" t="s">
        <v>693</v>
      </c>
      <c r="G5" s="1384"/>
      <c r="H5" s="190" t="s">
        <v>694</v>
      </c>
      <c r="I5" s="190" t="s">
        <v>695</v>
      </c>
      <c r="J5" s="190" t="s">
        <v>696</v>
      </c>
      <c r="K5" s="1386"/>
      <c r="L5" s="1388"/>
      <c r="M5" s="1365"/>
      <c r="N5" s="1365"/>
      <c r="O5" s="1365"/>
      <c r="P5" s="1396"/>
      <c r="Q5" s="1399"/>
      <c r="R5" s="1390"/>
      <c r="S5" s="1390"/>
      <c r="T5" s="1390"/>
      <c r="U5" s="1390"/>
      <c r="V5" s="1390"/>
      <c r="W5" s="1392"/>
      <c r="X5" s="1394"/>
      <c r="Y5" s="1396"/>
    </row>
    <row r="6" spans="1:26" s="201" customFormat="1" ht="12.75" customHeight="1" x14ac:dyDescent="0.25">
      <c r="A6" s="255"/>
      <c r="B6" s="208"/>
      <c r="C6" s="192" t="s">
        <v>6</v>
      </c>
      <c r="D6" s="253">
        <f>D7+D8</f>
        <v>88793</v>
      </c>
      <c r="E6" s="193">
        <f t="shared" ref="E6:Y6" si="0">E7+E8</f>
        <v>4613</v>
      </c>
      <c r="F6" s="194">
        <f t="shared" si="0"/>
        <v>11235</v>
      </c>
      <c r="G6" s="194">
        <f t="shared" si="0"/>
        <v>10675</v>
      </c>
      <c r="H6" s="195">
        <f t="shared" si="0"/>
        <v>8260</v>
      </c>
      <c r="I6" s="195">
        <f t="shared" si="0"/>
        <v>549</v>
      </c>
      <c r="J6" s="195">
        <f t="shared" si="0"/>
        <v>1866</v>
      </c>
      <c r="K6" s="196">
        <f t="shared" si="0"/>
        <v>115316</v>
      </c>
      <c r="L6" s="840">
        <f t="shared" si="0"/>
        <v>1725</v>
      </c>
      <c r="M6" s="197">
        <f t="shared" si="0"/>
        <v>8066</v>
      </c>
      <c r="N6" s="197">
        <f t="shared" si="0"/>
        <v>24989</v>
      </c>
      <c r="O6" s="197">
        <f t="shared" si="0"/>
        <v>16953</v>
      </c>
      <c r="P6" s="198">
        <f t="shared" si="0"/>
        <v>51733</v>
      </c>
      <c r="Q6" s="199">
        <f t="shared" si="0"/>
        <v>583</v>
      </c>
      <c r="R6" s="200">
        <f t="shared" si="0"/>
        <v>879</v>
      </c>
      <c r="S6" s="200">
        <f t="shared" si="0"/>
        <v>690</v>
      </c>
      <c r="T6" s="200">
        <f t="shared" si="0"/>
        <v>690</v>
      </c>
      <c r="U6" s="200">
        <f t="shared" si="0"/>
        <v>393</v>
      </c>
      <c r="V6" s="200">
        <f t="shared" si="0"/>
        <v>1650</v>
      </c>
      <c r="W6" s="200">
        <f t="shared" si="0"/>
        <v>2072</v>
      </c>
      <c r="X6" s="200">
        <f t="shared" si="0"/>
        <v>20</v>
      </c>
      <c r="Y6" s="198">
        <f t="shared" si="0"/>
        <v>6977</v>
      </c>
    </row>
    <row r="7" spans="1:26" s="201" customFormat="1" ht="12.75" customHeight="1" x14ac:dyDescent="0.25">
      <c r="A7" s="255"/>
      <c r="B7" s="208"/>
      <c r="C7" s="254" t="s">
        <v>14</v>
      </c>
      <c r="D7" s="253">
        <v>0</v>
      </c>
      <c r="E7" s="193">
        <v>0</v>
      </c>
      <c r="F7" s="194">
        <v>0</v>
      </c>
      <c r="G7" s="194">
        <v>0</v>
      </c>
      <c r="H7" s="195">
        <v>0</v>
      </c>
      <c r="I7" s="195">
        <v>0</v>
      </c>
      <c r="J7" s="195">
        <v>0</v>
      </c>
      <c r="K7" s="196">
        <v>0</v>
      </c>
      <c r="L7" s="840">
        <v>0</v>
      </c>
      <c r="M7" s="197">
        <v>0</v>
      </c>
      <c r="N7" s="197">
        <v>0</v>
      </c>
      <c r="O7" s="197">
        <v>0</v>
      </c>
      <c r="P7" s="198">
        <v>0</v>
      </c>
      <c r="Q7" s="199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198">
        <v>0</v>
      </c>
    </row>
    <row r="8" spans="1:26" s="201" customFormat="1" ht="12" customHeight="1" x14ac:dyDescent="0.25">
      <c r="A8" s="255"/>
      <c r="B8" s="208"/>
      <c r="C8" s="254" t="s">
        <v>15</v>
      </c>
      <c r="D8" s="253">
        <f t="shared" ref="D8:Y8" si="1">SUM(D9:D97)</f>
        <v>88793</v>
      </c>
      <c r="E8" s="193">
        <f t="shared" si="1"/>
        <v>4613</v>
      </c>
      <c r="F8" s="194">
        <f t="shared" si="1"/>
        <v>11235</v>
      </c>
      <c r="G8" s="194">
        <f t="shared" si="1"/>
        <v>10675</v>
      </c>
      <c r="H8" s="195">
        <f>SUM(H9:H97)</f>
        <v>8260</v>
      </c>
      <c r="I8" s="195">
        <f t="shared" ref="I8:J8" si="2">SUM(I9:I97)</f>
        <v>549</v>
      </c>
      <c r="J8" s="195">
        <f t="shared" si="2"/>
        <v>1866</v>
      </c>
      <c r="K8" s="196">
        <f t="shared" si="1"/>
        <v>115316</v>
      </c>
      <c r="L8" s="840">
        <f t="shared" si="1"/>
        <v>1725</v>
      </c>
      <c r="M8" s="197">
        <f t="shared" si="1"/>
        <v>8066</v>
      </c>
      <c r="N8" s="197">
        <f t="shared" si="1"/>
        <v>24989</v>
      </c>
      <c r="O8" s="197">
        <f t="shared" si="1"/>
        <v>16953</v>
      </c>
      <c r="P8" s="198">
        <f t="shared" si="1"/>
        <v>51733</v>
      </c>
      <c r="Q8" s="199">
        <f t="shared" si="1"/>
        <v>583</v>
      </c>
      <c r="R8" s="200">
        <f t="shared" si="1"/>
        <v>879</v>
      </c>
      <c r="S8" s="200">
        <f t="shared" si="1"/>
        <v>690</v>
      </c>
      <c r="T8" s="200">
        <f t="shared" si="1"/>
        <v>690</v>
      </c>
      <c r="U8" s="200">
        <f t="shared" si="1"/>
        <v>393</v>
      </c>
      <c r="V8" s="200">
        <f t="shared" si="1"/>
        <v>1650</v>
      </c>
      <c r="W8" s="200">
        <f t="shared" si="1"/>
        <v>2072</v>
      </c>
      <c r="X8" s="200">
        <f t="shared" si="1"/>
        <v>20</v>
      </c>
      <c r="Y8" s="202">
        <f t="shared" si="1"/>
        <v>6977</v>
      </c>
    </row>
    <row r="9" spans="1:26" s="187" customFormat="1" ht="13.5" customHeight="1" x14ac:dyDescent="0.25">
      <c r="A9" s="256">
        <v>1</v>
      </c>
      <c r="B9" s="205" t="s">
        <v>16</v>
      </c>
      <c r="C9" s="205" t="s">
        <v>17</v>
      </c>
      <c r="D9" s="650">
        <v>353</v>
      </c>
      <c r="E9" s="206">
        <v>0</v>
      </c>
      <c r="F9" s="207">
        <v>0</v>
      </c>
      <c r="G9" s="207">
        <f t="shared" ref="G9:G13" si="3">H9+I9+J9</f>
        <v>0</v>
      </c>
      <c r="H9" s="208"/>
      <c r="I9" s="208"/>
      <c r="J9" s="208"/>
      <c r="K9" s="209">
        <f t="shared" ref="K9:K73" si="4">D9+E9+F9+G9</f>
        <v>353</v>
      </c>
      <c r="L9" s="841">
        <v>0</v>
      </c>
      <c r="M9" s="210">
        <v>0</v>
      </c>
      <c r="N9" s="210">
        <v>0</v>
      </c>
      <c r="O9" s="210">
        <v>0</v>
      </c>
      <c r="P9" s="211">
        <f t="shared" ref="P9:P73" si="5">L9+M9+N9+O9</f>
        <v>0</v>
      </c>
      <c r="Q9" s="191"/>
      <c r="R9" s="206"/>
      <c r="S9" s="206"/>
      <c r="T9" s="206"/>
      <c r="U9" s="206"/>
      <c r="V9" s="206"/>
      <c r="W9" s="206"/>
      <c r="X9" s="212"/>
      <c r="Y9" s="264"/>
      <c r="Z9" s="213"/>
    </row>
    <row r="10" spans="1:26" s="187" customFormat="1" ht="13.5" customHeight="1" x14ac:dyDescent="0.25">
      <c r="A10" s="256">
        <v>2</v>
      </c>
      <c r="B10" s="205" t="s">
        <v>18</v>
      </c>
      <c r="C10" s="205" t="s">
        <v>19</v>
      </c>
      <c r="D10" s="650">
        <v>374</v>
      </c>
      <c r="E10" s="206">
        <v>0</v>
      </c>
      <c r="F10" s="207">
        <v>0</v>
      </c>
      <c r="G10" s="207">
        <f t="shared" si="3"/>
        <v>0</v>
      </c>
      <c r="H10" s="208"/>
      <c r="I10" s="208"/>
      <c r="J10" s="208"/>
      <c r="K10" s="209">
        <f t="shared" si="4"/>
        <v>374</v>
      </c>
      <c r="L10" s="841">
        <v>0</v>
      </c>
      <c r="M10" s="210">
        <v>0</v>
      </c>
      <c r="N10" s="210">
        <v>0</v>
      </c>
      <c r="O10" s="210">
        <v>0</v>
      </c>
      <c r="P10" s="211">
        <f t="shared" si="5"/>
        <v>0</v>
      </c>
      <c r="Q10" s="191"/>
      <c r="R10" s="206"/>
      <c r="S10" s="206"/>
      <c r="T10" s="206"/>
      <c r="U10" s="206"/>
      <c r="V10" s="206"/>
      <c r="W10" s="206"/>
      <c r="X10" s="212"/>
      <c r="Y10" s="265"/>
      <c r="Z10" s="213"/>
    </row>
    <row r="11" spans="1:26" s="187" customFormat="1" ht="13.5" customHeight="1" x14ac:dyDescent="0.25">
      <c r="A11" s="256">
        <v>3</v>
      </c>
      <c r="B11" s="205" t="s">
        <v>20</v>
      </c>
      <c r="C11" s="205" t="s">
        <v>21</v>
      </c>
      <c r="D11" s="650">
        <v>1066</v>
      </c>
      <c r="E11" s="206">
        <v>48</v>
      </c>
      <c r="F11" s="207">
        <v>261</v>
      </c>
      <c r="G11" s="207">
        <f t="shared" si="3"/>
        <v>0</v>
      </c>
      <c r="H11" s="207"/>
      <c r="I11" s="214"/>
      <c r="J11" s="214"/>
      <c r="K11" s="209">
        <f t="shared" si="4"/>
        <v>1375</v>
      </c>
      <c r="L11" s="841">
        <v>47</v>
      </c>
      <c r="M11" s="210">
        <v>185</v>
      </c>
      <c r="N11" s="210">
        <v>438</v>
      </c>
      <c r="O11" s="210">
        <v>365</v>
      </c>
      <c r="P11" s="211">
        <f t="shared" si="5"/>
        <v>1035</v>
      </c>
      <c r="Q11" s="191"/>
      <c r="R11" s="206"/>
      <c r="S11" s="206"/>
      <c r="T11" s="206"/>
      <c r="U11" s="206"/>
      <c r="V11" s="206"/>
      <c r="W11" s="206"/>
      <c r="X11" s="212"/>
      <c r="Y11" s="265"/>
      <c r="Z11" s="213"/>
    </row>
    <row r="12" spans="1:26" s="187" customFormat="1" ht="13.5" customHeight="1" x14ac:dyDescent="0.25">
      <c r="A12" s="256">
        <v>4</v>
      </c>
      <c r="B12" s="205" t="s">
        <v>22</v>
      </c>
      <c r="C12" s="205" t="s">
        <v>23</v>
      </c>
      <c r="D12" s="650">
        <v>417</v>
      </c>
      <c r="E12" s="206">
        <v>0</v>
      </c>
      <c r="F12" s="207">
        <v>0</v>
      </c>
      <c r="G12" s="207">
        <f t="shared" si="3"/>
        <v>0</v>
      </c>
      <c r="H12" s="215"/>
      <c r="I12" s="215"/>
      <c r="J12" s="215"/>
      <c r="K12" s="209">
        <f t="shared" si="4"/>
        <v>417</v>
      </c>
      <c r="L12" s="841">
        <v>0</v>
      </c>
      <c r="M12" s="210">
        <v>0</v>
      </c>
      <c r="N12" s="210">
        <v>0</v>
      </c>
      <c r="O12" s="210">
        <v>0</v>
      </c>
      <c r="P12" s="211">
        <f t="shared" si="5"/>
        <v>0</v>
      </c>
      <c r="Q12" s="191"/>
      <c r="R12" s="206"/>
      <c r="S12" s="206"/>
      <c r="T12" s="206"/>
      <c r="U12" s="206"/>
      <c r="V12" s="206"/>
      <c r="W12" s="206"/>
      <c r="X12" s="212"/>
      <c r="Y12" s="265"/>
      <c r="Z12" s="213"/>
    </row>
    <row r="13" spans="1:26" s="187" customFormat="1" ht="13.5" customHeight="1" x14ac:dyDescent="0.25">
      <c r="A13" s="256">
        <v>5</v>
      </c>
      <c r="B13" s="205" t="s">
        <v>24</v>
      </c>
      <c r="C13" s="205" t="s">
        <v>25</v>
      </c>
      <c r="D13" s="650">
        <v>425</v>
      </c>
      <c r="E13" s="206">
        <v>9</v>
      </c>
      <c r="F13" s="207">
        <v>51</v>
      </c>
      <c r="G13" s="207">
        <f t="shared" si="3"/>
        <v>0</v>
      </c>
      <c r="H13" s="207"/>
      <c r="I13" s="214"/>
      <c r="J13" s="214"/>
      <c r="K13" s="209">
        <f t="shared" si="4"/>
        <v>485</v>
      </c>
      <c r="L13" s="841">
        <v>0</v>
      </c>
      <c r="M13" s="210">
        <v>0</v>
      </c>
      <c r="N13" s="210">
        <v>0</v>
      </c>
      <c r="O13" s="210">
        <v>0</v>
      </c>
      <c r="P13" s="211">
        <f t="shared" si="5"/>
        <v>0</v>
      </c>
      <c r="Q13" s="191"/>
      <c r="R13" s="206"/>
      <c r="S13" s="206"/>
      <c r="T13" s="206"/>
      <c r="U13" s="206"/>
      <c r="V13" s="206"/>
      <c r="W13" s="206"/>
      <c r="X13" s="212"/>
      <c r="Y13" s="265"/>
      <c r="Z13" s="213"/>
    </row>
    <row r="14" spans="1:26" s="187" customFormat="1" ht="13.5" customHeight="1" x14ac:dyDescent="0.25">
      <c r="A14" s="203">
        <v>6</v>
      </c>
      <c r="B14" s="204" t="s">
        <v>26</v>
      </c>
      <c r="C14" s="205" t="s">
        <v>27</v>
      </c>
      <c r="D14" s="650">
        <v>2892</v>
      </c>
      <c r="E14" s="206">
        <v>62</v>
      </c>
      <c r="F14" s="207">
        <v>411</v>
      </c>
      <c r="G14" s="207">
        <f t="shared" ref="G14:G78" si="6">H14+I14+J14</f>
        <v>598</v>
      </c>
      <c r="H14" s="207">
        <v>450</v>
      </c>
      <c r="I14" s="214">
        <v>58</v>
      </c>
      <c r="J14" s="214">
        <v>90</v>
      </c>
      <c r="K14" s="209">
        <f t="shared" si="4"/>
        <v>3963</v>
      </c>
      <c r="L14" s="841">
        <v>147</v>
      </c>
      <c r="M14" s="210">
        <v>309</v>
      </c>
      <c r="N14" s="210">
        <v>996</v>
      </c>
      <c r="O14" s="210">
        <v>731</v>
      </c>
      <c r="P14" s="211">
        <f t="shared" si="5"/>
        <v>2183</v>
      </c>
      <c r="Q14" s="191"/>
      <c r="R14" s="206"/>
      <c r="S14" s="206"/>
      <c r="T14" s="206"/>
      <c r="U14" s="206"/>
      <c r="V14" s="206"/>
      <c r="W14" s="206"/>
      <c r="X14" s="212"/>
      <c r="Y14" s="265"/>
      <c r="Z14" s="213"/>
    </row>
    <row r="15" spans="1:26" s="187" customFormat="1" ht="13.5" customHeight="1" x14ac:dyDescent="0.25">
      <c r="A15" s="203">
        <v>7</v>
      </c>
      <c r="B15" s="204" t="s">
        <v>28</v>
      </c>
      <c r="C15" s="205" t="s">
        <v>29</v>
      </c>
      <c r="D15" s="650">
        <v>1112</v>
      </c>
      <c r="E15" s="206">
        <v>23</v>
      </c>
      <c r="F15" s="207">
        <v>130</v>
      </c>
      <c r="G15" s="207">
        <f t="shared" si="6"/>
        <v>314</v>
      </c>
      <c r="H15" s="208">
        <v>289</v>
      </c>
      <c r="I15" s="208">
        <v>5</v>
      </c>
      <c r="J15" s="208">
        <v>20</v>
      </c>
      <c r="K15" s="209">
        <f t="shared" si="4"/>
        <v>1579</v>
      </c>
      <c r="L15" s="841">
        <v>0</v>
      </c>
      <c r="M15" s="210">
        <v>0</v>
      </c>
      <c r="N15" s="210">
        <v>0</v>
      </c>
      <c r="O15" s="210">
        <v>0</v>
      </c>
      <c r="P15" s="211">
        <f t="shared" si="5"/>
        <v>0</v>
      </c>
      <c r="Q15" s="191"/>
      <c r="R15" s="206"/>
      <c r="S15" s="206"/>
      <c r="T15" s="206"/>
      <c r="U15" s="206"/>
      <c r="V15" s="206"/>
      <c r="W15" s="206"/>
      <c r="X15" s="212"/>
      <c r="Y15" s="265"/>
      <c r="Z15" s="213"/>
    </row>
    <row r="16" spans="1:26" s="187" customFormat="1" ht="13.5" customHeight="1" x14ac:dyDescent="0.25">
      <c r="A16" s="203">
        <v>8</v>
      </c>
      <c r="B16" s="204" t="s">
        <v>30</v>
      </c>
      <c r="C16" s="205" t="s">
        <v>31</v>
      </c>
      <c r="D16" s="650">
        <v>418</v>
      </c>
      <c r="E16" s="206">
        <v>0</v>
      </c>
      <c r="F16" s="207">
        <v>0</v>
      </c>
      <c r="G16" s="207">
        <f t="shared" si="6"/>
        <v>0</v>
      </c>
      <c r="H16" s="208"/>
      <c r="I16" s="208"/>
      <c r="J16" s="208"/>
      <c r="K16" s="209">
        <f t="shared" si="4"/>
        <v>418</v>
      </c>
      <c r="L16" s="841">
        <v>0</v>
      </c>
      <c r="M16" s="210">
        <v>0</v>
      </c>
      <c r="N16" s="210">
        <v>0</v>
      </c>
      <c r="O16" s="210">
        <v>0</v>
      </c>
      <c r="P16" s="211">
        <f t="shared" si="5"/>
        <v>0</v>
      </c>
      <c r="Q16" s="191"/>
      <c r="R16" s="206"/>
      <c r="S16" s="206"/>
      <c r="T16" s="206"/>
      <c r="U16" s="206"/>
      <c r="V16" s="206"/>
      <c r="W16" s="206"/>
      <c r="X16" s="212"/>
      <c r="Y16" s="265"/>
      <c r="Z16" s="213"/>
    </row>
    <row r="17" spans="1:26" s="187" customFormat="1" ht="13.5" customHeight="1" x14ac:dyDescent="0.25">
      <c r="A17" s="203">
        <v>9</v>
      </c>
      <c r="B17" s="204" t="s">
        <v>32</v>
      </c>
      <c r="C17" s="205" t="s">
        <v>33</v>
      </c>
      <c r="D17" s="650">
        <v>402</v>
      </c>
      <c r="E17" s="206">
        <v>0</v>
      </c>
      <c r="F17" s="207">
        <v>0</v>
      </c>
      <c r="G17" s="207">
        <f t="shared" si="6"/>
        <v>0</v>
      </c>
      <c r="H17" s="208"/>
      <c r="I17" s="208"/>
      <c r="J17" s="208"/>
      <c r="K17" s="209">
        <f t="shared" si="4"/>
        <v>402</v>
      </c>
      <c r="L17" s="841">
        <v>0</v>
      </c>
      <c r="M17" s="210">
        <v>0</v>
      </c>
      <c r="N17" s="210">
        <v>0</v>
      </c>
      <c r="O17" s="210">
        <v>0</v>
      </c>
      <c r="P17" s="211">
        <f t="shared" si="5"/>
        <v>0</v>
      </c>
      <c r="Q17" s="191"/>
      <c r="R17" s="206"/>
      <c r="S17" s="206"/>
      <c r="T17" s="206"/>
      <c r="U17" s="206"/>
      <c r="V17" s="206"/>
      <c r="W17" s="206"/>
      <c r="X17" s="212"/>
      <c r="Y17" s="265"/>
      <c r="Z17" s="213"/>
    </row>
    <row r="18" spans="1:26" s="187" customFormat="1" ht="13.5" customHeight="1" x14ac:dyDescent="0.25">
      <c r="A18" s="203">
        <v>10</v>
      </c>
      <c r="B18" s="204" t="s">
        <v>34</v>
      </c>
      <c r="C18" s="205" t="s">
        <v>35</v>
      </c>
      <c r="D18" s="650">
        <v>529</v>
      </c>
      <c r="E18" s="206">
        <v>0</v>
      </c>
      <c r="F18" s="207">
        <v>0</v>
      </c>
      <c r="G18" s="207">
        <f t="shared" si="6"/>
        <v>0</v>
      </c>
      <c r="H18" s="208"/>
      <c r="I18" s="208"/>
      <c r="J18" s="208"/>
      <c r="K18" s="209">
        <f t="shared" si="4"/>
        <v>529</v>
      </c>
      <c r="L18" s="841">
        <v>0</v>
      </c>
      <c r="M18" s="210">
        <v>0</v>
      </c>
      <c r="N18" s="210">
        <v>0</v>
      </c>
      <c r="O18" s="210">
        <v>0</v>
      </c>
      <c r="P18" s="211">
        <f t="shared" si="5"/>
        <v>0</v>
      </c>
      <c r="Q18" s="191"/>
      <c r="R18" s="206"/>
      <c r="S18" s="206"/>
      <c r="T18" s="206"/>
      <c r="U18" s="206"/>
      <c r="V18" s="206"/>
      <c r="W18" s="206"/>
      <c r="X18" s="212"/>
      <c r="Y18" s="265"/>
      <c r="Z18" s="213"/>
    </row>
    <row r="19" spans="1:26" s="187" customFormat="1" ht="13.5" customHeight="1" x14ac:dyDescent="0.25">
      <c r="A19" s="203">
        <v>11</v>
      </c>
      <c r="B19" s="204" t="s">
        <v>36</v>
      </c>
      <c r="C19" s="205" t="s">
        <v>37</v>
      </c>
      <c r="D19" s="650">
        <v>411</v>
      </c>
      <c r="E19" s="206">
        <v>0</v>
      </c>
      <c r="F19" s="207">
        <v>49</v>
      </c>
      <c r="G19" s="207">
        <f t="shared" si="6"/>
        <v>0</v>
      </c>
      <c r="H19" s="208"/>
      <c r="I19" s="208"/>
      <c r="J19" s="208"/>
      <c r="K19" s="209">
        <f t="shared" si="4"/>
        <v>460</v>
      </c>
      <c r="L19" s="841">
        <v>0</v>
      </c>
      <c r="M19" s="210">
        <v>0</v>
      </c>
      <c r="N19" s="210">
        <v>0</v>
      </c>
      <c r="O19" s="210">
        <v>0</v>
      </c>
      <c r="P19" s="211">
        <f t="shared" si="5"/>
        <v>0</v>
      </c>
      <c r="Q19" s="191"/>
      <c r="R19" s="206"/>
      <c r="S19" s="206"/>
      <c r="T19" s="206"/>
      <c r="U19" s="206"/>
      <c r="V19" s="206"/>
      <c r="W19" s="206"/>
      <c r="X19" s="212"/>
      <c r="Y19" s="265"/>
      <c r="Z19" s="213"/>
    </row>
    <row r="20" spans="1:26" s="187" customFormat="1" ht="13.5" customHeight="1" x14ac:dyDescent="0.25">
      <c r="A20" s="203">
        <v>12</v>
      </c>
      <c r="B20" s="204" t="s">
        <v>38</v>
      </c>
      <c r="C20" s="205" t="s">
        <v>39</v>
      </c>
      <c r="D20" s="650">
        <v>814</v>
      </c>
      <c r="E20" s="206">
        <v>0</v>
      </c>
      <c r="F20" s="207">
        <v>97</v>
      </c>
      <c r="G20" s="207">
        <f t="shared" si="6"/>
        <v>91</v>
      </c>
      <c r="H20" s="208">
        <v>79</v>
      </c>
      <c r="I20" s="208">
        <v>4</v>
      </c>
      <c r="J20" s="208">
        <v>8</v>
      </c>
      <c r="K20" s="209">
        <f t="shared" si="4"/>
        <v>1002</v>
      </c>
      <c r="L20" s="841">
        <v>0</v>
      </c>
      <c r="M20" s="210">
        <v>0</v>
      </c>
      <c r="N20" s="210">
        <v>0</v>
      </c>
      <c r="O20" s="210">
        <v>0</v>
      </c>
      <c r="P20" s="211">
        <f t="shared" si="5"/>
        <v>0</v>
      </c>
      <c r="Q20" s="191"/>
      <c r="R20" s="206"/>
      <c r="S20" s="206"/>
      <c r="T20" s="206"/>
      <c r="U20" s="206"/>
      <c r="V20" s="206"/>
      <c r="W20" s="206"/>
      <c r="X20" s="212"/>
      <c r="Y20" s="265"/>
      <c r="Z20" s="213"/>
    </row>
    <row r="21" spans="1:26" s="187" customFormat="1" ht="13.5" customHeight="1" x14ac:dyDescent="0.25">
      <c r="A21" s="203">
        <v>13</v>
      </c>
      <c r="B21" s="216">
        <v>20163</v>
      </c>
      <c r="C21" s="205" t="s">
        <v>697</v>
      </c>
      <c r="D21" s="650">
        <v>55</v>
      </c>
      <c r="E21" s="206">
        <v>0</v>
      </c>
      <c r="F21" s="207">
        <v>55</v>
      </c>
      <c r="G21" s="207">
        <f t="shared" si="6"/>
        <v>0</v>
      </c>
      <c r="H21" s="208"/>
      <c r="I21" s="208"/>
      <c r="J21" s="208"/>
      <c r="K21" s="209">
        <f>D21+E21+F21+G21</f>
        <v>110</v>
      </c>
      <c r="L21" s="841">
        <v>0</v>
      </c>
      <c r="M21" s="210">
        <v>0</v>
      </c>
      <c r="N21" s="210">
        <v>0</v>
      </c>
      <c r="O21" s="210">
        <v>0</v>
      </c>
      <c r="P21" s="211">
        <f>L21+M21+N21+O21</f>
        <v>0</v>
      </c>
      <c r="Q21" s="191"/>
      <c r="R21" s="206"/>
      <c r="S21" s="206"/>
      <c r="T21" s="206"/>
      <c r="U21" s="206"/>
      <c r="V21" s="206"/>
      <c r="W21" s="206"/>
      <c r="X21" s="212"/>
      <c r="Y21" s="265"/>
      <c r="Z21" s="213"/>
    </row>
    <row r="22" spans="1:26" s="187" customFormat="1" ht="13.5" customHeight="1" x14ac:dyDescent="0.25">
      <c r="A22" s="203">
        <v>14</v>
      </c>
      <c r="B22" s="204" t="s">
        <v>44</v>
      </c>
      <c r="C22" s="205" t="s">
        <v>45</v>
      </c>
      <c r="D22" s="650">
        <v>515</v>
      </c>
      <c r="E22" s="206">
        <v>0</v>
      </c>
      <c r="F22" s="207">
        <v>62</v>
      </c>
      <c r="G22" s="207">
        <f t="shared" si="6"/>
        <v>110</v>
      </c>
      <c r="H22" s="208">
        <v>106</v>
      </c>
      <c r="I22" s="208">
        <v>0</v>
      </c>
      <c r="J22" s="208">
        <v>4</v>
      </c>
      <c r="K22" s="209">
        <f t="shared" si="4"/>
        <v>687</v>
      </c>
      <c r="L22" s="841">
        <v>0</v>
      </c>
      <c r="M22" s="210">
        <v>0</v>
      </c>
      <c r="N22" s="210">
        <v>0</v>
      </c>
      <c r="O22" s="210">
        <v>0</v>
      </c>
      <c r="P22" s="211">
        <f t="shared" si="5"/>
        <v>0</v>
      </c>
      <c r="Q22" s="191"/>
      <c r="R22" s="206"/>
      <c r="S22" s="206"/>
      <c r="T22" s="206"/>
      <c r="U22" s="206"/>
      <c r="V22" s="206"/>
      <c r="W22" s="206"/>
      <c r="X22" s="212"/>
      <c r="Y22" s="265"/>
      <c r="Z22" s="213"/>
    </row>
    <row r="23" spans="1:26" s="187" customFormat="1" ht="13.5" customHeight="1" x14ac:dyDescent="0.25">
      <c r="A23" s="203">
        <v>15</v>
      </c>
      <c r="B23" s="204" t="s">
        <v>46</v>
      </c>
      <c r="C23" s="205" t="s">
        <v>47</v>
      </c>
      <c r="D23" s="650">
        <v>733</v>
      </c>
      <c r="E23" s="206">
        <v>0</v>
      </c>
      <c r="F23" s="207">
        <v>0</v>
      </c>
      <c r="G23" s="207">
        <f t="shared" si="6"/>
        <v>0</v>
      </c>
      <c r="H23" s="208"/>
      <c r="I23" s="208"/>
      <c r="J23" s="208"/>
      <c r="K23" s="209">
        <f t="shared" si="4"/>
        <v>733</v>
      </c>
      <c r="L23" s="841">
        <v>0</v>
      </c>
      <c r="M23" s="210">
        <v>0</v>
      </c>
      <c r="N23" s="210">
        <v>0</v>
      </c>
      <c r="O23" s="210">
        <v>0</v>
      </c>
      <c r="P23" s="211">
        <f t="shared" si="5"/>
        <v>0</v>
      </c>
      <c r="Q23" s="191"/>
      <c r="R23" s="206"/>
      <c r="S23" s="206"/>
      <c r="T23" s="206"/>
      <c r="U23" s="206"/>
      <c r="V23" s="206"/>
      <c r="W23" s="206"/>
      <c r="X23" s="212"/>
      <c r="Y23" s="265"/>
      <c r="Z23" s="213"/>
    </row>
    <row r="24" spans="1:26" s="187" customFormat="1" ht="13.5" customHeight="1" x14ac:dyDescent="0.25">
      <c r="A24" s="203">
        <v>16</v>
      </c>
      <c r="B24" s="204" t="s">
        <v>48</v>
      </c>
      <c r="C24" s="205" t="s">
        <v>49</v>
      </c>
      <c r="D24" s="650">
        <v>968</v>
      </c>
      <c r="E24" s="206">
        <v>21</v>
      </c>
      <c r="F24" s="207">
        <v>93</v>
      </c>
      <c r="G24" s="207">
        <f t="shared" si="6"/>
        <v>132</v>
      </c>
      <c r="H24" s="208">
        <v>117</v>
      </c>
      <c r="I24" s="208">
        <v>5</v>
      </c>
      <c r="J24" s="208">
        <v>10</v>
      </c>
      <c r="K24" s="209">
        <f t="shared" si="4"/>
        <v>1214</v>
      </c>
      <c r="L24" s="841">
        <v>0</v>
      </c>
      <c r="M24" s="210">
        <v>0</v>
      </c>
      <c r="N24" s="210">
        <v>0</v>
      </c>
      <c r="O24" s="210">
        <v>0</v>
      </c>
      <c r="P24" s="211">
        <f t="shared" si="5"/>
        <v>0</v>
      </c>
      <c r="Q24" s="191"/>
      <c r="R24" s="206"/>
      <c r="S24" s="206"/>
      <c r="T24" s="206"/>
      <c r="U24" s="206"/>
      <c r="V24" s="206"/>
      <c r="W24" s="206"/>
      <c r="X24" s="212"/>
      <c r="Y24" s="265"/>
      <c r="Z24" s="213"/>
    </row>
    <row r="25" spans="1:26" s="187" customFormat="1" ht="13.5" customHeight="1" x14ac:dyDescent="0.25">
      <c r="A25" s="203">
        <v>17</v>
      </c>
      <c r="B25" s="204" t="s">
        <v>50</v>
      </c>
      <c r="C25" s="205" t="s">
        <v>51</v>
      </c>
      <c r="D25" s="650">
        <v>1823</v>
      </c>
      <c r="E25" s="206">
        <v>63</v>
      </c>
      <c r="F25" s="207">
        <v>257</v>
      </c>
      <c r="G25" s="207">
        <f t="shared" si="6"/>
        <v>376</v>
      </c>
      <c r="H25" s="207">
        <v>302</v>
      </c>
      <c r="I25" s="214">
        <v>40</v>
      </c>
      <c r="J25" s="214">
        <v>34</v>
      </c>
      <c r="K25" s="209">
        <f t="shared" si="4"/>
        <v>2519</v>
      </c>
      <c r="L25" s="841">
        <v>7</v>
      </c>
      <c r="M25" s="210">
        <v>234</v>
      </c>
      <c r="N25" s="210">
        <v>929</v>
      </c>
      <c r="O25" s="210">
        <v>401</v>
      </c>
      <c r="P25" s="211">
        <f t="shared" si="5"/>
        <v>1571</v>
      </c>
      <c r="Q25" s="191"/>
      <c r="R25" s="206"/>
      <c r="S25" s="206"/>
      <c r="T25" s="206"/>
      <c r="U25" s="206"/>
      <c r="V25" s="206"/>
      <c r="W25" s="206"/>
      <c r="X25" s="212"/>
      <c r="Y25" s="265"/>
      <c r="Z25" s="213"/>
    </row>
    <row r="26" spans="1:26" s="187" customFormat="1" ht="13.5" customHeight="1" x14ac:dyDescent="0.25">
      <c r="A26" s="203">
        <v>18</v>
      </c>
      <c r="B26" s="204" t="s">
        <v>52</v>
      </c>
      <c r="C26" s="205" t="s">
        <v>53</v>
      </c>
      <c r="D26" s="650">
        <v>298</v>
      </c>
      <c r="E26" s="206">
        <v>0</v>
      </c>
      <c r="F26" s="207">
        <v>0</v>
      </c>
      <c r="G26" s="207">
        <f t="shared" si="6"/>
        <v>0</v>
      </c>
      <c r="H26" s="215"/>
      <c r="I26" s="215"/>
      <c r="J26" s="215"/>
      <c r="K26" s="209">
        <f t="shared" si="4"/>
        <v>298</v>
      </c>
      <c r="L26" s="841">
        <v>0</v>
      </c>
      <c r="M26" s="210">
        <v>0</v>
      </c>
      <c r="N26" s="210">
        <v>0</v>
      </c>
      <c r="O26" s="210">
        <v>0</v>
      </c>
      <c r="P26" s="211">
        <f t="shared" si="5"/>
        <v>0</v>
      </c>
      <c r="Q26" s="191"/>
      <c r="R26" s="206"/>
      <c r="S26" s="206"/>
      <c r="T26" s="206"/>
      <c r="U26" s="206"/>
      <c r="V26" s="206"/>
      <c r="W26" s="206"/>
      <c r="X26" s="212"/>
      <c r="Y26" s="265"/>
      <c r="Z26" s="213"/>
    </row>
    <row r="27" spans="1:26" s="187" customFormat="1" ht="13.5" customHeight="1" x14ac:dyDescent="0.25">
      <c r="A27" s="203">
        <v>19</v>
      </c>
      <c r="B27" s="204" t="s">
        <v>54</v>
      </c>
      <c r="C27" s="205" t="s">
        <v>55</v>
      </c>
      <c r="D27" s="650">
        <v>253</v>
      </c>
      <c r="E27" s="206">
        <v>0</v>
      </c>
      <c r="F27" s="207">
        <v>53</v>
      </c>
      <c r="G27" s="207">
        <f t="shared" si="6"/>
        <v>0</v>
      </c>
      <c r="H27" s="208"/>
      <c r="I27" s="208"/>
      <c r="J27" s="208"/>
      <c r="K27" s="209">
        <f t="shared" si="4"/>
        <v>306</v>
      </c>
      <c r="L27" s="841">
        <v>0</v>
      </c>
      <c r="M27" s="210">
        <v>0</v>
      </c>
      <c r="N27" s="210">
        <v>0</v>
      </c>
      <c r="O27" s="210">
        <v>0</v>
      </c>
      <c r="P27" s="211">
        <f t="shared" si="5"/>
        <v>0</v>
      </c>
      <c r="Q27" s="191"/>
      <c r="R27" s="206"/>
      <c r="S27" s="206"/>
      <c r="T27" s="206"/>
      <c r="U27" s="206"/>
      <c r="V27" s="206"/>
      <c r="W27" s="206"/>
      <c r="X27" s="212"/>
      <c r="Y27" s="265"/>
      <c r="Z27" s="213"/>
    </row>
    <row r="28" spans="1:26" s="187" customFormat="1" ht="13.5" customHeight="1" x14ac:dyDescent="0.25">
      <c r="A28" s="203">
        <v>20</v>
      </c>
      <c r="B28" s="204" t="s">
        <v>56</v>
      </c>
      <c r="C28" s="205" t="s">
        <v>57</v>
      </c>
      <c r="D28" s="650">
        <v>1286</v>
      </c>
      <c r="E28" s="206">
        <v>28</v>
      </c>
      <c r="F28" s="207">
        <v>154</v>
      </c>
      <c r="G28" s="207">
        <f t="shared" si="6"/>
        <v>184</v>
      </c>
      <c r="H28" s="208">
        <v>154</v>
      </c>
      <c r="I28" s="208">
        <v>0</v>
      </c>
      <c r="J28" s="208">
        <v>30</v>
      </c>
      <c r="K28" s="209">
        <f t="shared" si="4"/>
        <v>1652</v>
      </c>
      <c r="L28" s="841">
        <v>0</v>
      </c>
      <c r="M28" s="210">
        <v>0</v>
      </c>
      <c r="N28" s="210">
        <v>0</v>
      </c>
      <c r="O28" s="210">
        <v>0</v>
      </c>
      <c r="P28" s="211">
        <f t="shared" si="5"/>
        <v>0</v>
      </c>
      <c r="Q28" s="191"/>
      <c r="R28" s="206"/>
      <c r="S28" s="206"/>
      <c r="T28" s="206"/>
      <c r="U28" s="206"/>
      <c r="V28" s="206"/>
      <c r="W28" s="206"/>
      <c r="X28" s="212"/>
      <c r="Y28" s="265"/>
      <c r="Z28" s="213"/>
    </row>
    <row r="29" spans="1:26" s="187" customFormat="1" ht="13.5" customHeight="1" x14ac:dyDescent="0.25">
      <c r="A29" s="203">
        <v>21</v>
      </c>
      <c r="B29" s="204" t="s">
        <v>58</v>
      </c>
      <c r="C29" s="205" t="s">
        <v>59</v>
      </c>
      <c r="D29" s="650">
        <v>1073</v>
      </c>
      <c r="E29" s="206">
        <v>39</v>
      </c>
      <c r="F29" s="207">
        <v>128</v>
      </c>
      <c r="G29" s="207">
        <f t="shared" si="6"/>
        <v>160</v>
      </c>
      <c r="H29" s="208">
        <v>155</v>
      </c>
      <c r="I29" s="208">
        <v>0</v>
      </c>
      <c r="J29" s="208">
        <v>5</v>
      </c>
      <c r="K29" s="209">
        <f t="shared" si="4"/>
        <v>1400</v>
      </c>
      <c r="L29" s="841">
        <v>0</v>
      </c>
      <c r="M29" s="210">
        <v>0</v>
      </c>
      <c r="N29" s="210">
        <v>0</v>
      </c>
      <c r="O29" s="210">
        <v>0</v>
      </c>
      <c r="P29" s="211">
        <f t="shared" si="5"/>
        <v>0</v>
      </c>
      <c r="Q29" s="191"/>
      <c r="R29" s="206"/>
      <c r="S29" s="206"/>
      <c r="T29" s="206"/>
      <c r="U29" s="206"/>
      <c r="V29" s="206"/>
      <c r="W29" s="206"/>
      <c r="X29" s="212"/>
      <c r="Y29" s="265"/>
      <c r="Z29" s="213"/>
    </row>
    <row r="30" spans="1:26" s="187" customFormat="1" ht="13.5" customHeight="1" x14ac:dyDescent="0.25">
      <c r="A30" s="203">
        <v>22</v>
      </c>
      <c r="B30" s="204" t="s">
        <v>60</v>
      </c>
      <c r="C30" s="205" t="s">
        <v>61</v>
      </c>
      <c r="D30" s="650">
        <v>260</v>
      </c>
      <c r="E30" s="206">
        <v>0</v>
      </c>
      <c r="F30" s="207">
        <v>31</v>
      </c>
      <c r="G30" s="207">
        <f t="shared" si="6"/>
        <v>42</v>
      </c>
      <c r="H30" s="208">
        <v>32</v>
      </c>
      <c r="I30" s="208">
        <v>4</v>
      </c>
      <c r="J30" s="208">
        <v>6</v>
      </c>
      <c r="K30" s="209">
        <f t="shared" si="4"/>
        <v>333</v>
      </c>
      <c r="L30" s="841">
        <v>0</v>
      </c>
      <c r="M30" s="210">
        <v>0</v>
      </c>
      <c r="N30" s="210">
        <v>0</v>
      </c>
      <c r="O30" s="210">
        <v>0</v>
      </c>
      <c r="P30" s="211">
        <f t="shared" si="5"/>
        <v>0</v>
      </c>
      <c r="Q30" s="191"/>
      <c r="R30" s="206"/>
      <c r="S30" s="206"/>
      <c r="T30" s="206"/>
      <c r="U30" s="206"/>
      <c r="V30" s="206"/>
      <c r="W30" s="206"/>
      <c r="X30" s="212"/>
      <c r="Y30" s="265"/>
      <c r="Z30" s="213"/>
    </row>
    <row r="31" spans="1:26" s="187" customFormat="1" ht="13.5" customHeight="1" x14ac:dyDescent="0.25">
      <c r="A31" s="203">
        <v>23</v>
      </c>
      <c r="B31" s="204" t="s">
        <v>66</v>
      </c>
      <c r="C31" s="205" t="s">
        <v>67</v>
      </c>
      <c r="D31" s="650">
        <v>3452</v>
      </c>
      <c r="E31" s="206">
        <v>94</v>
      </c>
      <c r="F31" s="207">
        <v>672</v>
      </c>
      <c r="G31" s="207">
        <f t="shared" si="6"/>
        <v>1090</v>
      </c>
      <c r="H31" s="208">
        <v>910</v>
      </c>
      <c r="I31" s="208">
        <v>10</v>
      </c>
      <c r="J31" s="208">
        <v>170</v>
      </c>
      <c r="K31" s="209">
        <f t="shared" si="4"/>
        <v>5308</v>
      </c>
      <c r="L31" s="841">
        <v>150</v>
      </c>
      <c r="M31" s="210">
        <v>891</v>
      </c>
      <c r="N31" s="210">
        <v>925</v>
      </c>
      <c r="O31" s="210">
        <v>517</v>
      </c>
      <c r="P31" s="211">
        <f t="shared" si="5"/>
        <v>2483</v>
      </c>
      <c r="Q31" s="191"/>
      <c r="R31" s="206"/>
      <c r="S31" s="206"/>
      <c r="T31" s="206"/>
      <c r="U31" s="206"/>
      <c r="V31" s="206"/>
      <c r="W31" s="206"/>
      <c r="X31" s="212"/>
      <c r="Y31" s="265"/>
      <c r="Z31" s="213"/>
    </row>
    <row r="32" spans="1:26" s="187" customFormat="1" ht="13.5" customHeight="1" x14ac:dyDescent="0.25">
      <c r="A32" s="203">
        <v>24</v>
      </c>
      <c r="B32" s="204" t="s">
        <v>68</v>
      </c>
      <c r="C32" s="205" t="s">
        <v>69</v>
      </c>
      <c r="D32" s="650">
        <v>2035</v>
      </c>
      <c r="E32" s="206">
        <v>38</v>
      </c>
      <c r="F32" s="207">
        <v>174</v>
      </c>
      <c r="G32" s="207">
        <f t="shared" si="6"/>
        <v>130</v>
      </c>
      <c r="H32" s="207">
        <v>105</v>
      </c>
      <c r="I32" s="214">
        <v>0</v>
      </c>
      <c r="J32" s="214">
        <v>25</v>
      </c>
      <c r="K32" s="209">
        <f t="shared" si="4"/>
        <v>2377</v>
      </c>
      <c r="L32" s="841">
        <v>0</v>
      </c>
      <c r="M32" s="210">
        <v>0</v>
      </c>
      <c r="N32" s="210">
        <v>0</v>
      </c>
      <c r="O32" s="210">
        <v>0</v>
      </c>
      <c r="P32" s="211">
        <f t="shared" si="5"/>
        <v>0</v>
      </c>
      <c r="Q32" s="191"/>
      <c r="R32" s="206"/>
      <c r="S32" s="206"/>
      <c r="T32" s="206"/>
      <c r="U32" s="206"/>
      <c r="V32" s="206"/>
      <c r="W32" s="206"/>
      <c r="X32" s="212"/>
      <c r="Y32" s="265"/>
      <c r="Z32" s="213"/>
    </row>
    <row r="33" spans="1:26" s="187" customFormat="1" ht="13.5" customHeight="1" x14ac:dyDescent="0.25">
      <c r="A33" s="203">
        <v>25</v>
      </c>
      <c r="B33" s="204" t="s">
        <v>70</v>
      </c>
      <c r="C33" s="205" t="s">
        <v>71</v>
      </c>
      <c r="D33" s="650">
        <v>582</v>
      </c>
      <c r="E33" s="206">
        <v>0</v>
      </c>
      <c r="F33" s="207">
        <v>0</v>
      </c>
      <c r="G33" s="207">
        <f t="shared" si="6"/>
        <v>0</v>
      </c>
      <c r="H33" s="208"/>
      <c r="I33" s="208"/>
      <c r="J33" s="208"/>
      <c r="K33" s="209">
        <f t="shared" si="4"/>
        <v>582</v>
      </c>
      <c r="L33" s="841">
        <v>0</v>
      </c>
      <c r="M33" s="210">
        <v>0</v>
      </c>
      <c r="N33" s="210">
        <v>0</v>
      </c>
      <c r="O33" s="210">
        <v>0</v>
      </c>
      <c r="P33" s="211">
        <f t="shared" si="5"/>
        <v>0</v>
      </c>
      <c r="Q33" s="191"/>
      <c r="R33" s="206"/>
      <c r="S33" s="206"/>
      <c r="T33" s="206"/>
      <c r="U33" s="206"/>
      <c r="V33" s="206"/>
      <c r="W33" s="206"/>
      <c r="X33" s="212"/>
      <c r="Y33" s="265"/>
      <c r="Z33" s="213"/>
    </row>
    <row r="34" spans="1:26" s="187" customFormat="1" ht="13.5" customHeight="1" x14ac:dyDescent="0.25">
      <c r="A34" s="203">
        <v>26</v>
      </c>
      <c r="B34" s="204" t="s">
        <v>75</v>
      </c>
      <c r="C34" s="205" t="s">
        <v>76</v>
      </c>
      <c r="D34" s="650">
        <v>211</v>
      </c>
      <c r="E34" s="206">
        <v>0</v>
      </c>
      <c r="F34" s="207">
        <v>0</v>
      </c>
      <c r="G34" s="207">
        <f t="shared" si="6"/>
        <v>0</v>
      </c>
      <c r="H34" s="208"/>
      <c r="I34" s="208"/>
      <c r="J34" s="208"/>
      <c r="K34" s="209">
        <f t="shared" si="4"/>
        <v>211</v>
      </c>
      <c r="L34" s="841">
        <v>0</v>
      </c>
      <c r="M34" s="210">
        <v>0</v>
      </c>
      <c r="N34" s="210">
        <v>0</v>
      </c>
      <c r="O34" s="210">
        <v>0</v>
      </c>
      <c r="P34" s="211">
        <f t="shared" si="5"/>
        <v>0</v>
      </c>
      <c r="Q34" s="191"/>
      <c r="R34" s="206"/>
      <c r="S34" s="206"/>
      <c r="T34" s="206"/>
      <c r="U34" s="206"/>
      <c r="V34" s="206"/>
      <c r="W34" s="206"/>
      <c r="X34" s="212"/>
      <c r="Y34" s="265"/>
      <c r="Z34" s="213"/>
    </row>
    <row r="35" spans="1:26" s="187" customFormat="1" ht="13.5" customHeight="1" x14ac:dyDescent="0.25">
      <c r="A35" s="203">
        <v>27</v>
      </c>
      <c r="B35" s="204" t="s">
        <v>77</v>
      </c>
      <c r="C35" s="205" t="s">
        <v>78</v>
      </c>
      <c r="D35" s="650">
        <v>1720</v>
      </c>
      <c r="E35" s="206">
        <v>40</v>
      </c>
      <c r="F35" s="207">
        <v>177</v>
      </c>
      <c r="G35" s="207">
        <f t="shared" si="6"/>
        <v>576</v>
      </c>
      <c r="H35" s="207">
        <v>541</v>
      </c>
      <c r="I35" s="214">
        <v>0</v>
      </c>
      <c r="J35" s="214">
        <v>35</v>
      </c>
      <c r="K35" s="209">
        <f t="shared" si="4"/>
        <v>2513</v>
      </c>
      <c r="L35" s="841">
        <v>1</v>
      </c>
      <c r="M35" s="210">
        <v>26</v>
      </c>
      <c r="N35" s="210">
        <v>644</v>
      </c>
      <c r="O35" s="210">
        <v>237</v>
      </c>
      <c r="P35" s="211">
        <f t="shared" si="5"/>
        <v>908</v>
      </c>
      <c r="Q35" s="191"/>
      <c r="R35" s="206"/>
      <c r="S35" s="206"/>
      <c r="T35" s="206"/>
      <c r="U35" s="206"/>
      <c r="V35" s="206"/>
      <c r="W35" s="206"/>
      <c r="X35" s="212"/>
      <c r="Y35" s="265"/>
      <c r="Z35" s="213"/>
    </row>
    <row r="36" spans="1:26" s="187" customFormat="1" ht="13.5" customHeight="1" x14ac:dyDescent="0.25">
      <c r="A36" s="203">
        <v>28</v>
      </c>
      <c r="B36" s="204" t="s">
        <v>79</v>
      </c>
      <c r="C36" s="205" t="s">
        <v>80</v>
      </c>
      <c r="D36" s="650">
        <v>2318</v>
      </c>
      <c r="E36" s="206">
        <v>49</v>
      </c>
      <c r="F36" s="207">
        <v>272</v>
      </c>
      <c r="G36" s="207">
        <f t="shared" si="6"/>
        <v>642</v>
      </c>
      <c r="H36" s="207">
        <v>537</v>
      </c>
      <c r="I36" s="214">
        <v>45</v>
      </c>
      <c r="J36" s="214">
        <v>60</v>
      </c>
      <c r="K36" s="209">
        <f t="shared" si="4"/>
        <v>3281</v>
      </c>
      <c r="L36" s="841">
        <v>82</v>
      </c>
      <c r="M36" s="210">
        <v>358</v>
      </c>
      <c r="N36" s="210">
        <v>1169</v>
      </c>
      <c r="O36" s="210">
        <v>404</v>
      </c>
      <c r="P36" s="211">
        <f t="shared" si="5"/>
        <v>2013</v>
      </c>
      <c r="Q36" s="191"/>
      <c r="R36" s="206"/>
      <c r="S36" s="206"/>
      <c r="T36" s="206"/>
      <c r="U36" s="206"/>
      <c r="V36" s="206"/>
      <c r="W36" s="206"/>
      <c r="X36" s="212"/>
      <c r="Y36" s="265"/>
      <c r="Z36" s="213"/>
    </row>
    <row r="37" spans="1:26" s="187" customFormat="1" ht="13.5" customHeight="1" x14ac:dyDescent="0.25">
      <c r="A37" s="203">
        <v>29</v>
      </c>
      <c r="B37" s="204" t="s">
        <v>81</v>
      </c>
      <c r="C37" s="205" t="s">
        <v>82</v>
      </c>
      <c r="D37" s="650">
        <v>451</v>
      </c>
      <c r="E37" s="206">
        <v>0</v>
      </c>
      <c r="F37" s="207">
        <v>54</v>
      </c>
      <c r="G37" s="207">
        <f t="shared" si="6"/>
        <v>0</v>
      </c>
      <c r="H37" s="208"/>
      <c r="I37" s="208"/>
      <c r="J37" s="208"/>
      <c r="K37" s="209">
        <f t="shared" si="4"/>
        <v>505</v>
      </c>
      <c r="L37" s="841">
        <v>0</v>
      </c>
      <c r="M37" s="210">
        <v>0</v>
      </c>
      <c r="N37" s="210">
        <v>0</v>
      </c>
      <c r="O37" s="210">
        <v>0</v>
      </c>
      <c r="P37" s="211">
        <f t="shared" si="5"/>
        <v>0</v>
      </c>
      <c r="Q37" s="191"/>
      <c r="R37" s="206"/>
      <c r="S37" s="206"/>
      <c r="T37" s="206"/>
      <c r="U37" s="206"/>
      <c r="V37" s="206"/>
      <c r="W37" s="206"/>
      <c r="X37" s="212"/>
      <c r="Y37" s="265"/>
      <c r="Z37" s="213"/>
    </row>
    <row r="38" spans="1:26" s="187" customFormat="1" ht="13.5" customHeight="1" x14ac:dyDescent="0.25">
      <c r="A38" s="203">
        <v>30</v>
      </c>
      <c r="B38" s="204" t="s">
        <v>83</v>
      </c>
      <c r="C38" s="205" t="s">
        <v>84</v>
      </c>
      <c r="D38" s="650">
        <v>1543</v>
      </c>
      <c r="E38" s="206">
        <v>33</v>
      </c>
      <c r="F38" s="207">
        <v>184</v>
      </c>
      <c r="G38" s="207">
        <f t="shared" si="6"/>
        <v>0</v>
      </c>
      <c r="H38" s="208"/>
      <c r="I38" s="208"/>
      <c r="J38" s="208"/>
      <c r="K38" s="209">
        <f t="shared" si="4"/>
        <v>1760</v>
      </c>
      <c r="L38" s="841">
        <v>20</v>
      </c>
      <c r="M38" s="210">
        <v>153</v>
      </c>
      <c r="N38" s="210">
        <v>301</v>
      </c>
      <c r="O38" s="210">
        <v>273</v>
      </c>
      <c r="P38" s="211">
        <f t="shared" si="5"/>
        <v>747</v>
      </c>
      <c r="Q38" s="191"/>
      <c r="R38" s="206"/>
      <c r="S38" s="206"/>
      <c r="T38" s="206"/>
      <c r="U38" s="206"/>
      <c r="V38" s="206"/>
      <c r="W38" s="206"/>
      <c r="X38" s="212"/>
      <c r="Y38" s="265"/>
      <c r="Z38" s="213"/>
    </row>
    <row r="39" spans="1:26" s="187" customFormat="1" ht="13.5" customHeight="1" x14ac:dyDescent="0.25">
      <c r="A39" s="203">
        <v>31</v>
      </c>
      <c r="B39" s="204" t="s">
        <v>85</v>
      </c>
      <c r="C39" s="205" t="s">
        <v>86</v>
      </c>
      <c r="D39" s="650">
        <v>589</v>
      </c>
      <c r="E39" s="206">
        <v>13</v>
      </c>
      <c r="F39" s="207">
        <v>70</v>
      </c>
      <c r="G39" s="207">
        <f t="shared" si="6"/>
        <v>0</v>
      </c>
      <c r="H39" s="208"/>
      <c r="I39" s="208"/>
      <c r="J39" s="208"/>
      <c r="K39" s="209">
        <f t="shared" si="4"/>
        <v>672</v>
      </c>
      <c r="L39" s="841">
        <v>0</v>
      </c>
      <c r="M39" s="210">
        <v>0</v>
      </c>
      <c r="N39" s="210">
        <v>0</v>
      </c>
      <c r="O39" s="210">
        <v>0</v>
      </c>
      <c r="P39" s="211">
        <f t="shared" si="5"/>
        <v>0</v>
      </c>
      <c r="Q39" s="191"/>
      <c r="R39" s="206"/>
      <c r="S39" s="206"/>
      <c r="T39" s="206"/>
      <c r="U39" s="206"/>
      <c r="V39" s="206"/>
      <c r="W39" s="206"/>
      <c r="X39" s="212"/>
      <c r="Y39" s="265"/>
      <c r="Z39" s="213"/>
    </row>
    <row r="40" spans="1:26" s="187" customFormat="1" ht="13.5" customHeight="1" x14ac:dyDescent="0.25">
      <c r="A40" s="203">
        <v>32</v>
      </c>
      <c r="B40" s="204" t="s">
        <v>87</v>
      </c>
      <c r="C40" s="205" t="s">
        <v>88</v>
      </c>
      <c r="D40" s="650">
        <v>1570</v>
      </c>
      <c r="E40" s="206">
        <v>33</v>
      </c>
      <c r="F40" s="207">
        <v>184</v>
      </c>
      <c r="G40" s="207">
        <f t="shared" si="6"/>
        <v>0</v>
      </c>
      <c r="H40" s="208"/>
      <c r="I40" s="208"/>
      <c r="J40" s="208"/>
      <c r="K40" s="209">
        <f t="shared" si="4"/>
        <v>1787</v>
      </c>
      <c r="L40" s="841">
        <v>0</v>
      </c>
      <c r="M40" s="210">
        <v>0</v>
      </c>
      <c r="N40" s="210">
        <v>0</v>
      </c>
      <c r="O40" s="210">
        <v>0</v>
      </c>
      <c r="P40" s="211">
        <f t="shared" si="5"/>
        <v>0</v>
      </c>
      <c r="Q40" s="191"/>
      <c r="R40" s="206"/>
      <c r="S40" s="206"/>
      <c r="T40" s="206"/>
      <c r="U40" s="206"/>
      <c r="V40" s="206"/>
      <c r="W40" s="206"/>
      <c r="X40" s="212"/>
      <c r="Y40" s="265"/>
      <c r="Z40" s="213"/>
    </row>
    <row r="41" spans="1:26" s="187" customFormat="1" ht="13.5" customHeight="1" x14ac:dyDescent="0.25">
      <c r="A41" s="203">
        <v>33</v>
      </c>
      <c r="B41" s="204" t="s">
        <v>89</v>
      </c>
      <c r="C41" s="205" t="s">
        <v>90</v>
      </c>
      <c r="D41" s="650">
        <v>551</v>
      </c>
      <c r="E41" s="206">
        <v>12</v>
      </c>
      <c r="F41" s="207">
        <v>65</v>
      </c>
      <c r="G41" s="207">
        <f t="shared" si="6"/>
        <v>0</v>
      </c>
      <c r="H41" s="208"/>
      <c r="I41" s="208"/>
      <c r="J41" s="208"/>
      <c r="K41" s="209">
        <f t="shared" si="4"/>
        <v>628</v>
      </c>
      <c r="L41" s="841">
        <v>0</v>
      </c>
      <c r="M41" s="210">
        <v>0</v>
      </c>
      <c r="N41" s="210">
        <v>0</v>
      </c>
      <c r="O41" s="210">
        <v>0</v>
      </c>
      <c r="P41" s="211">
        <f t="shared" si="5"/>
        <v>0</v>
      </c>
      <c r="Q41" s="191"/>
      <c r="R41" s="206"/>
      <c r="S41" s="206"/>
      <c r="T41" s="206"/>
      <c r="U41" s="206"/>
      <c r="V41" s="206"/>
      <c r="W41" s="206"/>
      <c r="X41" s="212"/>
      <c r="Y41" s="265"/>
      <c r="Z41" s="213"/>
    </row>
    <row r="42" spans="1:26" s="187" customFormat="1" ht="13.5" customHeight="1" x14ac:dyDescent="0.25">
      <c r="A42" s="203">
        <v>34</v>
      </c>
      <c r="B42" s="204" t="s">
        <v>91</v>
      </c>
      <c r="C42" s="205" t="s">
        <v>92</v>
      </c>
      <c r="D42" s="650">
        <v>356</v>
      </c>
      <c r="E42" s="206">
        <v>0</v>
      </c>
      <c r="F42" s="207">
        <v>0</v>
      </c>
      <c r="G42" s="207">
        <f t="shared" si="6"/>
        <v>0</v>
      </c>
      <c r="H42" s="208"/>
      <c r="I42" s="208"/>
      <c r="J42" s="208"/>
      <c r="K42" s="209">
        <f t="shared" si="4"/>
        <v>356</v>
      </c>
      <c r="L42" s="841">
        <v>0</v>
      </c>
      <c r="M42" s="210">
        <v>0</v>
      </c>
      <c r="N42" s="210">
        <v>0</v>
      </c>
      <c r="O42" s="210">
        <v>0</v>
      </c>
      <c r="P42" s="211">
        <f t="shared" si="5"/>
        <v>0</v>
      </c>
      <c r="Q42" s="191"/>
      <c r="R42" s="206"/>
      <c r="S42" s="206"/>
      <c r="T42" s="206"/>
      <c r="U42" s="206"/>
      <c r="V42" s="206"/>
      <c r="W42" s="206"/>
      <c r="X42" s="212"/>
      <c r="Y42" s="265"/>
      <c r="Z42" s="213"/>
    </row>
    <row r="43" spans="1:26" s="187" customFormat="1" ht="13.5" customHeight="1" x14ac:dyDescent="0.25">
      <c r="A43" s="203">
        <v>35</v>
      </c>
      <c r="B43" s="204" t="s">
        <v>93</v>
      </c>
      <c r="C43" s="205" t="s">
        <v>94</v>
      </c>
      <c r="D43" s="650">
        <v>614</v>
      </c>
      <c r="E43" s="206">
        <v>13</v>
      </c>
      <c r="F43" s="207">
        <v>0</v>
      </c>
      <c r="G43" s="207">
        <f t="shared" si="6"/>
        <v>0</v>
      </c>
      <c r="H43" s="208"/>
      <c r="I43" s="208"/>
      <c r="J43" s="208"/>
      <c r="K43" s="209">
        <f t="shared" si="4"/>
        <v>627</v>
      </c>
      <c r="L43" s="841">
        <v>0</v>
      </c>
      <c r="M43" s="210">
        <v>0</v>
      </c>
      <c r="N43" s="210">
        <v>0</v>
      </c>
      <c r="O43" s="210">
        <v>0</v>
      </c>
      <c r="P43" s="211">
        <f t="shared" si="5"/>
        <v>0</v>
      </c>
      <c r="Q43" s="191"/>
      <c r="R43" s="206"/>
      <c r="S43" s="206"/>
      <c r="T43" s="206"/>
      <c r="U43" s="206"/>
      <c r="V43" s="206"/>
      <c r="W43" s="206"/>
      <c r="X43" s="212"/>
      <c r="Y43" s="265"/>
      <c r="Z43" s="213"/>
    </row>
    <row r="44" spans="1:26" s="187" customFormat="1" ht="13.5" customHeight="1" x14ac:dyDescent="0.25">
      <c r="A44" s="203">
        <v>36</v>
      </c>
      <c r="B44" s="204" t="s">
        <v>95</v>
      </c>
      <c r="C44" s="205" t="s">
        <v>96</v>
      </c>
      <c r="D44" s="650">
        <v>50</v>
      </c>
      <c r="E44" s="206">
        <v>0</v>
      </c>
      <c r="F44" s="207">
        <v>50</v>
      </c>
      <c r="G44" s="207">
        <f t="shared" si="6"/>
        <v>0</v>
      </c>
      <c r="H44" s="208"/>
      <c r="I44" s="208"/>
      <c r="J44" s="208"/>
      <c r="K44" s="209">
        <f t="shared" si="4"/>
        <v>100</v>
      </c>
      <c r="L44" s="841">
        <v>0</v>
      </c>
      <c r="M44" s="210">
        <v>0</v>
      </c>
      <c r="N44" s="210">
        <v>0</v>
      </c>
      <c r="O44" s="210">
        <v>0</v>
      </c>
      <c r="P44" s="211">
        <f t="shared" si="5"/>
        <v>0</v>
      </c>
      <c r="Q44" s="191"/>
      <c r="R44" s="206"/>
      <c r="S44" s="206"/>
      <c r="T44" s="206"/>
      <c r="U44" s="206"/>
      <c r="V44" s="206"/>
      <c r="W44" s="206"/>
      <c r="X44" s="212"/>
      <c r="Y44" s="265"/>
      <c r="Z44" s="213"/>
    </row>
    <row r="45" spans="1:26" s="187" customFormat="1" ht="14.25" customHeight="1" x14ac:dyDescent="0.25">
      <c r="A45" s="203">
        <v>37</v>
      </c>
      <c r="B45" s="204" t="s">
        <v>97</v>
      </c>
      <c r="C45" s="205" t="s">
        <v>98</v>
      </c>
      <c r="D45" s="650">
        <v>416</v>
      </c>
      <c r="E45" s="206">
        <v>0</v>
      </c>
      <c r="F45" s="207">
        <v>50</v>
      </c>
      <c r="G45" s="207">
        <f t="shared" si="6"/>
        <v>0</v>
      </c>
      <c r="H45" s="208"/>
      <c r="I45" s="208"/>
      <c r="J45" s="208"/>
      <c r="K45" s="209">
        <f t="shared" si="4"/>
        <v>466</v>
      </c>
      <c r="L45" s="841">
        <v>4</v>
      </c>
      <c r="M45" s="210">
        <v>33</v>
      </c>
      <c r="N45" s="210">
        <v>83</v>
      </c>
      <c r="O45" s="210">
        <v>26</v>
      </c>
      <c r="P45" s="211">
        <f t="shared" si="5"/>
        <v>146</v>
      </c>
      <c r="Q45" s="191"/>
      <c r="R45" s="206"/>
      <c r="S45" s="206"/>
      <c r="T45" s="206"/>
      <c r="U45" s="206"/>
      <c r="V45" s="206"/>
      <c r="W45" s="206"/>
      <c r="X45" s="212"/>
      <c r="Y45" s="265"/>
      <c r="Z45" s="213"/>
    </row>
    <row r="46" spans="1:26" s="187" customFormat="1" ht="13.5" customHeight="1" x14ac:dyDescent="0.25">
      <c r="A46" s="203">
        <v>38</v>
      </c>
      <c r="B46" s="204" t="s">
        <v>99</v>
      </c>
      <c r="C46" s="205" t="s">
        <v>100</v>
      </c>
      <c r="D46" s="650">
        <v>1991</v>
      </c>
      <c r="E46" s="206">
        <v>53</v>
      </c>
      <c r="F46" s="207">
        <v>233</v>
      </c>
      <c r="G46" s="207">
        <f t="shared" si="6"/>
        <v>1082</v>
      </c>
      <c r="H46" s="207">
        <v>922</v>
      </c>
      <c r="I46" s="214">
        <v>60</v>
      </c>
      <c r="J46" s="214">
        <v>100</v>
      </c>
      <c r="K46" s="209">
        <f t="shared" si="4"/>
        <v>3359</v>
      </c>
      <c r="L46" s="841">
        <v>20</v>
      </c>
      <c r="M46" s="210">
        <v>89</v>
      </c>
      <c r="N46" s="210">
        <v>573</v>
      </c>
      <c r="O46" s="210">
        <v>160</v>
      </c>
      <c r="P46" s="211">
        <f t="shared" si="5"/>
        <v>842</v>
      </c>
      <c r="Q46" s="191"/>
      <c r="R46" s="206"/>
      <c r="S46" s="206"/>
      <c r="T46" s="206"/>
      <c r="U46" s="206"/>
      <c r="V46" s="206"/>
      <c r="W46" s="206"/>
      <c r="X46" s="212"/>
      <c r="Y46" s="265"/>
      <c r="Z46" s="213"/>
    </row>
    <row r="47" spans="1:26" s="187" customFormat="1" ht="13.5" customHeight="1" x14ac:dyDescent="0.25">
      <c r="A47" s="203">
        <v>39</v>
      </c>
      <c r="B47" s="204" t="s">
        <v>101</v>
      </c>
      <c r="C47" s="205" t="s">
        <v>102</v>
      </c>
      <c r="D47" s="650">
        <v>508</v>
      </c>
      <c r="E47" s="206">
        <v>0</v>
      </c>
      <c r="F47" s="207">
        <v>61</v>
      </c>
      <c r="G47" s="207">
        <f t="shared" si="6"/>
        <v>0</v>
      </c>
      <c r="H47" s="208"/>
      <c r="I47" s="208"/>
      <c r="J47" s="208"/>
      <c r="K47" s="209">
        <f t="shared" si="4"/>
        <v>569</v>
      </c>
      <c r="L47" s="841">
        <v>0</v>
      </c>
      <c r="M47" s="210">
        <v>0</v>
      </c>
      <c r="N47" s="210">
        <v>0</v>
      </c>
      <c r="O47" s="210">
        <v>0</v>
      </c>
      <c r="P47" s="211">
        <f t="shared" si="5"/>
        <v>0</v>
      </c>
      <c r="Q47" s="191"/>
      <c r="R47" s="206"/>
      <c r="S47" s="206"/>
      <c r="T47" s="206"/>
      <c r="U47" s="206"/>
      <c r="V47" s="206"/>
      <c r="W47" s="206"/>
      <c r="X47" s="212"/>
      <c r="Y47" s="265"/>
      <c r="Z47" s="213"/>
    </row>
    <row r="48" spans="1:26" s="187" customFormat="1" ht="13.5" customHeight="1" x14ac:dyDescent="0.25">
      <c r="A48" s="203">
        <v>40</v>
      </c>
      <c r="B48" s="204" t="s">
        <v>103</v>
      </c>
      <c r="C48" s="205" t="s">
        <v>104</v>
      </c>
      <c r="D48" s="650">
        <v>1659</v>
      </c>
      <c r="E48" s="206">
        <v>41</v>
      </c>
      <c r="F48" s="207">
        <v>198</v>
      </c>
      <c r="G48" s="207">
        <f t="shared" si="6"/>
        <v>0</v>
      </c>
      <c r="H48" s="207"/>
      <c r="I48" s="214"/>
      <c r="J48" s="214"/>
      <c r="K48" s="209">
        <f t="shared" si="4"/>
        <v>1898</v>
      </c>
      <c r="L48" s="841">
        <v>25</v>
      </c>
      <c r="M48" s="210">
        <v>301</v>
      </c>
      <c r="N48" s="210">
        <v>668</v>
      </c>
      <c r="O48" s="210">
        <v>230</v>
      </c>
      <c r="P48" s="211">
        <f t="shared" si="5"/>
        <v>1224</v>
      </c>
      <c r="Q48" s="191"/>
      <c r="R48" s="206"/>
      <c r="S48" s="206"/>
      <c r="T48" s="206"/>
      <c r="U48" s="206"/>
      <c r="V48" s="206"/>
      <c r="W48" s="206"/>
      <c r="X48" s="212"/>
      <c r="Y48" s="265"/>
      <c r="Z48" s="213"/>
    </row>
    <row r="49" spans="1:26" s="187" customFormat="1" ht="13.5" customHeight="1" x14ac:dyDescent="0.25">
      <c r="A49" s="203">
        <v>41</v>
      </c>
      <c r="B49" s="204" t="s">
        <v>105</v>
      </c>
      <c r="C49" s="205" t="s">
        <v>106</v>
      </c>
      <c r="D49" s="650">
        <v>380</v>
      </c>
      <c r="E49" s="206">
        <v>0</v>
      </c>
      <c r="F49" s="207">
        <v>45</v>
      </c>
      <c r="G49" s="207">
        <f t="shared" si="6"/>
        <v>0</v>
      </c>
      <c r="H49" s="207"/>
      <c r="I49" s="214"/>
      <c r="J49" s="214"/>
      <c r="K49" s="209">
        <f t="shared" si="4"/>
        <v>425</v>
      </c>
      <c r="L49" s="841">
        <v>0</v>
      </c>
      <c r="M49" s="210">
        <v>0</v>
      </c>
      <c r="N49" s="210">
        <v>0</v>
      </c>
      <c r="O49" s="210">
        <v>0</v>
      </c>
      <c r="P49" s="211">
        <f t="shared" si="5"/>
        <v>0</v>
      </c>
      <c r="Q49" s="191"/>
      <c r="R49" s="206"/>
      <c r="S49" s="206"/>
      <c r="T49" s="206"/>
      <c r="U49" s="206"/>
      <c r="V49" s="206"/>
      <c r="W49" s="206"/>
      <c r="X49" s="212"/>
      <c r="Y49" s="265"/>
      <c r="Z49" s="213"/>
    </row>
    <row r="50" spans="1:26" s="187" customFormat="1" ht="13.5" customHeight="1" x14ac:dyDescent="0.25">
      <c r="A50" s="203">
        <v>42</v>
      </c>
      <c r="B50" s="204" t="s">
        <v>107</v>
      </c>
      <c r="C50" s="205" t="s">
        <v>108</v>
      </c>
      <c r="D50" s="650">
        <v>598</v>
      </c>
      <c r="E50" s="206">
        <v>0</v>
      </c>
      <c r="F50" s="207">
        <v>70</v>
      </c>
      <c r="G50" s="207">
        <f t="shared" si="6"/>
        <v>0</v>
      </c>
      <c r="H50" s="207"/>
      <c r="I50" s="214"/>
      <c r="J50" s="214"/>
      <c r="K50" s="209">
        <f t="shared" si="4"/>
        <v>668</v>
      </c>
      <c r="L50" s="841">
        <v>0</v>
      </c>
      <c r="M50" s="210">
        <v>0</v>
      </c>
      <c r="N50" s="210">
        <v>0</v>
      </c>
      <c r="O50" s="210">
        <v>0</v>
      </c>
      <c r="P50" s="211">
        <f t="shared" si="5"/>
        <v>0</v>
      </c>
      <c r="Q50" s="191"/>
      <c r="R50" s="206"/>
      <c r="S50" s="206"/>
      <c r="T50" s="206"/>
      <c r="U50" s="206"/>
      <c r="V50" s="206"/>
      <c r="W50" s="206"/>
      <c r="X50" s="212"/>
      <c r="Y50" s="265"/>
      <c r="Z50" s="213"/>
    </row>
    <row r="51" spans="1:26" s="187" customFormat="1" ht="13.5" customHeight="1" x14ac:dyDescent="0.25">
      <c r="A51" s="203">
        <v>43</v>
      </c>
      <c r="B51" s="204" t="s">
        <v>109</v>
      </c>
      <c r="C51" s="205" t="s">
        <v>110</v>
      </c>
      <c r="D51" s="650">
        <v>709</v>
      </c>
      <c r="E51" s="206">
        <v>15</v>
      </c>
      <c r="F51" s="207">
        <v>168</v>
      </c>
      <c r="G51" s="207">
        <f t="shared" si="6"/>
        <v>0</v>
      </c>
      <c r="H51" s="208"/>
      <c r="I51" s="208"/>
      <c r="J51" s="208"/>
      <c r="K51" s="209">
        <f t="shared" si="4"/>
        <v>892</v>
      </c>
      <c r="L51" s="841">
        <v>32</v>
      </c>
      <c r="M51" s="210">
        <v>106</v>
      </c>
      <c r="N51" s="210">
        <v>245</v>
      </c>
      <c r="O51" s="210">
        <v>185</v>
      </c>
      <c r="P51" s="211">
        <f t="shared" si="5"/>
        <v>568</v>
      </c>
      <c r="Q51" s="191"/>
      <c r="R51" s="206"/>
      <c r="S51" s="206"/>
      <c r="T51" s="206"/>
      <c r="U51" s="206"/>
      <c r="V51" s="206"/>
      <c r="W51" s="206"/>
      <c r="X51" s="212"/>
      <c r="Y51" s="265"/>
      <c r="Z51" s="213"/>
    </row>
    <row r="52" spans="1:26" s="187" customFormat="1" ht="13.5" customHeight="1" x14ac:dyDescent="0.25">
      <c r="A52" s="203">
        <v>44</v>
      </c>
      <c r="B52" s="204" t="s">
        <v>111</v>
      </c>
      <c r="C52" s="205" t="s">
        <v>112</v>
      </c>
      <c r="D52" s="650">
        <v>208</v>
      </c>
      <c r="E52" s="206">
        <v>0</v>
      </c>
      <c r="F52" s="207">
        <v>12</v>
      </c>
      <c r="G52" s="207">
        <f t="shared" si="6"/>
        <v>0</v>
      </c>
      <c r="H52" s="208"/>
      <c r="I52" s="208"/>
      <c r="J52" s="208"/>
      <c r="K52" s="209">
        <f t="shared" si="4"/>
        <v>220</v>
      </c>
      <c r="L52" s="841">
        <v>0</v>
      </c>
      <c r="M52" s="210">
        <v>0</v>
      </c>
      <c r="N52" s="210">
        <v>0</v>
      </c>
      <c r="O52" s="210">
        <v>0</v>
      </c>
      <c r="P52" s="211">
        <f t="shared" si="5"/>
        <v>0</v>
      </c>
      <c r="Q52" s="191"/>
      <c r="R52" s="206"/>
      <c r="S52" s="206"/>
      <c r="T52" s="206"/>
      <c r="U52" s="206"/>
      <c r="V52" s="206"/>
      <c r="W52" s="206"/>
      <c r="X52" s="212"/>
      <c r="Y52" s="265"/>
      <c r="Z52" s="213"/>
    </row>
    <row r="53" spans="1:26" s="187" customFormat="1" ht="13.5" customHeight="1" x14ac:dyDescent="0.25">
      <c r="A53" s="203">
        <v>45</v>
      </c>
      <c r="B53" s="204" t="s">
        <v>113</v>
      </c>
      <c r="C53" s="205" t="s">
        <v>114</v>
      </c>
      <c r="D53" s="650">
        <v>473</v>
      </c>
      <c r="E53" s="206">
        <v>0</v>
      </c>
      <c r="F53" s="207">
        <v>0</v>
      </c>
      <c r="G53" s="207">
        <f t="shared" si="6"/>
        <v>0</v>
      </c>
      <c r="H53" s="208"/>
      <c r="I53" s="208"/>
      <c r="J53" s="208"/>
      <c r="K53" s="209">
        <f t="shared" si="4"/>
        <v>473</v>
      </c>
      <c r="L53" s="841">
        <v>0</v>
      </c>
      <c r="M53" s="210">
        <v>0</v>
      </c>
      <c r="N53" s="210">
        <v>0</v>
      </c>
      <c r="O53" s="210">
        <v>0</v>
      </c>
      <c r="P53" s="211">
        <f t="shared" si="5"/>
        <v>0</v>
      </c>
      <c r="Q53" s="191"/>
      <c r="R53" s="206"/>
      <c r="S53" s="206"/>
      <c r="T53" s="206"/>
      <c r="U53" s="206"/>
      <c r="V53" s="206"/>
      <c r="W53" s="206"/>
      <c r="X53" s="212"/>
      <c r="Y53" s="265"/>
      <c r="Z53" s="213"/>
    </row>
    <row r="54" spans="1:26" s="187" customFormat="1" ht="13.5" customHeight="1" x14ac:dyDescent="0.25">
      <c r="A54" s="203">
        <v>46</v>
      </c>
      <c r="B54" s="204" t="s">
        <v>115</v>
      </c>
      <c r="C54" s="205" t="s">
        <v>116</v>
      </c>
      <c r="D54" s="650">
        <v>727</v>
      </c>
      <c r="E54" s="206">
        <v>0</v>
      </c>
      <c r="F54" s="207">
        <v>0</v>
      </c>
      <c r="G54" s="207">
        <f t="shared" si="6"/>
        <v>0</v>
      </c>
      <c r="H54" s="208"/>
      <c r="I54" s="208"/>
      <c r="J54" s="208"/>
      <c r="K54" s="209">
        <f t="shared" si="4"/>
        <v>727</v>
      </c>
      <c r="L54" s="841">
        <v>0</v>
      </c>
      <c r="M54" s="210">
        <v>0</v>
      </c>
      <c r="N54" s="210">
        <v>0</v>
      </c>
      <c r="O54" s="210">
        <v>0</v>
      </c>
      <c r="P54" s="211">
        <f t="shared" si="5"/>
        <v>0</v>
      </c>
      <c r="Q54" s="191"/>
      <c r="R54" s="206"/>
      <c r="S54" s="206"/>
      <c r="T54" s="206"/>
      <c r="U54" s="206"/>
      <c r="V54" s="206"/>
      <c r="W54" s="206"/>
      <c r="X54" s="212"/>
      <c r="Y54" s="265"/>
      <c r="Z54" s="213"/>
    </row>
    <row r="55" spans="1:26" s="187" customFormat="1" ht="13.5" customHeight="1" x14ac:dyDescent="0.25">
      <c r="A55" s="203">
        <v>47</v>
      </c>
      <c r="B55" s="204" t="s">
        <v>117</v>
      </c>
      <c r="C55" s="205" t="s">
        <v>118</v>
      </c>
      <c r="D55" s="650">
        <v>2298</v>
      </c>
      <c r="E55" s="206">
        <v>0</v>
      </c>
      <c r="F55" s="207">
        <v>0</v>
      </c>
      <c r="G55" s="207">
        <f t="shared" si="6"/>
        <v>0</v>
      </c>
      <c r="H55" s="208"/>
      <c r="I55" s="208"/>
      <c r="J55" s="208"/>
      <c r="K55" s="209">
        <f t="shared" si="4"/>
        <v>2298</v>
      </c>
      <c r="L55" s="841">
        <v>32</v>
      </c>
      <c r="M55" s="210">
        <v>271</v>
      </c>
      <c r="N55" s="210">
        <v>687</v>
      </c>
      <c r="O55" s="210">
        <v>541</v>
      </c>
      <c r="P55" s="211">
        <f t="shared" si="5"/>
        <v>1531</v>
      </c>
      <c r="Q55" s="191"/>
      <c r="R55" s="206"/>
      <c r="S55" s="206"/>
      <c r="T55" s="206"/>
      <c r="U55" s="206"/>
      <c r="V55" s="206"/>
      <c r="W55" s="206"/>
      <c r="X55" s="212"/>
      <c r="Y55" s="265"/>
      <c r="Z55" s="213"/>
    </row>
    <row r="56" spans="1:26" s="187" customFormat="1" ht="13.5" customHeight="1" x14ac:dyDescent="0.25">
      <c r="A56" s="203">
        <v>48</v>
      </c>
      <c r="B56" s="204" t="s">
        <v>119</v>
      </c>
      <c r="C56" s="205" t="s">
        <v>120</v>
      </c>
      <c r="D56" s="650">
        <v>396</v>
      </c>
      <c r="E56" s="206">
        <v>0</v>
      </c>
      <c r="F56" s="207">
        <v>47</v>
      </c>
      <c r="G56" s="207">
        <f t="shared" si="6"/>
        <v>0</v>
      </c>
      <c r="H56" s="208"/>
      <c r="I56" s="208"/>
      <c r="J56" s="208"/>
      <c r="K56" s="209">
        <f t="shared" si="4"/>
        <v>443</v>
      </c>
      <c r="L56" s="841">
        <v>0</v>
      </c>
      <c r="M56" s="210">
        <v>0</v>
      </c>
      <c r="N56" s="210">
        <v>0</v>
      </c>
      <c r="O56" s="210">
        <v>0</v>
      </c>
      <c r="P56" s="211">
        <f t="shared" si="5"/>
        <v>0</v>
      </c>
      <c r="Q56" s="191"/>
      <c r="R56" s="206"/>
      <c r="S56" s="206"/>
      <c r="T56" s="206"/>
      <c r="U56" s="206"/>
      <c r="V56" s="206"/>
      <c r="W56" s="206"/>
      <c r="X56" s="212"/>
      <c r="Y56" s="265"/>
      <c r="Z56" s="213"/>
    </row>
    <row r="57" spans="1:26" s="187" customFormat="1" ht="13.5" customHeight="1" x14ac:dyDescent="0.25">
      <c r="A57" s="203">
        <v>49</v>
      </c>
      <c r="B57" s="204" t="s">
        <v>127</v>
      </c>
      <c r="C57" s="205" t="s">
        <v>128</v>
      </c>
      <c r="D57" s="650">
        <v>300</v>
      </c>
      <c r="E57" s="206">
        <v>0</v>
      </c>
      <c r="F57" s="207">
        <v>0</v>
      </c>
      <c r="G57" s="207">
        <f t="shared" si="6"/>
        <v>0</v>
      </c>
      <c r="H57" s="208"/>
      <c r="I57" s="208"/>
      <c r="J57" s="208"/>
      <c r="K57" s="209">
        <f t="shared" si="4"/>
        <v>300</v>
      </c>
      <c r="L57" s="841">
        <v>0</v>
      </c>
      <c r="M57" s="210">
        <v>0</v>
      </c>
      <c r="N57" s="210">
        <v>0</v>
      </c>
      <c r="O57" s="210">
        <v>0</v>
      </c>
      <c r="P57" s="211">
        <f t="shared" si="5"/>
        <v>0</v>
      </c>
      <c r="Q57" s="191"/>
      <c r="R57" s="206"/>
      <c r="S57" s="206"/>
      <c r="T57" s="206"/>
      <c r="U57" s="206"/>
      <c r="V57" s="206"/>
      <c r="W57" s="206"/>
      <c r="X57" s="212"/>
      <c r="Y57" s="265"/>
      <c r="Z57" s="213"/>
    </row>
    <row r="58" spans="1:26" s="187" customFormat="1" ht="13.5" customHeight="1" x14ac:dyDescent="0.25">
      <c r="A58" s="203">
        <v>50</v>
      </c>
      <c r="B58" s="204" t="s">
        <v>129</v>
      </c>
      <c r="C58" s="205" t="s">
        <v>459</v>
      </c>
      <c r="D58" s="650">
        <v>470</v>
      </c>
      <c r="E58" s="206">
        <v>0</v>
      </c>
      <c r="F58" s="207">
        <v>0</v>
      </c>
      <c r="G58" s="207">
        <f t="shared" si="6"/>
        <v>0</v>
      </c>
      <c r="H58" s="208"/>
      <c r="I58" s="208"/>
      <c r="J58" s="208"/>
      <c r="K58" s="209">
        <f t="shared" si="4"/>
        <v>470</v>
      </c>
      <c r="L58" s="841">
        <v>0</v>
      </c>
      <c r="M58" s="210">
        <v>0</v>
      </c>
      <c r="N58" s="210">
        <v>0</v>
      </c>
      <c r="O58" s="210">
        <v>0</v>
      </c>
      <c r="P58" s="211">
        <f t="shared" si="5"/>
        <v>0</v>
      </c>
      <c r="Q58" s="191"/>
      <c r="R58" s="206"/>
      <c r="S58" s="206"/>
      <c r="T58" s="206"/>
      <c r="U58" s="206"/>
      <c r="V58" s="206"/>
      <c r="W58" s="206"/>
      <c r="X58" s="212"/>
      <c r="Y58" s="265"/>
      <c r="Z58" s="213"/>
    </row>
    <row r="59" spans="1:26" s="187" customFormat="1" ht="13.5" customHeight="1" x14ac:dyDescent="0.25">
      <c r="A59" s="203">
        <v>51</v>
      </c>
      <c r="B59" s="204" t="s">
        <v>131</v>
      </c>
      <c r="C59" s="205" t="s">
        <v>132</v>
      </c>
      <c r="D59" s="650">
        <v>0</v>
      </c>
      <c r="E59" s="206">
        <v>0</v>
      </c>
      <c r="F59" s="207">
        <v>0</v>
      </c>
      <c r="G59" s="207">
        <f t="shared" si="6"/>
        <v>0</v>
      </c>
      <c r="H59" s="208"/>
      <c r="I59" s="208"/>
      <c r="J59" s="208"/>
      <c r="K59" s="209">
        <f t="shared" si="4"/>
        <v>0</v>
      </c>
      <c r="L59" s="841">
        <v>0</v>
      </c>
      <c r="M59" s="210">
        <v>0</v>
      </c>
      <c r="N59" s="210">
        <v>0</v>
      </c>
      <c r="O59" s="210">
        <v>0</v>
      </c>
      <c r="P59" s="211">
        <f t="shared" si="5"/>
        <v>0</v>
      </c>
      <c r="Q59" s="191"/>
      <c r="R59" s="206"/>
      <c r="S59" s="206"/>
      <c r="T59" s="206"/>
      <c r="U59" s="206"/>
      <c r="V59" s="206"/>
      <c r="W59" s="206"/>
      <c r="X59" s="212"/>
      <c r="Y59" s="265"/>
      <c r="Z59" s="213"/>
    </row>
    <row r="60" spans="1:26" s="187" customFormat="1" ht="13.5" customHeight="1" x14ac:dyDescent="0.25">
      <c r="A60" s="203">
        <v>52</v>
      </c>
      <c r="B60" s="204" t="s">
        <v>133</v>
      </c>
      <c r="C60" s="205" t="s">
        <v>299</v>
      </c>
      <c r="D60" s="650">
        <v>383</v>
      </c>
      <c r="E60" s="206">
        <v>0</v>
      </c>
      <c r="F60" s="207">
        <v>0</v>
      </c>
      <c r="G60" s="207">
        <f t="shared" si="6"/>
        <v>0</v>
      </c>
      <c r="H60" s="208"/>
      <c r="I60" s="208"/>
      <c r="J60" s="208"/>
      <c r="K60" s="209">
        <f t="shared" si="4"/>
        <v>383</v>
      </c>
      <c r="L60" s="841">
        <v>0</v>
      </c>
      <c r="M60" s="210">
        <v>0</v>
      </c>
      <c r="N60" s="210">
        <v>0</v>
      </c>
      <c r="O60" s="210">
        <v>0</v>
      </c>
      <c r="P60" s="211">
        <f t="shared" si="5"/>
        <v>0</v>
      </c>
      <c r="Q60" s="191"/>
      <c r="R60" s="206"/>
      <c r="S60" s="206"/>
      <c r="T60" s="206"/>
      <c r="U60" s="206"/>
      <c r="V60" s="206"/>
      <c r="W60" s="206"/>
      <c r="X60" s="212"/>
      <c r="Y60" s="265"/>
      <c r="Z60" s="213"/>
    </row>
    <row r="61" spans="1:26" s="187" customFormat="1" ht="13.5" customHeight="1" x14ac:dyDescent="0.25">
      <c r="A61" s="203">
        <v>53</v>
      </c>
      <c r="B61" s="204" t="s">
        <v>135</v>
      </c>
      <c r="C61" s="205" t="s">
        <v>461</v>
      </c>
      <c r="D61" s="650">
        <v>560</v>
      </c>
      <c r="E61" s="206">
        <v>0</v>
      </c>
      <c r="F61" s="207">
        <v>0</v>
      </c>
      <c r="G61" s="207">
        <f t="shared" si="6"/>
        <v>0</v>
      </c>
      <c r="H61" s="208"/>
      <c r="I61" s="208"/>
      <c r="J61" s="208"/>
      <c r="K61" s="209">
        <f>D61+E61+F61+G61</f>
        <v>560</v>
      </c>
      <c r="L61" s="841">
        <v>0</v>
      </c>
      <c r="M61" s="210">
        <v>0</v>
      </c>
      <c r="N61" s="210">
        <v>0</v>
      </c>
      <c r="O61" s="210">
        <v>0</v>
      </c>
      <c r="P61" s="211">
        <f>L61+M61+N61+O61</f>
        <v>0</v>
      </c>
      <c r="Q61" s="191"/>
      <c r="R61" s="206"/>
      <c r="S61" s="206"/>
      <c r="T61" s="206"/>
      <c r="U61" s="206"/>
      <c r="V61" s="206"/>
      <c r="W61" s="206"/>
      <c r="X61" s="212"/>
      <c r="Y61" s="265"/>
      <c r="Z61" s="213"/>
    </row>
    <row r="62" spans="1:26" s="187" customFormat="1" ht="13.5" customHeight="1" x14ac:dyDescent="0.25">
      <c r="A62" s="203">
        <v>54</v>
      </c>
      <c r="B62" s="204" t="s">
        <v>141</v>
      </c>
      <c r="C62" s="205" t="s">
        <v>456</v>
      </c>
      <c r="D62" s="650">
        <v>1956</v>
      </c>
      <c r="E62" s="206">
        <v>0</v>
      </c>
      <c r="F62" s="207">
        <v>234</v>
      </c>
      <c r="G62" s="207">
        <f t="shared" si="6"/>
        <v>0</v>
      </c>
      <c r="H62" s="208"/>
      <c r="I62" s="208"/>
      <c r="J62" s="208"/>
      <c r="K62" s="209">
        <f t="shared" si="4"/>
        <v>2190</v>
      </c>
      <c r="L62" s="841">
        <v>0</v>
      </c>
      <c r="M62" s="210">
        <v>0</v>
      </c>
      <c r="N62" s="210">
        <v>0</v>
      </c>
      <c r="O62" s="210">
        <v>0</v>
      </c>
      <c r="P62" s="211">
        <f t="shared" si="5"/>
        <v>0</v>
      </c>
      <c r="Q62" s="191"/>
      <c r="R62" s="206"/>
      <c r="S62" s="206"/>
      <c r="T62" s="206"/>
      <c r="U62" s="206"/>
      <c r="V62" s="206"/>
      <c r="W62" s="206"/>
      <c r="X62" s="212"/>
      <c r="Y62" s="265"/>
      <c r="Z62" s="213"/>
    </row>
    <row r="63" spans="1:26" s="187" customFormat="1" ht="13.5" customHeight="1" x14ac:dyDescent="0.25">
      <c r="A63" s="203">
        <v>55</v>
      </c>
      <c r="B63" s="204" t="s">
        <v>143</v>
      </c>
      <c r="C63" s="205" t="s">
        <v>144</v>
      </c>
      <c r="D63" s="650">
        <v>1228</v>
      </c>
      <c r="E63" s="206">
        <v>0</v>
      </c>
      <c r="F63" s="207">
        <v>0</v>
      </c>
      <c r="G63" s="207">
        <f t="shared" si="6"/>
        <v>0</v>
      </c>
      <c r="H63" s="208"/>
      <c r="I63" s="208"/>
      <c r="J63" s="208"/>
      <c r="K63" s="209">
        <f t="shared" si="4"/>
        <v>1228</v>
      </c>
      <c r="L63" s="841">
        <v>0</v>
      </c>
      <c r="M63" s="210">
        <v>0</v>
      </c>
      <c r="N63" s="210">
        <v>0</v>
      </c>
      <c r="O63" s="210">
        <v>0</v>
      </c>
      <c r="P63" s="211">
        <f t="shared" si="5"/>
        <v>0</v>
      </c>
      <c r="Q63" s="191"/>
      <c r="R63" s="206"/>
      <c r="S63" s="206"/>
      <c r="T63" s="206"/>
      <c r="U63" s="206"/>
      <c r="V63" s="206"/>
      <c r="W63" s="206"/>
      <c r="X63" s="212"/>
      <c r="Y63" s="265"/>
      <c r="Z63" s="213"/>
    </row>
    <row r="64" spans="1:26" s="187" customFormat="1" ht="13.5" customHeight="1" x14ac:dyDescent="0.25">
      <c r="A64" s="203">
        <v>56</v>
      </c>
      <c r="B64" s="204" t="s">
        <v>145</v>
      </c>
      <c r="C64" s="205" t="s">
        <v>457</v>
      </c>
      <c r="D64" s="650">
        <v>2875</v>
      </c>
      <c r="E64" s="206">
        <v>58</v>
      </c>
      <c r="F64" s="207">
        <v>322</v>
      </c>
      <c r="G64" s="207">
        <f t="shared" si="6"/>
        <v>0</v>
      </c>
      <c r="H64" s="208"/>
      <c r="I64" s="208"/>
      <c r="J64" s="208"/>
      <c r="K64" s="209">
        <f t="shared" si="4"/>
        <v>3255</v>
      </c>
      <c r="L64" s="841">
        <v>0</v>
      </c>
      <c r="M64" s="210">
        <v>0</v>
      </c>
      <c r="N64" s="210">
        <v>0</v>
      </c>
      <c r="O64" s="210">
        <v>0</v>
      </c>
      <c r="P64" s="211">
        <f t="shared" si="5"/>
        <v>0</v>
      </c>
      <c r="Q64" s="191"/>
      <c r="R64" s="206"/>
      <c r="S64" s="206"/>
      <c r="T64" s="206"/>
      <c r="U64" s="206"/>
      <c r="V64" s="206"/>
      <c r="W64" s="206"/>
      <c r="X64" s="212"/>
      <c r="Y64" s="265"/>
      <c r="Z64" s="213"/>
    </row>
    <row r="65" spans="1:26" s="187" customFormat="1" ht="13.5" customHeight="1" x14ac:dyDescent="0.25">
      <c r="A65" s="203">
        <v>57</v>
      </c>
      <c r="B65" s="204" t="s">
        <v>161</v>
      </c>
      <c r="C65" s="205" t="s">
        <v>162</v>
      </c>
      <c r="D65" s="650">
        <v>1447</v>
      </c>
      <c r="E65" s="206">
        <v>31</v>
      </c>
      <c r="F65" s="207">
        <v>173</v>
      </c>
      <c r="G65" s="207">
        <f t="shared" si="6"/>
        <v>0</v>
      </c>
      <c r="H65" s="208"/>
      <c r="I65" s="208"/>
      <c r="J65" s="208"/>
      <c r="K65" s="209">
        <f t="shared" si="4"/>
        <v>1651</v>
      </c>
      <c r="L65" s="841">
        <v>0</v>
      </c>
      <c r="M65" s="210">
        <v>0</v>
      </c>
      <c r="N65" s="210">
        <v>0</v>
      </c>
      <c r="O65" s="210">
        <v>0</v>
      </c>
      <c r="P65" s="211">
        <f t="shared" si="5"/>
        <v>0</v>
      </c>
      <c r="Q65" s="191"/>
      <c r="R65" s="206"/>
      <c r="S65" s="206"/>
      <c r="T65" s="206"/>
      <c r="U65" s="206"/>
      <c r="V65" s="206"/>
      <c r="W65" s="206"/>
      <c r="X65" s="212"/>
      <c r="Y65" s="265"/>
      <c r="Z65" s="213"/>
    </row>
    <row r="66" spans="1:26" s="187" customFormat="1" ht="13.5" customHeight="1" x14ac:dyDescent="0.25">
      <c r="A66" s="203">
        <v>58</v>
      </c>
      <c r="B66" s="204" t="s">
        <v>163</v>
      </c>
      <c r="C66" s="205" t="s">
        <v>458</v>
      </c>
      <c r="D66" s="650">
        <v>1812</v>
      </c>
      <c r="E66" s="206">
        <v>78</v>
      </c>
      <c r="F66" s="207">
        <v>433</v>
      </c>
      <c r="G66" s="207">
        <f t="shared" si="6"/>
        <v>0</v>
      </c>
      <c r="H66" s="208"/>
      <c r="I66" s="208"/>
      <c r="J66" s="208"/>
      <c r="K66" s="209">
        <f t="shared" si="4"/>
        <v>2323</v>
      </c>
      <c r="L66" s="841">
        <v>0</v>
      </c>
      <c r="M66" s="210">
        <v>0</v>
      </c>
      <c r="N66" s="210">
        <v>0</v>
      </c>
      <c r="O66" s="210">
        <v>0</v>
      </c>
      <c r="P66" s="211">
        <f t="shared" si="5"/>
        <v>0</v>
      </c>
      <c r="Q66" s="191"/>
      <c r="R66" s="206"/>
      <c r="S66" s="206"/>
      <c r="T66" s="206"/>
      <c r="U66" s="206"/>
      <c r="V66" s="206"/>
      <c r="W66" s="206"/>
      <c r="X66" s="212"/>
      <c r="Y66" s="265"/>
      <c r="Z66" s="213"/>
    </row>
    <row r="67" spans="1:26" s="187" customFormat="1" ht="13.5" customHeight="1" x14ac:dyDescent="0.25">
      <c r="A67" s="203">
        <v>59</v>
      </c>
      <c r="B67" s="204" t="s">
        <v>165</v>
      </c>
      <c r="C67" s="205" t="s">
        <v>166</v>
      </c>
      <c r="D67" s="650">
        <v>2121</v>
      </c>
      <c r="E67" s="206">
        <v>45</v>
      </c>
      <c r="F67" s="207">
        <v>253</v>
      </c>
      <c r="G67" s="207">
        <f t="shared" si="6"/>
        <v>316</v>
      </c>
      <c r="H67" s="208">
        <v>286</v>
      </c>
      <c r="I67" s="208">
        <v>0</v>
      </c>
      <c r="J67" s="208">
        <v>30</v>
      </c>
      <c r="K67" s="209">
        <f t="shared" si="4"/>
        <v>2735</v>
      </c>
      <c r="L67" s="841">
        <v>0</v>
      </c>
      <c r="M67" s="210">
        <v>0</v>
      </c>
      <c r="N67" s="210">
        <v>0</v>
      </c>
      <c r="O67" s="210">
        <v>0</v>
      </c>
      <c r="P67" s="211">
        <f t="shared" si="5"/>
        <v>0</v>
      </c>
      <c r="Q67" s="191"/>
      <c r="R67" s="206"/>
      <c r="S67" s="206"/>
      <c r="T67" s="206"/>
      <c r="U67" s="206"/>
      <c r="V67" s="206"/>
      <c r="W67" s="206"/>
      <c r="X67" s="212"/>
      <c r="Y67" s="265"/>
      <c r="Z67" s="213"/>
    </row>
    <row r="68" spans="1:26" s="187" customFormat="1" ht="13.5" customHeight="1" x14ac:dyDescent="0.25">
      <c r="A68" s="203">
        <v>60</v>
      </c>
      <c r="B68" s="204" t="s">
        <v>167</v>
      </c>
      <c r="C68" s="205" t="s">
        <v>168</v>
      </c>
      <c r="D68" s="650">
        <v>619</v>
      </c>
      <c r="E68" s="206">
        <v>0</v>
      </c>
      <c r="F68" s="207">
        <v>0</v>
      </c>
      <c r="G68" s="207">
        <f t="shared" si="6"/>
        <v>0</v>
      </c>
      <c r="H68" s="215"/>
      <c r="I68" s="215"/>
      <c r="J68" s="215"/>
      <c r="K68" s="209">
        <f t="shared" si="4"/>
        <v>619</v>
      </c>
      <c r="L68" s="841">
        <v>0</v>
      </c>
      <c r="M68" s="210">
        <v>0</v>
      </c>
      <c r="N68" s="210">
        <v>0</v>
      </c>
      <c r="O68" s="210">
        <v>0</v>
      </c>
      <c r="P68" s="211">
        <f t="shared" si="5"/>
        <v>0</v>
      </c>
      <c r="Q68" s="191"/>
      <c r="R68" s="206"/>
      <c r="S68" s="206"/>
      <c r="T68" s="206"/>
      <c r="U68" s="206"/>
      <c r="V68" s="206"/>
      <c r="W68" s="206"/>
      <c r="X68" s="212"/>
      <c r="Y68" s="265"/>
      <c r="Z68" s="213"/>
    </row>
    <row r="69" spans="1:26" s="187" customFormat="1" ht="13.5" customHeight="1" x14ac:dyDescent="0.25">
      <c r="A69" s="203">
        <v>61</v>
      </c>
      <c r="B69" s="204" t="s">
        <v>169</v>
      </c>
      <c r="C69" s="205" t="s">
        <v>170</v>
      </c>
      <c r="D69" s="650">
        <v>4455</v>
      </c>
      <c r="E69" s="206">
        <v>95</v>
      </c>
      <c r="F69" s="207">
        <v>581</v>
      </c>
      <c r="G69" s="207">
        <f t="shared" si="6"/>
        <v>624</v>
      </c>
      <c r="H69" s="208">
        <v>432</v>
      </c>
      <c r="I69" s="208">
        <v>62</v>
      </c>
      <c r="J69" s="208">
        <v>130</v>
      </c>
      <c r="K69" s="209">
        <f t="shared" si="4"/>
        <v>5755</v>
      </c>
      <c r="L69" s="841">
        <v>474</v>
      </c>
      <c r="M69" s="210">
        <v>2046</v>
      </c>
      <c r="N69" s="210">
        <v>4626</v>
      </c>
      <c r="O69" s="210">
        <v>2675</v>
      </c>
      <c r="P69" s="211">
        <f t="shared" si="5"/>
        <v>9821</v>
      </c>
      <c r="Q69" s="191"/>
      <c r="R69" s="206"/>
      <c r="S69" s="206"/>
      <c r="T69" s="206"/>
      <c r="U69" s="206"/>
      <c r="V69" s="206"/>
      <c r="W69" s="206"/>
      <c r="X69" s="212"/>
      <c r="Y69" s="265"/>
      <c r="Z69" s="213"/>
    </row>
    <row r="70" spans="1:26" s="187" customFormat="1" ht="13.5" customHeight="1" x14ac:dyDescent="0.25">
      <c r="A70" s="203">
        <v>62</v>
      </c>
      <c r="B70" s="204" t="s">
        <v>171</v>
      </c>
      <c r="C70" s="205" t="s">
        <v>172</v>
      </c>
      <c r="D70" s="650">
        <v>603</v>
      </c>
      <c r="E70" s="206">
        <v>0</v>
      </c>
      <c r="F70" s="207">
        <v>0</v>
      </c>
      <c r="G70" s="207">
        <f t="shared" si="6"/>
        <v>0</v>
      </c>
      <c r="H70" s="208"/>
      <c r="I70" s="208"/>
      <c r="J70" s="208"/>
      <c r="K70" s="209">
        <f t="shared" si="4"/>
        <v>603</v>
      </c>
      <c r="L70" s="841">
        <v>0</v>
      </c>
      <c r="M70" s="210">
        <v>0</v>
      </c>
      <c r="N70" s="210">
        <v>0</v>
      </c>
      <c r="O70" s="210">
        <v>0</v>
      </c>
      <c r="P70" s="211">
        <f t="shared" si="5"/>
        <v>0</v>
      </c>
      <c r="Q70" s="191"/>
      <c r="R70" s="206"/>
      <c r="S70" s="206"/>
      <c r="T70" s="206"/>
      <c r="U70" s="206"/>
      <c r="V70" s="206"/>
      <c r="W70" s="206"/>
      <c r="X70" s="212"/>
      <c r="Y70" s="265"/>
      <c r="Z70" s="213"/>
    </row>
    <row r="71" spans="1:26" s="187" customFormat="1" ht="13.5" customHeight="1" x14ac:dyDescent="0.25">
      <c r="A71" s="203">
        <v>63</v>
      </c>
      <c r="B71" s="204" t="s">
        <v>173</v>
      </c>
      <c r="C71" s="205" t="s">
        <v>616</v>
      </c>
      <c r="D71" s="650">
        <v>2054</v>
      </c>
      <c r="E71" s="206">
        <v>0</v>
      </c>
      <c r="F71" s="207">
        <v>334</v>
      </c>
      <c r="G71" s="207">
        <f t="shared" si="6"/>
        <v>849</v>
      </c>
      <c r="H71" s="208">
        <v>729</v>
      </c>
      <c r="I71" s="208">
        <v>0</v>
      </c>
      <c r="J71" s="208">
        <v>120</v>
      </c>
      <c r="K71" s="209">
        <f t="shared" si="4"/>
        <v>3237</v>
      </c>
      <c r="L71" s="841">
        <v>0</v>
      </c>
      <c r="M71" s="210">
        <v>0</v>
      </c>
      <c r="N71" s="210">
        <v>0</v>
      </c>
      <c r="O71" s="210">
        <v>0</v>
      </c>
      <c r="P71" s="211">
        <f t="shared" si="5"/>
        <v>0</v>
      </c>
      <c r="Q71" s="191"/>
      <c r="R71" s="206"/>
      <c r="S71" s="206"/>
      <c r="T71" s="206"/>
      <c r="U71" s="206"/>
      <c r="V71" s="206"/>
      <c r="W71" s="206"/>
      <c r="X71" s="212"/>
      <c r="Y71" s="265"/>
      <c r="Z71" s="213"/>
    </row>
    <row r="72" spans="1:26" s="187" customFormat="1" ht="13.5" customHeight="1" x14ac:dyDescent="0.25">
      <c r="A72" s="203">
        <v>64</v>
      </c>
      <c r="B72" s="204" t="s">
        <v>178</v>
      </c>
      <c r="C72" s="205" t="s">
        <v>324</v>
      </c>
      <c r="D72" s="650">
        <v>160</v>
      </c>
      <c r="E72" s="206">
        <v>6</v>
      </c>
      <c r="F72" s="207">
        <v>19</v>
      </c>
      <c r="G72" s="207">
        <f t="shared" si="6"/>
        <v>0</v>
      </c>
      <c r="H72" s="208"/>
      <c r="I72" s="208"/>
      <c r="J72" s="208"/>
      <c r="K72" s="209">
        <f t="shared" si="4"/>
        <v>185</v>
      </c>
      <c r="L72" s="841">
        <v>0</v>
      </c>
      <c r="M72" s="210">
        <v>0</v>
      </c>
      <c r="N72" s="210">
        <v>0</v>
      </c>
      <c r="O72" s="210">
        <v>0</v>
      </c>
      <c r="P72" s="211">
        <f t="shared" si="5"/>
        <v>0</v>
      </c>
      <c r="Q72" s="191"/>
      <c r="R72" s="206"/>
      <c r="S72" s="206"/>
      <c r="T72" s="206"/>
      <c r="U72" s="206"/>
      <c r="V72" s="206"/>
      <c r="W72" s="206"/>
      <c r="X72" s="212"/>
      <c r="Y72" s="265"/>
      <c r="Z72" s="213"/>
    </row>
    <row r="73" spans="1:26" s="187" customFormat="1" ht="13.5" customHeight="1" x14ac:dyDescent="0.25">
      <c r="A73" s="203">
        <v>65</v>
      </c>
      <c r="B73" s="204" t="s">
        <v>183</v>
      </c>
      <c r="C73" s="205" t="s">
        <v>184</v>
      </c>
      <c r="D73" s="650">
        <v>128</v>
      </c>
      <c r="E73" s="206">
        <v>0</v>
      </c>
      <c r="F73" s="207">
        <v>0</v>
      </c>
      <c r="G73" s="207">
        <f t="shared" si="6"/>
        <v>0</v>
      </c>
      <c r="H73" s="208"/>
      <c r="I73" s="208"/>
      <c r="J73" s="208"/>
      <c r="K73" s="209">
        <f t="shared" si="4"/>
        <v>128</v>
      </c>
      <c r="L73" s="841">
        <v>0</v>
      </c>
      <c r="M73" s="210">
        <v>0</v>
      </c>
      <c r="N73" s="210">
        <v>0</v>
      </c>
      <c r="O73" s="210">
        <v>0</v>
      </c>
      <c r="P73" s="211">
        <f t="shared" si="5"/>
        <v>0</v>
      </c>
      <c r="Q73" s="191"/>
      <c r="R73" s="206"/>
      <c r="S73" s="206"/>
      <c r="T73" s="206"/>
      <c r="U73" s="206"/>
      <c r="V73" s="206"/>
      <c r="W73" s="206"/>
      <c r="X73" s="212"/>
      <c r="Y73" s="265"/>
      <c r="Z73" s="213"/>
    </row>
    <row r="74" spans="1:26" s="187" customFormat="1" ht="13.5" customHeight="1" x14ac:dyDescent="0.25">
      <c r="A74" s="203">
        <v>66</v>
      </c>
      <c r="B74" s="204" t="s">
        <v>185</v>
      </c>
      <c r="C74" s="205" t="s">
        <v>186</v>
      </c>
      <c r="D74" s="650">
        <v>2362</v>
      </c>
      <c r="E74" s="206">
        <v>25</v>
      </c>
      <c r="F74" s="207">
        <v>228</v>
      </c>
      <c r="G74" s="207">
        <f t="shared" si="6"/>
        <v>356</v>
      </c>
      <c r="H74" s="208">
        <v>272</v>
      </c>
      <c r="I74" s="208">
        <v>34</v>
      </c>
      <c r="J74" s="208">
        <v>50</v>
      </c>
      <c r="K74" s="209">
        <f t="shared" ref="K74:K92" si="7">D74+E74+F74+G74</f>
        <v>2971</v>
      </c>
      <c r="L74" s="841">
        <v>0</v>
      </c>
      <c r="M74" s="210">
        <v>0</v>
      </c>
      <c r="N74" s="210">
        <v>0</v>
      </c>
      <c r="O74" s="210">
        <v>0</v>
      </c>
      <c r="P74" s="211">
        <f t="shared" ref="P74:P85" si="8">L74+M74+N74+O74</f>
        <v>0</v>
      </c>
      <c r="Q74" s="191"/>
      <c r="R74" s="206"/>
      <c r="S74" s="206"/>
      <c r="T74" s="206"/>
      <c r="U74" s="206"/>
      <c r="V74" s="206"/>
      <c r="W74" s="206"/>
      <c r="X74" s="212"/>
      <c r="Y74" s="265"/>
      <c r="Z74" s="213"/>
    </row>
    <row r="75" spans="1:26" s="187" customFormat="1" ht="13.5" customHeight="1" x14ac:dyDescent="0.25">
      <c r="A75" s="203">
        <v>67</v>
      </c>
      <c r="B75" s="204" t="s">
        <v>187</v>
      </c>
      <c r="C75" s="205" t="s">
        <v>188</v>
      </c>
      <c r="D75" s="650">
        <v>337</v>
      </c>
      <c r="E75" s="206">
        <v>7</v>
      </c>
      <c r="F75" s="207">
        <v>0</v>
      </c>
      <c r="G75" s="207">
        <f t="shared" si="6"/>
        <v>0</v>
      </c>
      <c r="H75" s="208"/>
      <c r="I75" s="208"/>
      <c r="J75" s="208"/>
      <c r="K75" s="209">
        <f t="shared" si="7"/>
        <v>344</v>
      </c>
      <c r="L75" s="841">
        <v>0</v>
      </c>
      <c r="M75" s="210">
        <v>0</v>
      </c>
      <c r="N75" s="210">
        <v>0</v>
      </c>
      <c r="O75" s="210">
        <v>0</v>
      </c>
      <c r="P75" s="211">
        <f t="shared" si="8"/>
        <v>0</v>
      </c>
      <c r="Q75" s="191"/>
      <c r="R75" s="206"/>
      <c r="S75" s="206"/>
      <c r="T75" s="206"/>
      <c r="U75" s="206"/>
      <c r="V75" s="206"/>
      <c r="W75" s="206"/>
      <c r="X75" s="212"/>
      <c r="Y75" s="265"/>
      <c r="Z75" s="217"/>
    </row>
    <row r="76" spans="1:26" s="187" customFormat="1" ht="13.5" customHeight="1" x14ac:dyDescent="0.25">
      <c r="A76" s="203">
        <v>68</v>
      </c>
      <c r="B76" s="204" t="s">
        <v>189</v>
      </c>
      <c r="C76" s="205" t="s">
        <v>190</v>
      </c>
      <c r="D76" s="650">
        <v>328</v>
      </c>
      <c r="E76" s="206">
        <v>0</v>
      </c>
      <c r="F76" s="207">
        <v>39</v>
      </c>
      <c r="G76" s="207">
        <f t="shared" si="6"/>
        <v>0</v>
      </c>
      <c r="H76" s="207"/>
      <c r="I76" s="214"/>
      <c r="J76" s="214"/>
      <c r="K76" s="209">
        <f t="shared" si="7"/>
        <v>367</v>
      </c>
      <c r="L76" s="841">
        <v>0</v>
      </c>
      <c r="M76" s="210">
        <v>0</v>
      </c>
      <c r="N76" s="210">
        <v>0</v>
      </c>
      <c r="O76" s="210">
        <v>0</v>
      </c>
      <c r="P76" s="211">
        <f t="shared" si="8"/>
        <v>0</v>
      </c>
      <c r="Q76" s="191"/>
      <c r="R76" s="206"/>
      <c r="S76" s="206"/>
      <c r="T76" s="206"/>
      <c r="U76" s="206"/>
      <c r="V76" s="206"/>
      <c r="W76" s="206"/>
      <c r="X76" s="212"/>
      <c r="Y76" s="265"/>
      <c r="Z76" s="217"/>
    </row>
    <row r="77" spans="1:26" s="187" customFormat="1" ht="13.5" customHeight="1" x14ac:dyDescent="0.25">
      <c r="A77" s="203">
        <v>69</v>
      </c>
      <c r="B77" s="204" t="s">
        <v>191</v>
      </c>
      <c r="C77" s="205" t="s">
        <v>192</v>
      </c>
      <c r="D77" s="650">
        <v>907</v>
      </c>
      <c r="E77" s="206">
        <v>0</v>
      </c>
      <c r="F77" s="207">
        <v>108</v>
      </c>
      <c r="G77" s="207">
        <f t="shared" si="6"/>
        <v>0</v>
      </c>
      <c r="H77" s="207"/>
      <c r="I77" s="214"/>
      <c r="J77" s="214"/>
      <c r="K77" s="209">
        <f t="shared" si="7"/>
        <v>1015</v>
      </c>
      <c r="L77" s="841">
        <v>0</v>
      </c>
      <c r="M77" s="210">
        <v>0</v>
      </c>
      <c r="N77" s="210">
        <v>0</v>
      </c>
      <c r="O77" s="210">
        <v>0</v>
      </c>
      <c r="P77" s="211">
        <f t="shared" si="8"/>
        <v>0</v>
      </c>
      <c r="Q77" s="191"/>
      <c r="R77" s="206"/>
      <c r="S77" s="206"/>
      <c r="T77" s="206"/>
      <c r="U77" s="206"/>
      <c r="V77" s="206"/>
      <c r="W77" s="206"/>
      <c r="X77" s="212"/>
      <c r="Y77" s="265"/>
      <c r="Z77" s="217"/>
    </row>
    <row r="78" spans="1:26" s="187" customFormat="1" ht="13.5" customHeight="1" x14ac:dyDescent="0.25">
      <c r="A78" s="203">
        <v>70</v>
      </c>
      <c r="B78" s="204" t="s">
        <v>193</v>
      </c>
      <c r="C78" s="205" t="s">
        <v>194</v>
      </c>
      <c r="D78" s="650">
        <v>400</v>
      </c>
      <c r="E78" s="206">
        <v>8</v>
      </c>
      <c r="F78" s="207">
        <v>47</v>
      </c>
      <c r="G78" s="207">
        <f t="shared" si="6"/>
        <v>0</v>
      </c>
      <c r="H78" s="207"/>
      <c r="I78" s="214"/>
      <c r="J78" s="214"/>
      <c r="K78" s="209">
        <f t="shared" si="7"/>
        <v>455</v>
      </c>
      <c r="L78" s="841">
        <v>0</v>
      </c>
      <c r="M78" s="210">
        <v>0</v>
      </c>
      <c r="N78" s="210">
        <v>0</v>
      </c>
      <c r="O78" s="210">
        <v>0</v>
      </c>
      <c r="P78" s="211">
        <f t="shared" si="8"/>
        <v>0</v>
      </c>
      <c r="Q78" s="191"/>
      <c r="R78" s="206"/>
      <c r="S78" s="206"/>
      <c r="T78" s="206"/>
      <c r="U78" s="206"/>
      <c r="V78" s="206"/>
      <c r="W78" s="206"/>
      <c r="X78" s="212"/>
      <c r="Y78" s="265"/>
      <c r="Z78" s="217"/>
    </row>
    <row r="79" spans="1:26" s="187" customFormat="1" ht="13.5" customHeight="1" x14ac:dyDescent="0.25">
      <c r="A79" s="203">
        <v>71</v>
      </c>
      <c r="B79" s="204" t="s">
        <v>195</v>
      </c>
      <c r="C79" s="205" t="s">
        <v>196</v>
      </c>
      <c r="D79" s="650">
        <v>510</v>
      </c>
      <c r="E79" s="206">
        <v>11</v>
      </c>
      <c r="F79" s="207">
        <v>0</v>
      </c>
      <c r="G79" s="207">
        <f t="shared" ref="G79:G97" si="9">H79+I79+J79</f>
        <v>0</v>
      </c>
      <c r="H79" s="215"/>
      <c r="I79" s="215"/>
      <c r="J79" s="215"/>
      <c r="K79" s="209">
        <f t="shared" si="7"/>
        <v>521</v>
      </c>
      <c r="L79" s="841">
        <v>0</v>
      </c>
      <c r="M79" s="210">
        <v>0</v>
      </c>
      <c r="N79" s="210">
        <v>0</v>
      </c>
      <c r="O79" s="210">
        <v>0</v>
      </c>
      <c r="P79" s="211">
        <f t="shared" si="8"/>
        <v>0</v>
      </c>
      <c r="Q79" s="191"/>
      <c r="R79" s="206"/>
      <c r="S79" s="206"/>
      <c r="T79" s="206"/>
      <c r="U79" s="206"/>
      <c r="V79" s="206"/>
      <c r="W79" s="206"/>
      <c r="X79" s="212"/>
      <c r="Y79" s="265"/>
      <c r="Z79" s="217"/>
    </row>
    <row r="80" spans="1:26" s="187" customFormat="1" ht="13.5" customHeight="1" x14ac:dyDescent="0.25">
      <c r="A80" s="203">
        <v>72</v>
      </c>
      <c r="B80" s="204" t="s">
        <v>197</v>
      </c>
      <c r="C80" s="205" t="s">
        <v>198</v>
      </c>
      <c r="D80" s="650">
        <v>0</v>
      </c>
      <c r="E80" s="206">
        <v>0</v>
      </c>
      <c r="F80" s="207">
        <v>0</v>
      </c>
      <c r="G80" s="207">
        <f t="shared" si="9"/>
        <v>0</v>
      </c>
      <c r="H80" s="208"/>
      <c r="I80" s="208"/>
      <c r="J80" s="208"/>
      <c r="K80" s="209">
        <f t="shared" si="7"/>
        <v>0</v>
      </c>
      <c r="L80" s="841">
        <v>0</v>
      </c>
      <c r="M80" s="210">
        <v>0</v>
      </c>
      <c r="N80" s="210">
        <v>0</v>
      </c>
      <c r="O80" s="210">
        <v>0</v>
      </c>
      <c r="P80" s="211">
        <f t="shared" si="8"/>
        <v>0</v>
      </c>
      <c r="Q80" s="191"/>
      <c r="R80" s="206"/>
      <c r="S80" s="206"/>
      <c r="T80" s="206"/>
      <c r="U80" s="206"/>
      <c r="V80" s="206"/>
      <c r="W80" s="206"/>
      <c r="X80" s="212"/>
      <c r="Y80" s="265"/>
      <c r="Z80" s="217"/>
    </row>
    <row r="81" spans="1:26" s="187" customFormat="1" ht="13.5" customHeight="1" x14ac:dyDescent="0.25">
      <c r="A81" s="203">
        <v>73</v>
      </c>
      <c r="B81" s="204" t="s">
        <v>199</v>
      </c>
      <c r="C81" s="205" t="s">
        <v>200</v>
      </c>
      <c r="D81" s="650">
        <v>866</v>
      </c>
      <c r="E81" s="206">
        <v>0</v>
      </c>
      <c r="F81" s="207">
        <v>0</v>
      </c>
      <c r="G81" s="207">
        <f t="shared" si="9"/>
        <v>0</v>
      </c>
      <c r="H81" s="208"/>
      <c r="I81" s="208"/>
      <c r="J81" s="208"/>
      <c r="K81" s="209">
        <f t="shared" si="7"/>
        <v>866</v>
      </c>
      <c r="L81" s="841">
        <v>0</v>
      </c>
      <c r="M81" s="210">
        <v>0</v>
      </c>
      <c r="N81" s="210">
        <v>0</v>
      </c>
      <c r="O81" s="210">
        <v>0</v>
      </c>
      <c r="P81" s="211">
        <f t="shared" si="8"/>
        <v>0</v>
      </c>
      <c r="Q81" s="191"/>
      <c r="R81" s="206"/>
      <c r="S81" s="206"/>
      <c r="T81" s="206"/>
      <c r="U81" s="206"/>
      <c r="V81" s="206"/>
      <c r="W81" s="206"/>
      <c r="X81" s="212"/>
      <c r="Y81" s="265"/>
      <c r="Z81" s="217"/>
    </row>
    <row r="82" spans="1:26" s="187" customFormat="1" ht="13.5" customHeight="1" x14ac:dyDescent="0.25">
      <c r="A82" s="203">
        <v>74</v>
      </c>
      <c r="B82" s="204" t="s">
        <v>201</v>
      </c>
      <c r="C82" s="205" t="s">
        <v>202</v>
      </c>
      <c r="D82" s="650">
        <v>301</v>
      </c>
      <c r="E82" s="206">
        <v>6</v>
      </c>
      <c r="F82" s="207">
        <v>36</v>
      </c>
      <c r="G82" s="207">
        <f t="shared" si="9"/>
        <v>0</v>
      </c>
      <c r="H82" s="208"/>
      <c r="I82" s="208"/>
      <c r="J82" s="208"/>
      <c r="K82" s="209">
        <f t="shared" si="7"/>
        <v>343</v>
      </c>
      <c r="L82" s="841">
        <v>0</v>
      </c>
      <c r="M82" s="210">
        <v>0</v>
      </c>
      <c r="N82" s="210">
        <v>0</v>
      </c>
      <c r="O82" s="210">
        <v>0</v>
      </c>
      <c r="P82" s="211">
        <f t="shared" si="8"/>
        <v>0</v>
      </c>
      <c r="Q82" s="191"/>
      <c r="R82" s="206"/>
      <c r="S82" s="206"/>
      <c r="T82" s="206"/>
      <c r="U82" s="206"/>
      <c r="V82" s="206"/>
      <c r="W82" s="206"/>
      <c r="X82" s="212"/>
      <c r="Y82" s="265"/>
      <c r="Z82" s="217"/>
    </row>
    <row r="83" spans="1:26" s="187" customFormat="1" ht="13.5" customHeight="1" x14ac:dyDescent="0.25">
      <c r="A83" s="203">
        <v>75</v>
      </c>
      <c r="B83" s="204" t="s">
        <v>203</v>
      </c>
      <c r="C83" s="205" t="s">
        <v>204</v>
      </c>
      <c r="D83" s="650">
        <v>470</v>
      </c>
      <c r="E83" s="206">
        <v>0</v>
      </c>
      <c r="F83" s="207">
        <v>0</v>
      </c>
      <c r="G83" s="207">
        <f t="shared" si="9"/>
        <v>0</v>
      </c>
      <c r="H83" s="208"/>
      <c r="I83" s="208"/>
      <c r="J83" s="208"/>
      <c r="K83" s="209">
        <f t="shared" si="7"/>
        <v>470</v>
      </c>
      <c r="L83" s="841">
        <v>0</v>
      </c>
      <c r="M83" s="210">
        <v>0</v>
      </c>
      <c r="N83" s="210">
        <v>0</v>
      </c>
      <c r="O83" s="210">
        <v>0</v>
      </c>
      <c r="P83" s="211">
        <f t="shared" si="8"/>
        <v>0</v>
      </c>
      <c r="Q83" s="191"/>
      <c r="R83" s="206"/>
      <c r="S83" s="206"/>
      <c r="T83" s="206"/>
      <c r="U83" s="206"/>
      <c r="V83" s="206"/>
      <c r="W83" s="206"/>
      <c r="X83" s="212"/>
      <c r="Y83" s="265"/>
      <c r="Z83" s="217"/>
    </row>
    <row r="84" spans="1:26" s="187" customFormat="1" ht="13.5" customHeight="1" x14ac:dyDescent="0.25">
      <c r="A84" s="203">
        <v>76</v>
      </c>
      <c r="B84" s="204" t="s">
        <v>205</v>
      </c>
      <c r="C84" s="205" t="s">
        <v>206</v>
      </c>
      <c r="D84" s="650">
        <v>445</v>
      </c>
      <c r="E84" s="206">
        <v>10</v>
      </c>
      <c r="F84" s="207">
        <v>53</v>
      </c>
      <c r="G84" s="207">
        <f t="shared" si="9"/>
        <v>0</v>
      </c>
      <c r="H84" s="208"/>
      <c r="I84" s="208"/>
      <c r="J84" s="208"/>
      <c r="K84" s="209">
        <f t="shared" si="7"/>
        <v>508</v>
      </c>
      <c r="L84" s="841">
        <v>0</v>
      </c>
      <c r="M84" s="210">
        <v>0</v>
      </c>
      <c r="N84" s="210">
        <v>0</v>
      </c>
      <c r="O84" s="210">
        <v>0</v>
      </c>
      <c r="P84" s="211">
        <f t="shared" si="8"/>
        <v>0</v>
      </c>
      <c r="Q84" s="191"/>
      <c r="R84" s="206"/>
      <c r="S84" s="206"/>
      <c r="T84" s="206"/>
      <c r="U84" s="206"/>
      <c r="V84" s="206"/>
      <c r="W84" s="206"/>
      <c r="X84" s="212"/>
      <c r="Y84" s="265"/>
      <c r="Z84" s="217"/>
    </row>
    <row r="85" spans="1:26" s="187" customFormat="1" ht="13.5" customHeight="1" x14ac:dyDescent="0.25">
      <c r="A85" s="203">
        <v>77</v>
      </c>
      <c r="B85" s="204" t="s">
        <v>207</v>
      </c>
      <c r="C85" s="205" t="s">
        <v>208</v>
      </c>
      <c r="D85" s="650">
        <v>524</v>
      </c>
      <c r="E85" s="206">
        <v>18</v>
      </c>
      <c r="F85" s="207">
        <v>61</v>
      </c>
      <c r="G85" s="207">
        <f t="shared" si="9"/>
        <v>289</v>
      </c>
      <c r="H85" s="208">
        <v>220</v>
      </c>
      <c r="I85" s="208">
        <v>28</v>
      </c>
      <c r="J85" s="208">
        <v>41</v>
      </c>
      <c r="K85" s="209">
        <f t="shared" si="7"/>
        <v>892</v>
      </c>
      <c r="L85" s="841">
        <v>0</v>
      </c>
      <c r="M85" s="210">
        <v>0</v>
      </c>
      <c r="N85" s="210">
        <v>0</v>
      </c>
      <c r="O85" s="210">
        <v>0</v>
      </c>
      <c r="P85" s="211">
        <f t="shared" si="8"/>
        <v>0</v>
      </c>
      <c r="Q85" s="191"/>
      <c r="R85" s="206"/>
      <c r="S85" s="206"/>
      <c r="T85" s="206"/>
      <c r="U85" s="206"/>
      <c r="V85" s="206"/>
      <c r="W85" s="206"/>
      <c r="X85" s="212"/>
      <c r="Y85" s="265"/>
      <c r="Z85" s="217"/>
    </row>
    <row r="86" spans="1:26" s="187" customFormat="1" ht="13.5" customHeight="1" x14ac:dyDescent="0.25">
      <c r="A86" s="203">
        <v>78</v>
      </c>
      <c r="B86" s="204" t="s">
        <v>209</v>
      </c>
      <c r="C86" s="205" t="s">
        <v>210</v>
      </c>
      <c r="D86" s="650">
        <v>348</v>
      </c>
      <c r="E86" s="206">
        <v>0</v>
      </c>
      <c r="F86" s="207">
        <v>0</v>
      </c>
      <c r="G86" s="207">
        <f t="shared" si="9"/>
        <v>0</v>
      </c>
      <c r="H86" s="208"/>
      <c r="I86" s="208"/>
      <c r="J86" s="208"/>
      <c r="K86" s="209">
        <f t="shared" si="7"/>
        <v>348</v>
      </c>
      <c r="L86" s="841">
        <v>0</v>
      </c>
      <c r="M86" s="210">
        <v>0</v>
      </c>
      <c r="N86" s="210">
        <v>0</v>
      </c>
      <c r="O86" s="210">
        <v>0</v>
      </c>
      <c r="P86" s="211">
        <f t="shared" ref="P86" si="10">L86+M86+N86+O86</f>
        <v>0</v>
      </c>
      <c r="Q86" s="191"/>
      <c r="R86" s="206"/>
      <c r="S86" s="206"/>
      <c r="T86" s="206"/>
      <c r="U86" s="206"/>
      <c r="V86" s="206"/>
      <c r="W86" s="206"/>
      <c r="X86" s="212"/>
      <c r="Y86" s="265"/>
      <c r="Z86" s="217"/>
    </row>
    <row r="87" spans="1:26" s="187" customFormat="1" ht="13.5" customHeight="1" x14ac:dyDescent="0.25">
      <c r="A87" s="203">
        <v>79</v>
      </c>
      <c r="B87" s="205" t="s">
        <v>211</v>
      </c>
      <c r="C87" s="218" t="s">
        <v>212</v>
      </c>
      <c r="D87" s="650">
        <v>519</v>
      </c>
      <c r="E87" s="206">
        <v>12</v>
      </c>
      <c r="F87" s="207">
        <v>62</v>
      </c>
      <c r="G87" s="207">
        <f t="shared" si="9"/>
        <v>0</v>
      </c>
      <c r="H87" s="208"/>
      <c r="I87" s="208"/>
      <c r="J87" s="208"/>
      <c r="K87" s="209">
        <f t="shared" si="7"/>
        <v>593</v>
      </c>
      <c r="L87" s="841">
        <v>0</v>
      </c>
      <c r="M87" s="210">
        <v>0</v>
      </c>
      <c r="N87" s="210">
        <v>0</v>
      </c>
      <c r="O87" s="210">
        <v>0</v>
      </c>
      <c r="P87" s="211">
        <f t="shared" ref="P87:P92" si="11">L87+M87+N87+O87</f>
        <v>0</v>
      </c>
      <c r="Q87" s="191"/>
      <c r="R87" s="206"/>
      <c r="S87" s="206"/>
      <c r="T87" s="206"/>
      <c r="U87" s="206"/>
      <c r="V87" s="206"/>
      <c r="W87" s="206"/>
      <c r="X87" s="212"/>
      <c r="Y87" s="265"/>
      <c r="Z87" s="217"/>
    </row>
    <row r="88" spans="1:26" s="187" customFormat="1" ht="13.5" customHeight="1" x14ac:dyDescent="0.25">
      <c r="A88" s="203">
        <v>80</v>
      </c>
      <c r="B88" s="204" t="s">
        <v>213</v>
      </c>
      <c r="C88" s="205" t="s">
        <v>214</v>
      </c>
      <c r="D88" s="650">
        <v>913</v>
      </c>
      <c r="E88" s="206">
        <v>19</v>
      </c>
      <c r="F88" s="207">
        <v>107</v>
      </c>
      <c r="G88" s="207">
        <f t="shared" si="9"/>
        <v>0</v>
      </c>
      <c r="H88" s="208"/>
      <c r="I88" s="208"/>
      <c r="J88" s="208"/>
      <c r="K88" s="209">
        <f t="shared" si="7"/>
        <v>1039</v>
      </c>
      <c r="L88" s="841">
        <v>0</v>
      </c>
      <c r="M88" s="210">
        <v>0</v>
      </c>
      <c r="N88" s="210">
        <v>0</v>
      </c>
      <c r="O88" s="210">
        <v>0</v>
      </c>
      <c r="P88" s="211">
        <f t="shared" si="11"/>
        <v>0</v>
      </c>
      <c r="Q88" s="191"/>
      <c r="R88" s="206"/>
      <c r="S88" s="206"/>
      <c r="T88" s="206"/>
      <c r="U88" s="206"/>
      <c r="V88" s="206"/>
      <c r="W88" s="206"/>
      <c r="X88" s="212"/>
      <c r="Y88" s="265"/>
      <c r="Z88" s="217"/>
    </row>
    <row r="89" spans="1:26" s="187" customFormat="1" ht="13.5" customHeight="1" x14ac:dyDescent="0.25">
      <c r="A89" s="203">
        <v>81</v>
      </c>
      <c r="B89" s="204" t="s">
        <v>215</v>
      </c>
      <c r="C89" s="205" t="s">
        <v>216</v>
      </c>
      <c r="D89" s="650">
        <v>410</v>
      </c>
      <c r="E89" s="206">
        <v>0</v>
      </c>
      <c r="F89" s="207">
        <v>0</v>
      </c>
      <c r="G89" s="207">
        <f t="shared" si="9"/>
        <v>0</v>
      </c>
      <c r="H89" s="208"/>
      <c r="I89" s="208"/>
      <c r="J89" s="208"/>
      <c r="K89" s="209">
        <f t="shared" si="7"/>
        <v>410</v>
      </c>
      <c r="L89" s="841">
        <v>0</v>
      </c>
      <c r="M89" s="210">
        <v>0</v>
      </c>
      <c r="N89" s="210">
        <v>0</v>
      </c>
      <c r="O89" s="210">
        <v>0</v>
      </c>
      <c r="P89" s="211">
        <f t="shared" si="11"/>
        <v>0</v>
      </c>
      <c r="Q89" s="191"/>
      <c r="R89" s="206"/>
      <c r="S89" s="206"/>
      <c r="T89" s="206"/>
      <c r="U89" s="206"/>
      <c r="V89" s="206"/>
      <c r="W89" s="206"/>
      <c r="X89" s="212"/>
      <c r="Y89" s="265"/>
      <c r="Z89" s="217"/>
    </row>
    <row r="90" spans="1:26" s="187" customFormat="1" ht="13.5" customHeight="1" x14ac:dyDescent="0.25">
      <c r="A90" s="203">
        <v>82</v>
      </c>
      <c r="B90" s="204" t="s">
        <v>258</v>
      </c>
      <c r="C90" s="205" t="s">
        <v>675</v>
      </c>
      <c r="D90" s="650">
        <v>2000</v>
      </c>
      <c r="E90" s="206">
        <v>307</v>
      </c>
      <c r="F90" s="207">
        <v>727</v>
      </c>
      <c r="G90" s="207">
        <f t="shared" si="9"/>
        <v>570</v>
      </c>
      <c r="H90" s="208">
        <v>458</v>
      </c>
      <c r="I90" s="208">
        <v>54</v>
      </c>
      <c r="J90" s="208">
        <v>58</v>
      </c>
      <c r="K90" s="209">
        <f t="shared" si="7"/>
        <v>3604</v>
      </c>
      <c r="L90" s="841">
        <v>271</v>
      </c>
      <c r="M90" s="210">
        <v>1612</v>
      </c>
      <c r="N90" s="210">
        <v>4691</v>
      </c>
      <c r="O90" s="210">
        <v>3336</v>
      </c>
      <c r="P90" s="211">
        <f t="shared" si="11"/>
        <v>9910</v>
      </c>
      <c r="Q90" s="191"/>
      <c r="R90" s="206"/>
      <c r="S90" s="206"/>
      <c r="T90" s="206"/>
      <c r="U90" s="206"/>
      <c r="V90" s="206"/>
      <c r="W90" s="206"/>
      <c r="X90" s="212"/>
      <c r="Y90" s="265"/>
      <c r="Z90" s="217"/>
    </row>
    <row r="91" spans="1:26" s="187" customFormat="1" ht="13.5" customHeight="1" x14ac:dyDescent="0.25">
      <c r="A91" s="203">
        <v>83</v>
      </c>
      <c r="B91" s="204" t="s">
        <v>260</v>
      </c>
      <c r="C91" s="205" t="s">
        <v>261</v>
      </c>
      <c r="D91" s="650">
        <v>3974</v>
      </c>
      <c r="E91" s="206">
        <v>3000</v>
      </c>
      <c r="F91" s="207">
        <v>2250</v>
      </c>
      <c r="G91" s="207">
        <f t="shared" si="9"/>
        <v>1597</v>
      </c>
      <c r="H91" s="208">
        <v>789</v>
      </c>
      <c r="I91" s="208">
        <v>90</v>
      </c>
      <c r="J91" s="208">
        <v>718</v>
      </c>
      <c r="K91" s="209">
        <f t="shared" si="7"/>
        <v>10821</v>
      </c>
      <c r="L91" s="841">
        <v>183</v>
      </c>
      <c r="M91" s="210">
        <v>160</v>
      </c>
      <c r="N91" s="210">
        <v>4874</v>
      </c>
      <c r="O91" s="210">
        <v>6084</v>
      </c>
      <c r="P91" s="211">
        <f t="shared" si="11"/>
        <v>11301</v>
      </c>
      <c r="Q91" s="191"/>
      <c r="R91" s="206"/>
      <c r="S91" s="206"/>
      <c r="T91" s="206"/>
      <c r="U91" s="206"/>
      <c r="V91" s="206"/>
      <c r="W91" s="206"/>
      <c r="X91" s="212"/>
      <c r="Y91" s="265"/>
      <c r="Z91" s="217"/>
    </row>
    <row r="92" spans="1:26" s="187" customFormat="1" ht="13.5" customHeight="1" x14ac:dyDescent="0.25">
      <c r="A92" s="203">
        <v>84</v>
      </c>
      <c r="B92" s="204" t="s">
        <v>264</v>
      </c>
      <c r="C92" s="205" t="s">
        <v>265</v>
      </c>
      <c r="D92" s="650">
        <v>2954</v>
      </c>
      <c r="E92" s="206">
        <v>0</v>
      </c>
      <c r="F92" s="207">
        <v>0</v>
      </c>
      <c r="G92" s="207">
        <f t="shared" si="9"/>
        <v>0</v>
      </c>
      <c r="H92" s="208"/>
      <c r="I92" s="208"/>
      <c r="J92" s="208"/>
      <c r="K92" s="209">
        <f t="shared" si="7"/>
        <v>2954</v>
      </c>
      <c r="L92" s="841">
        <v>0</v>
      </c>
      <c r="M92" s="210">
        <v>0</v>
      </c>
      <c r="N92" s="210">
        <v>0</v>
      </c>
      <c r="O92" s="210">
        <v>0</v>
      </c>
      <c r="P92" s="211">
        <f t="shared" si="11"/>
        <v>0</v>
      </c>
      <c r="Q92" s="191"/>
      <c r="R92" s="206"/>
      <c r="S92" s="206"/>
      <c r="T92" s="206"/>
      <c r="U92" s="206"/>
      <c r="V92" s="206"/>
      <c r="W92" s="206"/>
      <c r="X92" s="212"/>
      <c r="Y92" s="265"/>
      <c r="Z92" s="217"/>
    </row>
    <row r="93" spans="1:26" s="187" customFormat="1" ht="13.5" customHeight="1" x14ac:dyDescent="0.25">
      <c r="A93" s="203">
        <v>85</v>
      </c>
      <c r="B93" s="204" t="s">
        <v>270</v>
      </c>
      <c r="C93" s="205" t="s">
        <v>271</v>
      </c>
      <c r="D93" s="650">
        <v>0</v>
      </c>
      <c r="E93" s="206">
        <v>0</v>
      </c>
      <c r="F93" s="207">
        <v>0</v>
      </c>
      <c r="G93" s="207">
        <f t="shared" si="9"/>
        <v>0</v>
      </c>
      <c r="H93" s="208"/>
      <c r="I93" s="208"/>
      <c r="J93" s="208"/>
      <c r="K93" s="209">
        <v>0</v>
      </c>
      <c r="L93" s="841">
        <v>0</v>
      </c>
      <c r="M93" s="210">
        <v>0</v>
      </c>
      <c r="N93" s="210">
        <v>0</v>
      </c>
      <c r="O93" s="210">
        <v>0</v>
      </c>
      <c r="P93" s="211">
        <v>0</v>
      </c>
      <c r="Q93" s="191">
        <v>583</v>
      </c>
      <c r="R93" s="206">
        <v>879</v>
      </c>
      <c r="S93" s="206">
        <v>690</v>
      </c>
      <c r="T93" s="206">
        <v>690</v>
      </c>
      <c r="U93" s="206">
        <v>393</v>
      </c>
      <c r="V93" s="206">
        <v>1650</v>
      </c>
      <c r="W93" s="206">
        <v>2072</v>
      </c>
      <c r="X93" s="212">
        <v>20</v>
      </c>
      <c r="Y93" s="265">
        <f>SUM(Q93:X93)</f>
        <v>6977</v>
      </c>
      <c r="Z93" s="217"/>
    </row>
    <row r="94" spans="1:26" s="187" customFormat="1" ht="13.5" customHeight="1" x14ac:dyDescent="0.25">
      <c r="A94" s="203">
        <v>86</v>
      </c>
      <c r="B94" s="219" t="s">
        <v>272</v>
      </c>
      <c r="C94" s="220" t="s">
        <v>273</v>
      </c>
      <c r="D94" s="650">
        <v>792</v>
      </c>
      <c r="E94" s="206">
        <v>0</v>
      </c>
      <c r="F94" s="207">
        <v>0</v>
      </c>
      <c r="G94" s="207">
        <f t="shared" si="9"/>
        <v>0</v>
      </c>
      <c r="H94" s="208"/>
      <c r="I94" s="208"/>
      <c r="J94" s="208"/>
      <c r="K94" s="209">
        <f>D94+E94+F94+G94</f>
        <v>792</v>
      </c>
      <c r="L94" s="841">
        <v>0</v>
      </c>
      <c r="M94" s="210">
        <v>0</v>
      </c>
      <c r="N94" s="210">
        <v>0</v>
      </c>
      <c r="O94" s="210">
        <v>0</v>
      </c>
      <c r="P94" s="211">
        <f>L94+M94+N94+O94</f>
        <v>0</v>
      </c>
      <c r="Q94" s="191"/>
      <c r="R94" s="206"/>
      <c r="S94" s="206"/>
      <c r="T94" s="206"/>
      <c r="U94" s="206"/>
      <c r="V94" s="206"/>
      <c r="W94" s="206"/>
      <c r="X94" s="212"/>
      <c r="Y94" s="265"/>
      <c r="Z94" s="217"/>
    </row>
    <row r="95" spans="1:26" s="187" customFormat="1" ht="13.5" customHeight="1" x14ac:dyDescent="0.25">
      <c r="A95" s="203">
        <v>87</v>
      </c>
      <c r="B95" s="204" t="s">
        <v>274</v>
      </c>
      <c r="C95" s="205" t="s">
        <v>275</v>
      </c>
      <c r="D95" s="650">
        <v>1560</v>
      </c>
      <c r="E95" s="206">
        <v>0</v>
      </c>
      <c r="F95" s="207">
        <v>0</v>
      </c>
      <c r="G95" s="207">
        <f t="shared" si="9"/>
        <v>0</v>
      </c>
      <c r="H95" s="208"/>
      <c r="I95" s="208"/>
      <c r="J95" s="208"/>
      <c r="K95" s="209">
        <f>D95+E95+F95+G95</f>
        <v>1560</v>
      </c>
      <c r="L95" s="841">
        <v>0</v>
      </c>
      <c r="M95" s="210">
        <v>0</v>
      </c>
      <c r="N95" s="210">
        <v>0</v>
      </c>
      <c r="O95" s="210">
        <v>0</v>
      </c>
      <c r="P95" s="211">
        <f>L95+M95+N95+O95</f>
        <v>0</v>
      </c>
      <c r="Q95" s="191"/>
      <c r="R95" s="206"/>
      <c r="S95" s="206"/>
      <c r="T95" s="206"/>
      <c r="U95" s="206"/>
      <c r="V95" s="206"/>
      <c r="W95" s="206"/>
      <c r="X95" s="212"/>
      <c r="Y95" s="265"/>
      <c r="Z95" s="217"/>
    </row>
    <row r="96" spans="1:26" s="187" customFormat="1" ht="13.5" customHeight="1" x14ac:dyDescent="0.25">
      <c r="A96" s="203">
        <v>88</v>
      </c>
      <c r="B96" s="204" t="s">
        <v>276</v>
      </c>
      <c r="C96" s="205" t="s">
        <v>277</v>
      </c>
      <c r="D96" s="650">
        <v>1533</v>
      </c>
      <c r="E96" s="206">
        <v>59</v>
      </c>
      <c r="F96" s="207">
        <v>275</v>
      </c>
      <c r="G96" s="207">
        <f t="shared" si="9"/>
        <v>0</v>
      </c>
      <c r="H96" s="208"/>
      <c r="I96" s="208"/>
      <c r="J96" s="208"/>
      <c r="K96" s="209">
        <f>D96+E96+F96+G96</f>
        <v>1867</v>
      </c>
      <c r="L96" s="841">
        <v>0</v>
      </c>
      <c r="M96" s="210">
        <v>0</v>
      </c>
      <c r="N96" s="210">
        <v>0</v>
      </c>
      <c r="O96" s="210">
        <v>0</v>
      </c>
      <c r="P96" s="211">
        <f>L96+M96+N96+O96</f>
        <v>0</v>
      </c>
      <c r="Q96" s="191"/>
      <c r="R96" s="206"/>
      <c r="S96" s="206"/>
      <c r="T96" s="206"/>
      <c r="U96" s="206"/>
      <c r="V96" s="206"/>
      <c r="W96" s="206"/>
      <c r="X96" s="212"/>
      <c r="Y96" s="265"/>
      <c r="Z96" s="217"/>
    </row>
    <row r="97" spans="1:26" s="187" customFormat="1" ht="13.5" customHeight="1" thickBot="1" x14ac:dyDescent="0.3">
      <c r="A97" s="203">
        <v>89</v>
      </c>
      <c r="B97" s="257" t="s">
        <v>278</v>
      </c>
      <c r="C97" s="258" t="s">
        <v>279</v>
      </c>
      <c r="D97" s="651">
        <v>2287</v>
      </c>
      <c r="E97" s="259">
        <v>91</v>
      </c>
      <c r="F97" s="652">
        <v>275</v>
      </c>
      <c r="G97" s="652">
        <f t="shared" si="9"/>
        <v>547</v>
      </c>
      <c r="H97" s="260">
        <v>375</v>
      </c>
      <c r="I97" s="260">
        <v>50</v>
      </c>
      <c r="J97" s="260">
        <v>122</v>
      </c>
      <c r="K97" s="261">
        <f>D97+E97+F97+G97</f>
        <v>3200</v>
      </c>
      <c r="L97" s="842">
        <v>230</v>
      </c>
      <c r="M97" s="262">
        <v>1292</v>
      </c>
      <c r="N97" s="210">
        <v>3140</v>
      </c>
      <c r="O97" s="262">
        <v>788</v>
      </c>
      <c r="P97" s="263">
        <f>L97+M97+N97+O97</f>
        <v>5450</v>
      </c>
      <c r="Q97" s="266"/>
      <c r="R97" s="259"/>
      <c r="S97" s="259"/>
      <c r="T97" s="259"/>
      <c r="U97" s="259"/>
      <c r="V97" s="259"/>
      <c r="W97" s="259"/>
      <c r="X97" s="267"/>
      <c r="Y97" s="268"/>
      <c r="Z97" s="217"/>
    </row>
    <row r="98" spans="1:26" s="187" customFormat="1" ht="13.5" customHeight="1" x14ac:dyDescent="0.25">
      <c r="A98" s="221"/>
      <c r="B98" s="221"/>
      <c r="C98" s="222"/>
      <c r="D98" s="221"/>
      <c r="E98" s="221"/>
      <c r="F98" s="223"/>
      <c r="G98" s="223"/>
      <c r="H98" s="221"/>
      <c r="I98" s="221"/>
      <c r="J98" s="221"/>
      <c r="K98" s="221"/>
      <c r="L98" s="221"/>
      <c r="M98" s="221"/>
      <c r="N98" s="221"/>
      <c r="O98" s="839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1:26" s="187" customFormat="1" ht="13.5" customHeight="1" x14ac:dyDescent="0.25">
      <c r="A99" s="224"/>
      <c r="B99" s="224"/>
      <c r="C99" s="181"/>
      <c r="D99" s="221"/>
      <c r="E99" s="221"/>
      <c r="F99" s="225"/>
      <c r="G99" s="225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</row>
    <row r="100" spans="1:26" s="224" customFormat="1" x14ac:dyDescent="0.25">
      <c r="C100" s="181"/>
      <c r="F100" s="225"/>
      <c r="G100" s="225"/>
    </row>
    <row r="101" spans="1:26" s="224" customFormat="1" x14ac:dyDescent="0.25">
      <c r="C101" s="181"/>
      <c r="F101" s="225"/>
      <c r="G101" s="225"/>
    </row>
    <row r="102" spans="1:26" s="224" customFormat="1" x14ac:dyDescent="0.25">
      <c r="C102" s="181"/>
      <c r="F102" s="225"/>
      <c r="G102" s="225"/>
    </row>
    <row r="103" spans="1:26" s="224" customFormat="1" x14ac:dyDescent="0.25">
      <c r="C103" s="181"/>
      <c r="F103" s="225"/>
      <c r="G103" s="225"/>
    </row>
    <row r="104" spans="1:26" s="224" customFormat="1" x14ac:dyDescent="0.25">
      <c r="C104" s="181"/>
      <c r="F104" s="225"/>
      <c r="G104" s="225"/>
    </row>
    <row r="105" spans="1:26" s="224" customFormat="1" x14ac:dyDescent="0.25">
      <c r="C105" s="181"/>
      <c r="F105" s="225"/>
      <c r="G105" s="225"/>
    </row>
    <row r="106" spans="1:26" s="224" customFormat="1" x14ac:dyDescent="0.25">
      <c r="C106" s="181"/>
      <c r="F106" s="225"/>
      <c r="G106" s="225"/>
    </row>
    <row r="107" spans="1:26" s="224" customFormat="1" x14ac:dyDescent="0.25">
      <c r="C107" s="181"/>
      <c r="F107" s="225"/>
      <c r="G107" s="225"/>
    </row>
    <row r="108" spans="1:26" s="224" customFormat="1" x14ac:dyDescent="0.25">
      <c r="C108" s="181"/>
      <c r="F108" s="225"/>
      <c r="G108" s="225"/>
    </row>
    <row r="109" spans="1:26" s="224" customFormat="1" x14ac:dyDescent="0.25">
      <c r="C109" s="181"/>
      <c r="F109" s="225"/>
      <c r="G109" s="225"/>
    </row>
    <row r="110" spans="1:26" s="224" customFormat="1" x14ac:dyDescent="0.25">
      <c r="C110" s="181"/>
      <c r="F110" s="225"/>
      <c r="G110" s="225"/>
    </row>
    <row r="111" spans="1:26" s="224" customFormat="1" x14ac:dyDescent="0.25">
      <c r="C111" s="181"/>
      <c r="F111" s="225"/>
      <c r="G111" s="225"/>
    </row>
    <row r="112" spans="1:26" s="224" customFormat="1" x14ac:dyDescent="0.25">
      <c r="C112" s="181"/>
      <c r="F112" s="225"/>
      <c r="G112" s="225"/>
    </row>
    <row r="113" spans="3:7" s="224" customFormat="1" x14ac:dyDescent="0.25">
      <c r="C113" s="181"/>
      <c r="F113" s="225"/>
      <c r="G113" s="225"/>
    </row>
    <row r="114" spans="3:7" s="224" customFormat="1" x14ac:dyDescent="0.25">
      <c r="C114" s="181"/>
      <c r="F114" s="225"/>
      <c r="G114" s="225"/>
    </row>
    <row r="115" spans="3:7" s="224" customFormat="1" x14ac:dyDescent="0.25">
      <c r="C115" s="181"/>
      <c r="F115" s="225"/>
      <c r="G115" s="225"/>
    </row>
    <row r="116" spans="3:7" s="224" customFormat="1" x14ac:dyDescent="0.25">
      <c r="C116" s="181"/>
      <c r="F116" s="225"/>
      <c r="G116" s="225"/>
    </row>
    <row r="117" spans="3:7" s="224" customFormat="1" x14ac:dyDescent="0.25">
      <c r="C117" s="181"/>
      <c r="F117" s="225"/>
      <c r="G117" s="225"/>
    </row>
    <row r="118" spans="3:7" s="224" customFormat="1" x14ac:dyDescent="0.25">
      <c r="C118" s="181"/>
      <c r="F118" s="225"/>
      <c r="G118" s="225"/>
    </row>
    <row r="119" spans="3:7" s="224" customFormat="1" x14ac:dyDescent="0.25">
      <c r="C119" s="181"/>
      <c r="F119" s="225"/>
      <c r="G119" s="225"/>
    </row>
    <row r="120" spans="3:7" s="224" customFormat="1" x14ac:dyDescent="0.25">
      <c r="C120" s="181"/>
      <c r="F120" s="225"/>
      <c r="G120" s="225"/>
    </row>
    <row r="121" spans="3:7" s="224" customFormat="1" x14ac:dyDescent="0.25">
      <c r="C121" s="181"/>
      <c r="F121" s="225"/>
      <c r="G121" s="225"/>
    </row>
    <row r="122" spans="3:7" s="224" customFormat="1" x14ac:dyDescent="0.25">
      <c r="C122" s="181"/>
      <c r="F122" s="225"/>
      <c r="G122" s="225"/>
    </row>
    <row r="123" spans="3:7" s="224" customFormat="1" x14ac:dyDescent="0.25">
      <c r="C123" s="181"/>
      <c r="F123" s="225"/>
      <c r="G123" s="225"/>
    </row>
    <row r="124" spans="3:7" s="224" customFormat="1" x14ac:dyDescent="0.25">
      <c r="C124" s="181"/>
      <c r="F124" s="225"/>
      <c r="G124" s="225"/>
    </row>
    <row r="125" spans="3:7" s="224" customFormat="1" x14ac:dyDescent="0.25">
      <c r="C125" s="181"/>
      <c r="F125" s="225"/>
      <c r="G125" s="225"/>
    </row>
    <row r="126" spans="3:7" s="224" customFormat="1" x14ac:dyDescent="0.25">
      <c r="C126" s="181"/>
      <c r="F126" s="225"/>
      <c r="G126" s="225"/>
    </row>
    <row r="127" spans="3:7" s="224" customFormat="1" x14ac:dyDescent="0.25">
      <c r="C127" s="181"/>
      <c r="F127" s="225"/>
      <c r="G127" s="225"/>
    </row>
    <row r="128" spans="3:7" s="224" customFormat="1" x14ac:dyDescent="0.25">
      <c r="C128" s="181"/>
      <c r="F128" s="225"/>
      <c r="G128" s="225"/>
    </row>
    <row r="129" spans="3:7" s="224" customFormat="1" x14ac:dyDescent="0.25">
      <c r="C129" s="181"/>
      <c r="F129" s="225"/>
      <c r="G129" s="225"/>
    </row>
    <row r="130" spans="3:7" s="224" customFormat="1" x14ac:dyDescent="0.25">
      <c r="C130" s="181"/>
      <c r="F130" s="225"/>
      <c r="G130" s="225"/>
    </row>
    <row r="131" spans="3:7" s="224" customFormat="1" x14ac:dyDescent="0.25">
      <c r="C131" s="181"/>
      <c r="F131" s="225"/>
      <c r="G131" s="225"/>
    </row>
    <row r="132" spans="3:7" s="224" customFormat="1" x14ac:dyDescent="0.25">
      <c r="C132" s="181"/>
      <c r="F132" s="225"/>
      <c r="G132" s="225"/>
    </row>
    <row r="133" spans="3:7" s="224" customFormat="1" x14ac:dyDescent="0.25">
      <c r="C133" s="181"/>
      <c r="F133" s="225"/>
      <c r="G133" s="225"/>
    </row>
    <row r="134" spans="3:7" s="224" customFormat="1" x14ac:dyDescent="0.25">
      <c r="C134" s="181"/>
      <c r="F134" s="225"/>
      <c r="G134" s="225"/>
    </row>
    <row r="135" spans="3:7" s="224" customFormat="1" x14ac:dyDescent="0.25">
      <c r="C135" s="181"/>
      <c r="F135" s="225"/>
      <c r="G135" s="225"/>
    </row>
    <row r="136" spans="3:7" s="224" customFormat="1" x14ac:dyDescent="0.25">
      <c r="C136" s="181"/>
      <c r="F136" s="225"/>
      <c r="G136" s="225"/>
    </row>
    <row r="137" spans="3:7" s="224" customFormat="1" x14ac:dyDescent="0.25">
      <c r="C137" s="181"/>
      <c r="F137" s="225"/>
      <c r="G137" s="225"/>
    </row>
    <row r="138" spans="3:7" s="224" customFormat="1" x14ac:dyDescent="0.25">
      <c r="C138" s="181"/>
      <c r="F138" s="225"/>
      <c r="G138" s="225"/>
    </row>
    <row r="139" spans="3:7" s="224" customFormat="1" x14ac:dyDescent="0.25">
      <c r="C139" s="181"/>
      <c r="F139" s="225"/>
      <c r="G139" s="225"/>
    </row>
    <row r="140" spans="3:7" s="224" customFormat="1" x14ac:dyDescent="0.25">
      <c r="C140" s="181"/>
      <c r="F140" s="225"/>
      <c r="G140" s="225"/>
    </row>
    <row r="141" spans="3:7" s="224" customFormat="1" x14ac:dyDescent="0.25">
      <c r="C141" s="181"/>
      <c r="F141" s="225"/>
      <c r="G141" s="225"/>
    </row>
    <row r="142" spans="3:7" s="224" customFormat="1" x14ac:dyDescent="0.25">
      <c r="C142" s="181"/>
      <c r="F142" s="225"/>
      <c r="G142" s="225"/>
    </row>
    <row r="143" spans="3:7" s="224" customFormat="1" x14ac:dyDescent="0.25">
      <c r="C143" s="181"/>
      <c r="F143" s="225"/>
      <c r="G143" s="225"/>
    </row>
    <row r="144" spans="3:7" s="224" customFormat="1" x14ac:dyDescent="0.25">
      <c r="C144" s="181"/>
      <c r="F144" s="225"/>
      <c r="G144" s="225"/>
    </row>
    <row r="145" spans="3:7" s="224" customFormat="1" x14ac:dyDescent="0.25">
      <c r="C145" s="181"/>
      <c r="F145" s="225"/>
      <c r="G145" s="225"/>
    </row>
    <row r="146" spans="3:7" s="224" customFormat="1" x14ac:dyDescent="0.25">
      <c r="C146" s="181"/>
      <c r="F146" s="225"/>
      <c r="G146" s="225"/>
    </row>
    <row r="147" spans="3:7" s="224" customFormat="1" x14ac:dyDescent="0.25">
      <c r="C147" s="181"/>
      <c r="F147" s="225"/>
      <c r="G147" s="225"/>
    </row>
    <row r="148" spans="3:7" s="224" customFormat="1" x14ac:dyDescent="0.25">
      <c r="C148" s="181"/>
      <c r="F148" s="225"/>
      <c r="G148" s="225"/>
    </row>
    <row r="149" spans="3:7" s="224" customFormat="1" x14ac:dyDescent="0.25">
      <c r="C149" s="181"/>
      <c r="F149" s="225"/>
      <c r="G149" s="225"/>
    </row>
    <row r="150" spans="3:7" s="224" customFormat="1" x14ac:dyDescent="0.25">
      <c r="C150" s="181"/>
      <c r="F150" s="225"/>
      <c r="G150" s="225"/>
    </row>
    <row r="151" spans="3:7" s="224" customFormat="1" x14ac:dyDescent="0.25">
      <c r="C151" s="181"/>
      <c r="F151" s="225"/>
      <c r="G151" s="225"/>
    </row>
    <row r="152" spans="3:7" s="224" customFormat="1" x14ac:dyDescent="0.25">
      <c r="C152" s="181"/>
      <c r="F152" s="225"/>
      <c r="G152" s="225"/>
    </row>
    <row r="153" spans="3:7" s="224" customFormat="1" x14ac:dyDescent="0.25">
      <c r="C153" s="181"/>
      <c r="F153" s="225"/>
      <c r="G153" s="225"/>
    </row>
    <row r="154" spans="3:7" s="224" customFormat="1" x14ac:dyDescent="0.25">
      <c r="C154" s="181"/>
      <c r="F154" s="225"/>
      <c r="G154" s="225"/>
    </row>
    <row r="155" spans="3:7" s="224" customFormat="1" x14ac:dyDescent="0.25">
      <c r="C155" s="181"/>
      <c r="F155" s="225"/>
      <c r="G155" s="225"/>
    </row>
    <row r="156" spans="3:7" s="224" customFormat="1" x14ac:dyDescent="0.25">
      <c r="C156" s="181"/>
      <c r="F156" s="225"/>
      <c r="G156" s="225"/>
    </row>
    <row r="157" spans="3:7" s="224" customFormat="1" x14ac:dyDescent="0.25">
      <c r="C157" s="181"/>
      <c r="F157" s="225"/>
      <c r="G157" s="225"/>
    </row>
    <row r="158" spans="3:7" s="224" customFormat="1" x14ac:dyDescent="0.25">
      <c r="C158" s="181"/>
      <c r="F158" s="225"/>
      <c r="G158" s="225"/>
    </row>
    <row r="159" spans="3:7" s="224" customFormat="1" x14ac:dyDescent="0.25">
      <c r="C159" s="181"/>
      <c r="F159" s="225"/>
      <c r="G159" s="225"/>
    </row>
    <row r="160" spans="3:7" s="224" customFormat="1" x14ac:dyDescent="0.25">
      <c r="C160" s="181"/>
      <c r="F160" s="225"/>
      <c r="G160" s="225"/>
    </row>
    <row r="161" spans="3:7" s="224" customFormat="1" x14ac:dyDescent="0.25">
      <c r="C161" s="181"/>
      <c r="F161" s="225"/>
      <c r="G161" s="225"/>
    </row>
    <row r="162" spans="3:7" s="224" customFormat="1" x14ac:dyDescent="0.25">
      <c r="C162" s="181"/>
      <c r="F162" s="225"/>
      <c r="G162" s="225"/>
    </row>
    <row r="163" spans="3:7" s="224" customFormat="1" x14ac:dyDescent="0.25">
      <c r="C163" s="181"/>
      <c r="F163" s="225"/>
      <c r="G163" s="225"/>
    </row>
    <row r="164" spans="3:7" s="224" customFormat="1" x14ac:dyDescent="0.25">
      <c r="C164" s="181"/>
      <c r="F164" s="225"/>
      <c r="G164" s="225"/>
    </row>
    <row r="165" spans="3:7" s="224" customFormat="1" x14ac:dyDescent="0.25">
      <c r="C165" s="181"/>
      <c r="F165" s="225"/>
      <c r="G165" s="225"/>
    </row>
    <row r="166" spans="3:7" s="224" customFormat="1" x14ac:dyDescent="0.25">
      <c r="C166" s="181"/>
      <c r="F166" s="225"/>
      <c r="G166" s="225"/>
    </row>
    <row r="167" spans="3:7" s="224" customFormat="1" x14ac:dyDescent="0.25">
      <c r="C167" s="181"/>
      <c r="F167" s="225"/>
      <c r="G167" s="225"/>
    </row>
    <row r="168" spans="3:7" s="224" customFormat="1" x14ac:dyDescent="0.25">
      <c r="C168" s="181"/>
      <c r="F168" s="225"/>
      <c r="G168" s="225"/>
    </row>
    <row r="169" spans="3:7" s="224" customFormat="1" x14ac:dyDescent="0.25">
      <c r="C169" s="181"/>
      <c r="F169" s="225"/>
      <c r="G169" s="225"/>
    </row>
    <row r="170" spans="3:7" s="224" customFormat="1" x14ac:dyDescent="0.25">
      <c r="C170" s="181"/>
      <c r="F170" s="225"/>
      <c r="G170" s="225"/>
    </row>
    <row r="171" spans="3:7" s="224" customFormat="1" x14ac:dyDescent="0.25">
      <c r="C171" s="181"/>
      <c r="F171" s="225"/>
      <c r="G171" s="225"/>
    </row>
    <row r="172" spans="3:7" s="224" customFormat="1" x14ac:dyDescent="0.25">
      <c r="C172" s="181"/>
      <c r="F172" s="225"/>
      <c r="G172" s="225"/>
    </row>
    <row r="173" spans="3:7" s="224" customFormat="1" x14ac:dyDescent="0.25">
      <c r="C173" s="181"/>
      <c r="F173" s="225"/>
      <c r="G173" s="225"/>
    </row>
    <row r="174" spans="3:7" s="224" customFormat="1" x14ac:dyDescent="0.25">
      <c r="C174" s="181"/>
      <c r="F174" s="225"/>
      <c r="G174" s="225"/>
    </row>
    <row r="175" spans="3:7" s="224" customFormat="1" x14ac:dyDescent="0.25">
      <c r="C175" s="181"/>
      <c r="F175" s="225"/>
      <c r="G175" s="225"/>
    </row>
    <row r="176" spans="3:7" s="224" customFormat="1" x14ac:dyDescent="0.25">
      <c r="C176" s="181"/>
      <c r="F176" s="225"/>
      <c r="G176" s="225"/>
    </row>
    <row r="177" spans="3:7" s="224" customFormat="1" x14ac:dyDescent="0.25">
      <c r="C177" s="181"/>
      <c r="F177" s="225"/>
      <c r="G177" s="225"/>
    </row>
    <row r="178" spans="3:7" s="224" customFormat="1" x14ac:dyDescent="0.25">
      <c r="C178" s="181"/>
      <c r="F178" s="225"/>
      <c r="G178" s="225"/>
    </row>
    <row r="179" spans="3:7" s="224" customFormat="1" x14ac:dyDescent="0.25">
      <c r="C179" s="181"/>
      <c r="F179" s="225"/>
      <c r="G179" s="225"/>
    </row>
    <row r="180" spans="3:7" s="224" customFormat="1" x14ac:dyDescent="0.25">
      <c r="C180" s="181"/>
      <c r="F180" s="225"/>
      <c r="G180" s="225"/>
    </row>
    <row r="181" spans="3:7" s="224" customFormat="1" x14ac:dyDescent="0.25">
      <c r="C181" s="181"/>
      <c r="F181" s="225"/>
      <c r="G181" s="225"/>
    </row>
    <row r="182" spans="3:7" s="224" customFormat="1" x14ac:dyDescent="0.25">
      <c r="C182" s="181"/>
      <c r="F182" s="225"/>
      <c r="G182" s="225"/>
    </row>
    <row r="183" spans="3:7" s="224" customFormat="1" x14ac:dyDescent="0.25">
      <c r="C183" s="181"/>
      <c r="F183" s="225"/>
      <c r="G183" s="225"/>
    </row>
    <row r="184" spans="3:7" s="224" customFormat="1" x14ac:dyDescent="0.25">
      <c r="C184" s="181"/>
      <c r="F184" s="225"/>
      <c r="G184" s="225"/>
    </row>
    <row r="185" spans="3:7" s="224" customFormat="1" x14ac:dyDescent="0.25">
      <c r="C185" s="181"/>
      <c r="F185" s="225"/>
      <c r="G185" s="225"/>
    </row>
    <row r="186" spans="3:7" s="224" customFormat="1" x14ac:dyDescent="0.25">
      <c r="C186" s="181"/>
      <c r="F186" s="225"/>
      <c r="G186" s="225"/>
    </row>
    <row r="187" spans="3:7" s="224" customFormat="1" x14ac:dyDescent="0.25">
      <c r="C187" s="181"/>
      <c r="F187" s="225"/>
      <c r="G187" s="225"/>
    </row>
    <row r="188" spans="3:7" s="224" customFormat="1" x14ac:dyDescent="0.25">
      <c r="C188" s="181"/>
      <c r="F188" s="225"/>
      <c r="G188" s="225"/>
    </row>
    <row r="189" spans="3:7" s="224" customFormat="1" x14ac:dyDescent="0.25">
      <c r="C189" s="181"/>
      <c r="F189" s="225"/>
      <c r="G189" s="225"/>
    </row>
    <row r="190" spans="3:7" s="224" customFormat="1" x14ac:dyDescent="0.25">
      <c r="C190" s="181"/>
      <c r="F190" s="225"/>
      <c r="G190" s="225"/>
    </row>
    <row r="191" spans="3:7" s="224" customFormat="1" x14ac:dyDescent="0.25">
      <c r="C191" s="181"/>
      <c r="F191" s="225"/>
      <c r="G191" s="225"/>
    </row>
    <row r="192" spans="3:7" s="224" customFormat="1" x14ac:dyDescent="0.25">
      <c r="C192" s="181"/>
      <c r="F192" s="225"/>
      <c r="G192" s="225"/>
    </row>
    <row r="193" spans="3:7" s="224" customFormat="1" x14ac:dyDescent="0.25">
      <c r="C193" s="181"/>
      <c r="F193" s="225"/>
      <c r="G193" s="225"/>
    </row>
    <row r="194" spans="3:7" s="224" customFormat="1" x14ac:dyDescent="0.25">
      <c r="C194" s="181"/>
      <c r="F194" s="225"/>
      <c r="G194" s="225"/>
    </row>
    <row r="195" spans="3:7" s="224" customFormat="1" x14ac:dyDescent="0.25">
      <c r="C195" s="181"/>
      <c r="F195" s="225"/>
      <c r="G195" s="225"/>
    </row>
    <row r="196" spans="3:7" s="224" customFormat="1" x14ac:dyDescent="0.25">
      <c r="C196" s="181"/>
      <c r="F196" s="225"/>
      <c r="G196" s="225"/>
    </row>
    <row r="197" spans="3:7" s="224" customFormat="1" x14ac:dyDescent="0.25">
      <c r="C197" s="181"/>
      <c r="F197" s="225"/>
      <c r="G197" s="225"/>
    </row>
    <row r="198" spans="3:7" s="224" customFormat="1" x14ac:dyDescent="0.25">
      <c r="C198" s="181"/>
      <c r="F198" s="225"/>
      <c r="G198" s="225"/>
    </row>
    <row r="199" spans="3:7" s="224" customFormat="1" x14ac:dyDescent="0.25">
      <c r="C199" s="181"/>
      <c r="F199" s="225"/>
      <c r="G199" s="225"/>
    </row>
    <row r="200" spans="3:7" s="224" customFormat="1" x14ac:dyDescent="0.25">
      <c r="C200" s="181"/>
      <c r="F200" s="225"/>
      <c r="G200" s="225"/>
    </row>
    <row r="201" spans="3:7" s="224" customFormat="1" x14ac:dyDescent="0.25">
      <c r="C201" s="181"/>
      <c r="F201" s="225"/>
      <c r="G201" s="225"/>
    </row>
    <row r="202" spans="3:7" s="224" customFormat="1" x14ac:dyDescent="0.25">
      <c r="C202" s="181"/>
      <c r="F202" s="225"/>
      <c r="G202" s="225"/>
    </row>
    <row r="203" spans="3:7" s="224" customFormat="1" x14ac:dyDescent="0.25">
      <c r="C203" s="181"/>
      <c r="F203" s="225"/>
      <c r="G203" s="225"/>
    </row>
    <row r="204" spans="3:7" s="224" customFormat="1" x14ac:dyDescent="0.25">
      <c r="C204" s="181"/>
      <c r="F204" s="225"/>
      <c r="G204" s="225"/>
    </row>
    <row r="205" spans="3:7" s="224" customFormat="1" x14ac:dyDescent="0.25">
      <c r="C205" s="181"/>
      <c r="F205" s="225"/>
      <c r="G205" s="225"/>
    </row>
    <row r="206" spans="3:7" s="224" customFormat="1" x14ac:dyDescent="0.25">
      <c r="C206" s="181"/>
      <c r="F206" s="225"/>
      <c r="G206" s="225"/>
    </row>
    <row r="207" spans="3:7" s="224" customFormat="1" x14ac:dyDescent="0.25">
      <c r="C207" s="181"/>
      <c r="F207" s="225"/>
      <c r="G207" s="225"/>
    </row>
    <row r="208" spans="3:7" s="224" customFormat="1" x14ac:dyDescent="0.25">
      <c r="C208" s="181"/>
      <c r="F208" s="225"/>
      <c r="G208" s="225"/>
    </row>
    <row r="209" spans="3:7" s="224" customFormat="1" x14ac:dyDescent="0.25">
      <c r="C209" s="181"/>
      <c r="F209" s="225"/>
      <c r="G209" s="225"/>
    </row>
    <row r="210" spans="3:7" s="224" customFormat="1" x14ac:dyDescent="0.25">
      <c r="C210" s="181"/>
      <c r="F210" s="225"/>
      <c r="G210" s="225"/>
    </row>
    <row r="211" spans="3:7" s="224" customFormat="1" x14ac:dyDescent="0.25">
      <c r="C211" s="181"/>
      <c r="F211" s="225"/>
      <c r="G211" s="225"/>
    </row>
    <row r="212" spans="3:7" s="224" customFormat="1" x14ac:dyDescent="0.25">
      <c r="C212" s="181"/>
      <c r="F212" s="225"/>
      <c r="G212" s="225"/>
    </row>
    <row r="213" spans="3:7" s="224" customFormat="1" x14ac:dyDescent="0.25">
      <c r="C213" s="181"/>
      <c r="F213" s="225"/>
      <c r="G213" s="225"/>
    </row>
    <row r="214" spans="3:7" s="224" customFormat="1" x14ac:dyDescent="0.25">
      <c r="C214" s="181"/>
      <c r="F214" s="225"/>
      <c r="G214" s="225"/>
    </row>
    <row r="215" spans="3:7" s="224" customFormat="1" x14ac:dyDescent="0.25">
      <c r="C215" s="181"/>
      <c r="F215" s="225"/>
      <c r="G215" s="225"/>
    </row>
    <row r="216" spans="3:7" s="224" customFormat="1" x14ac:dyDescent="0.25">
      <c r="C216" s="181"/>
      <c r="F216" s="225"/>
      <c r="G216" s="225"/>
    </row>
    <row r="217" spans="3:7" s="224" customFormat="1" x14ac:dyDescent="0.25">
      <c r="C217" s="181"/>
      <c r="F217" s="225"/>
      <c r="G217" s="225"/>
    </row>
    <row r="218" spans="3:7" s="224" customFormat="1" x14ac:dyDescent="0.25">
      <c r="C218" s="181"/>
      <c r="F218" s="225"/>
      <c r="G218" s="225"/>
    </row>
    <row r="219" spans="3:7" s="224" customFormat="1" x14ac:dyDescent="0.25">
      <c r="C219" s="181"/>
      <c r="F219" s="225"/>
      <c r="G219" s="225"/>
    </row>
    <row r="220" spans="3:7" s="224" customFormat="1" x14ac:dyDescent="0.25">
      <c r="C220" s="181"/>
      <c r="F220" s="225"/>
      <c r="G220" s="225"/>
    </row>
    <row r="221" spans="3:7" s="224" customFormat="1" x14ac:dyDescent="0.25">
      <c r="C221" s="181"/>
      <c r="F221" s="225"/>
      <c r="G221" s="225"/>
    </row>
    <row r="222" spans="3:7" s="224" customFormat="1" x14ac:dyDescent="0.25">
      <c r="C222" s="181"/>
      <c r="F222" s="225"/>
      <c r="G222" s="225"/>
    </row>
    <row r="223" spans="3:7" s="224" customFormat="1" x14ac:dyDescent="0.25">
      <c r="C223" s="181"/>
      <c r="F223" s="225"/>
      <c r="G223" s="225"/>
    </row>
    <row r="224" spans="3:7" s="224" customFormat="1" x14ac:dyDescent="0.25">
      <c r="C224" s="181"/>
      <c r="F224" s="225"/>
      <c r="G224" s="225"/>
    </row>
    <row r="225" spans="1:25" s="224" customFormat="1" x14ac:dyDescent="0.25">
      <c r="C225" s="181"/>
      <c r="F225" s="225"/>
      <c r="G225" s="225"/>
    </row>
    <row r="226" spans="1:25" s="224" customFormat="1" x14ac:dyDescent="0.25">
      <c r="C226" s="181"/>
      <c r="F226" s="225"/>
      <c r="G226" s="225"/>
    </row>
    <row r="227" spans="1:25" s="224" customFormat="1" x14ac:dyDescent="0.25">
      <c r="C227" s="181"/>
      <c r="F227" s="225"/>
      <c r="G227" s="225"/>
    </row>
    <row r="228" spans="1:25" s="224" customFormat="1" x14ac:dyDescent="0.25">
      <c r="C228" s="181"/>
      <c r="F228" s="225"/>
      <c r="G228" s="225"/>
    </row>
    <row r="229" spans="1:25" s="224" customFormat="1" x14ac:dyDescent="0.25">
      <c r="C229" s="181"/>
      <c r="F229" s="225"/>
      <c r="G229" s="225"/>
    </row>
    <row r="230" spans="1:25" s="224" customFormat="1" x14ac:dyDescent="0.25">
      <c r="C230" s="181"/>
      <c r="F230" s="225"/>
      <c r="G230" s="225"/>
    </row>
    <row r="231" spans="1:25" s="224" customFormat="1" x14ac:dyDescent="0.25">
      <c r="C231" s="181"/>
      <c r="F231" s="225"/>
      <c r="G231" s="225"/>
    </row>
    <row r="232" spans="1:25" s="224" customFormat="1" x14ac:dyDescent="0.25">
      <c r="A232" s="180"/>
      <c r="B232" s="180"/>
      <c r="C232" s="226"/>
      <c r="D232" s="227"/>
      <c r="F232" s="183"/>
      <c r="G232" s="183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</row>
    <row r="233" spans="1:25" s="224" customFormat="1" x14ac:dyDescent="0.25">
      <c r="A233" s="180"/>
      <c r="B233" s="180"/>
      <c r="C233" s="226"/>
      <c r="D233" s="227"/>
      <c r="F233" s="183"/>
      <c r="G233" s="183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</row>
    <row r="234" spans="1:25" s="224" customFormat="1" x14ac:dyDescent="0.25">
      <c r="A234" s="180"/>
      <c r="B234" s="180"/>
      <c r="C234" s="226"/>
      <c r="D234" s="227"/>
      <c r="F234" s="183"/>
      <c r="G234" s="183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</row>
    <row r="235" spans="1:25" s="224" customFormat="1" x14ac:dyDescent="0.25">
      <c r="A235" s="180"/>
      <c r="B235" s="180"/>
      <c r="C235" s="226"/>
      <c r="D235" s="227"/>
      <c r="F235" s="183"/>
      <c r="G235" s="183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</row>
    <row r="236" spans="1:25" s="224" customFormat="1" x14ac:dyDescent="0.25">
      <c r="A236" s="180"/>
      <c r="B236" s="180"/>
      <c r="C236" s="226"/>
      <c r="D236" s="227"/>
      <c r="F236" s="183"/>
      <c r="G236" s="183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</row>
    <row r="237" spans="1:25" s="224" customFormat="1" x14ac:dyDescent="0.25">
      <c r="A237" s="180"/>
      <c r="B237" s="180"/>
      <c r="C237" s="226"/>
      <c r="D237" s="227"/>
      <c r="F237" s="183"/>
      <c r="G237" s="183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</row>
    <row r="238" spans="1:25" s="224" customFormat="1" x14ac:dyDescent="0.25">
      <c r="A238" s="180"/>
      <c r="B238" s="180"/>
      <c r="C238" s="226"/>
      <c r="D238" s="227"/>
      <c r="F238" s="183"/>
      <c r="G238" s="183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</row>
    <row r="239" spans="1:25" s="224" customFormat="1" x14ac:dyDescent="0.25">
      <c r="A239" s="180"/>
      <c r="B239" s="180"/>
      <c r="C239" s="226"/>
      <c r="D239" s="227"/>
      <c r="F239" s="183"/>
      <c r="G239" s="183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</row>
    <row r="240" spans="1:25" s="224" customFormat="1" x14ac:dyDescent="0.25">
      <c r="A240" s="180"/>
      <c r="B240" s="180"/>
      <c r="C240" s="226"/>
      <c r="D240" s="227"/>
      <c r="F240" s="183"/>
      <c r="G240" s="183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</row>
    <row r="241" spans="1:25" s="224" customFormat="1" x14ac:dyDescent="0.25">
      <c r="A241" s="180"/>
      <c r="B241" s="180"/>
      <c r="C241" s="226"/>
      <c r="D241" s="227"/>
      <c r="F241" s="183"/>
      <c r="G241" s="183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</row>
    <row r="242" spans="1:25" s="224" customFormat="1" x14ac:dyDescent="0.25">
      <c r="A242" s="180"/>
      <c r="B242" s="180"/>
      <c r="C242" s="226"/>
      <c r="D242" s="227"/>
      <c r="F242" s="183"/>
      <c r="G242" s="183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</row>
    <row r="243" spans="1:25" s="224" customFormat="1" x14ac:dyDescent="0.25">
      <c r="A243" s="180"/>
      <c r="B243" s="180"/>
      <c r="C243" s="226"/>
      <c r="D243" s="227"/>
      <c r="F243" s="183"/>
      <c r="G243" s="183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</row>
    <row r="244" spans="1:25" s="224" customFormat="1" x14ac:dyDescent="0.25">
      <c r="A244" s="180"/>
      <c r="B244" s="180"/>
      <c r="C244" s="226"/>
      <c r="D244" s="227"/>
      <c r="F244" s="183"/>
      <c r="G244" s="183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28"/>
  <sheetViews>
    <sheetView workbookViewId="0">
      <pane ySplit="5" topLeftCell="A6" activePane="bottomLeft" state="frozen"/>
      <selection pane="bottomLeft" sqref="A1:D26"/>
    </sheetView>
  </sheetViews>
  <sheetFormatPr defaultRowHeight="12.75" x14ac:dyDescent="0.25"/>
  <cols>
    <col min="1" max="1" width="3.5703125" style="228" customWidth="1"/>
    <col min="2" max="2" width="11.5703125" style="228" customWidth="1"/>
    <col min="3" max="3" width="39.42578125" style="231" customWidth="1"/>
    <col min="4" max="4" width="11.28515625" style="228" customWidth="1"/>
    <col min="5" max="16384" width="9.140625" style="228"/>
  </cols>
  <sheetData>
    <row r="1" spans="1:5" ht="49.5" customHeight="1" thickBot="1" x14ac:dyDescent="0.3">
      <c r="A1" s="1400" t="s">
        <v>698</v>
      </c>
      <c r="B1" s="1400"/>
      <c r="C1" s="1400"/>
      <c r="D1" s="1400"/>
    </row>
    <row r="2" spans="1:5" ht="12.75" customHeight="1" x14ac:dyDescent="0.25">
      <c r="A2" s="1401" t="s">
        <v>0</v>
      </c>
      <c r="B2" s="1403" t="s">
        <v>302</v>
      </c>
      <c r="C2" s="1405" t="s">
        <v>292</v>
      </c>
      <c r="D2" s="1406" t="s">
        <v>699</v>
      </c>
    </row>
    <row r="3" spans="1:5" ht="48.75" customHeight="1" x14ac:dyDescent="0.25">
      <c r="A3" s="1402"/>
      <c r="B3" s="1404"/>
      <c r="C3" s="1404"/>
      <c r="D3" s="1407"/>
    </row>
    <row r="4" spans="1:5" ht="12.75" customHeight="1" x14ac:dyDescent="0.25">
      <c r="A4" s="832"/>
      <c r="B4" s="833"/>
      <c r="C4" s="229" t="s">
        <v>6</v>
      </c>
      <c r="D4" s="269">
        <f>D6+D5</f>
        <v>400000</v>
      </c>
    </row>
    <row r="5" spans="1:5" ht="12.75" customHeight="1" x14ac:dyDescent="0.25">
      <c r="A5" s="832"/>
      <c r="B5" s="833"/>
      <c r="C5" s="229" t="s">
        <v>14</v>
      </c>
      <c r="D5" s="270">
        <v>0</v>
      </c>
    </row>
    <row r="6" spans="1:5" ht="12.75" customHeight="1" x14ac:dyDescent="0.25">
      <c r="A6" s="832"/>
      <c r="B6" s="833"/>
      <c r="C6" s="229" t="s">
        <v>15</v>
      </c>
      <c r="D6" s="269">
        <f>SUM(D7:D26)</f>
        <v>400000</v>
      </c>
    </row>
    <row r="7" spans="1:5" ht="12.75" customHeight="1" x14ac:dyDescent="0.25">
      <c r="A7" s="832">
        <v>1</v>
      </c>
      <c r="B7" s="833" t="s">
        <v>26</v>
      </c>
      <c r="C7" s="230" t="s">
        <v>27</v>
      </c>
      <c r="D7" s="271">
        <v>29565</v>
      </c>
      <c r="E7" s="231"/>
    </row>
    <row r="8" spans="1:5" ht="12.75" customHeight="1" x14ac:dyDescent="0.25">
      <c r="A8" s="832">
        <v>2</v>
      </c>
      <c r="B8" s="833" t="s">
        <v>28</v>
      </c>
      <c r="C8" s="230" t="s">
        <v>29</v>
      </c>
      <c r="D8" s="271">
        <v>13943</v>
      </c>
      <c r="E8" s="231"/>
    </row>
    <row r="9" spans="1:5" ht="12.75" customHeight="1" x14ac:dyDescent="0.25">
      <c r="A9" s="832">
        <v>3</v>
      </c>
      <c r="B9" s="833" t="s">
        <v>50</v>
      </c>
      <c r="C9" s="230" t="s">
        <v>51</v>
      </c>
      <c r="D9" s="271">
        <v>23347</v>
      </c>
      <c r="E9" s="231"/>
    </row>
    <row r="10" spans="1:5" ht="12.75" customHeight="1" x14ac:dyDescent="0.25">
      <c r="A10" s="832">
        <v>4</v>
      </c>
      <c r="B10" s="833" t="s">
        <v>58</v>
      </c>
      <c r="C10" s="230" t="s">
        <v>59</v>
      </c>
      <c r="D10" s="271">
        <v>14519</v>
      </c>
      <c r="E10" s="231"/>
    </row>
    <row r="11" spans="1:5" ht="12.75" customHeight="1" x14ac:dyDescent="0.25">
      <c r="A11" s="832">
        <v>5</v>
      </c>
      <c r="B11" s="833" t="s">
        <v>66</v>
      </c>
      <c r="C11" s="230" t="s">
        <v>67</v>
      </c>
      <c r="D11" s="271">
        <v>22090</v>
      </c>
      <c r="E11" s="231"/>
    </row>
    <row r="12" spans="1:5" ht="12.75" customHeight="1" x14ac:dyDescent="0.25">
      <c r="A12" s="832">
        <v>6</v>
      </c>
      <c r="B12" s="833" t="s">
        <v>68</v>
      </c>
      <c r="C12" s="230" t="s">
        <v>69</v>
      </c>
      <c r="D12" s="271">
        <v>23692</v>
      </c>
      <c r="E12" s="231"/>
    </row>
    <row r="13" spans="1:5" ht="12.75" customHeight="1" x14ac:dyDescent="0.2">
      <c r="A13" s="832">
        <v>7</v>
      </c>
      <c r="B13" s="833" t="s">
        <v>77</v>
      </c>
      <c r="C13" s="232" t="s">
        <v>700</v>
      </c>
      <c r="D13" s="271">
        <v>21665</v>
      </c>
      <c r="E13" s="231"/>
    </row>
    <row r="14" spans="1:5" ht="12.75" customHeight="1" x14ac:dyDescent="0.25">
      <c r="A14" s="832">
        <v>8</v>
      </c>
      <c r="B14" s="833" t="s">
        <v>79</v>
      </c>
      <c r="C14" s="230" t="s">
        <v>80</v>
      </c>
      <c r="D14" s="271">
        <v>13112</v>
      </c>
      <c r="E14" s="231"/>
    </row>
    <row r="15" spans="1:5" ht="12.75" customHeight="1" x14ac:dyDescent="0.25">
      <c r="A15" s="832">
        <v>9</v>
      </c>
      <c r="B15" s="833" t="s">
        <v>97</v>
      </c>
      <c r="C15" s="230" t="s">
        <v>98</v>
      </c>
      <c r="D15" s="271">
        <v>2993</v>
      </c>
      <c r="E15" s="231"/>
    </row>
    <row r="16" spans="1:5" ht="12.75" customHeight="1" x14ac:dyDescent="0.25">
      <c r="A16" s="832">
        <v>10</v>
      </c>
      <c r="B16" s="833" t="s">
        <v>99</v>
      </c>
      <c r="C16" s="230" t="s">
        <v>100</v>
      </c>
      <c r="D16" s="271">
        <v>37823</v>
      </c>
      <c r="E16" s="231"/>
    </row>
    <row r="17" spans="1:5" ht="12.75" customHeight="1" x14ac:dyDescent="0.25">
      <c r="A17" s="832">
        <v>11</v>
      </c>
      <c r="B17" s="833" t="s">
        <v>115</v>
      </c>
      <c r="C17" s="230" t="s">
        <v>116</v>
      </c>
      <c r="D17" s="271">
        <v>2</v>
      </c>
      <c r="E17" s="231"/>
    </row>
    <row r="18" spans="1:5" ht="12.75" customHeight="1" x14ac:dyDescent="0.25">
      <c r="A18" s="832">
        <v>12</v>
      </c>
      <c r="B18" s="833" t="s">
        <v>169</v>
      </c>
      <c r="C18" s="230" t="s">
        <v>170</v>
      </c>
      <c r="D18" s="271">
        <v>45667</v>
      </c>
      <c r="E18" s="231"/>
    </row>
    <row r="19" spans="1:5" ht="12.75" customHeight="1" x14ac:dyDescent="0.2">
      <c r="A19" s="832">
        <v>13</v>
      </c>
      <c r="B19" s="833" t="s">
        <v>178</v>
      </c>
      <c r="C19" s="653" t="s">
        <v>701</v>
      </c>
      <c r="D19" s="271">
        <v>772</v>
      </c>
      <c r="E19" s="231"/>
    </row>
    <row r="20" spans="1:5" ht="12.75" customHeight="1" x14ac:dyDescent="0.25">
      <c r="A20" s="832">
        <v>14</v>
      </c>
      <c r="B20" s="833" t="s">
        <v>258</v>
      </c>
      <c r="C20" s="230" t="s">
        <v>675</v>
      </c>
      <c r="D20" s="271">
        <v>14041</v>
      </c>
      <c r="E20" s="231"/>
    </row>
    <row r="21" spans="1:5" ht="12.75" customHeight="1" x14ac:dyDescent="0.25">
      <c r="A21" s="832">
        <v>15</v>
      </c>
      <c r="B21" s="833" t="s">
        <v>260</v>
      </c>
      <c r="C21" s="230" t="s">
        <v>261</v>
      </c>
      <c r="D21" s="271">
        <v>18284</v>
      </c>
      <c r="E21" s="231"/>
    </row>
    <row r="22" spans="1:5" ht="12.75" customHeight="1" x14ac:dyDescent="0.25">
      <c r="A22" s="832">
        <v>16</v>
      </c>
      <c r="B22" s="656" t="s">
        <v>266</v>
      </c>
      <c r="C22" s="657" t="s">
        <v>702</v>
      </c>
      <c r="D22" s="271">
        <v>22204</v>
      </c>
      <c r="E22" s="231"/>
    </row>
    <row r="23" spans="1:5" ht="12.75" customHeight="1" x14ac:dyDescent="0.25">
      <c r="A23" s="832">
        <v>17</v>
      </c>
      <c r="B23" s="656" t="s">
        <v>270</v>
      </c>
      <c r="C23" s="657" t="s">
        <v>271</v>
      </c>
      <c r="D23" s="271">
        <v>30289</v>
      </c>
      <c r="E23" s="231"/>
    </row>
    <row r="24" spans="1:5" ht="12.75" customHeight="1" x14ac:dyDescent="0.25">
      <c r="A24" s="832">
        <v>18</v>
      </c>
      <c r="B24" s="833" t="s">
        <v>276</v>
      </c>
      <c r="C24" s="230" t="s">
        <v>277</v>
      </c>
      <c r="D24" s="271">
        <v>13327</v>
      </c>
      <c r="E24" s="231"/>
    </row>
    <row r="25" spans="1:5" ht="12.75" customHeight="1" x14ac:dyDescent="0.25">
      <c r="A25" s="832">
        <v>19</v>
      </c>
      <c r="B25" s="833" t="s">
        <v>278</v>
      </c>
      <c r="C25" s="230" t="s">
        <v>279</v>
      </c>
      <c r="D25" s="271">
        <v>15471</v>
      </c>
      <c r="E25" s="231"/>
    </row>
    <row r="26" spans="1:5" ht="12.75" customHeight="1" thickBot="1" x14ac:dyDescent="0.3">
      <c r="A26" s="654">
        <v>20</v>
      </c>
      <c r="B26" s="272" t="s">
        <v>280</v>
      </c>
      <c r="C26" s="273" t="s">
        <v>281</v>
      </c>
      <c r="D26" s="655">
        <v>37194</v>
      </c>
      <c r="E26" s="231"/>
    </row>
    <row r="27" spans="1:5" x14ac:dyDescent="0.25">
      <c r="C27" s="233"/>
      <c r="D27" s="234"/>
      <c r="E27" s="231"/>
    </row>
    <row r="28" spans="1:5" x14ac:dyDescent="0.25">
      <c r="C28" s="233"/>
      <c r="D28" s="234"/>
      <c r="E28" s="231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T32"/>
  <sheetViews>
    <sheetView topLeftCell="D1" zoomScaleNormal="100" workbookViewId="0">
      <selection activeCell="N35" sqref="N35"/>
    </sheetView>
  </sheetViews>
  <sheetFormatPr defaultColWidth="9.140625" defaultRowHeight="11.25" x14ac:dyDescent="0.25"/>
  <cols>
    <col min="1" max="1" width="3.42578125" style="236" customWidth="1"/>
    <col min="2" max="2" width="6.5703125" style="236" customWidth="1"/>
    <col min="3" max="3" width="30.42578125" style="235" customWidth="1"/>
    <col min="4" max="4" width="9.7109375" style="237" customWidth="1"/>
    <col min="5" max="5" width="8.85546875" style="237" customWidth="1"/>
    <col min="6" max="6" width="11.140625" style="237" customWidth="1"/>
    <col min="7" max="7" width="12.42578125" style="237" customWidth="1"/>
    <col min="8" max="8" width="12.140625" style="237" customWidth="1"/>
    <col min="9" max="9" width="7.42578125" style="237" customWidth="1"/>
    <col min="10" max="10" width="7.7109375" style="237" customWidth="1"/>
    <col min="11" max="11" width="6.42578125" style="237" customWidth="1"/>
    <col min="12" max="12" width="7" style="237" customWidth="1"/>
    <col min="13" max="13" width="8.42578125" style="237" customWidth="1"/>
    <col min="14" max="15" width="10" style="237" customWidth="1"/>
    <col min="16" max="16" width="10.85546875" style="237" customWidth="1"/>
    <col min="17" max="17" width="9.85546875" style="237" customWidth="1"/>
    <col min="18" max="18" width="10.140625" style="237" customWidth="1"/>
    <col min="19" max="19" width="9.5703125" style="237" customWidth="1"/>
    <col min="20" max="20" width="10.5703125" style="235" customWidth="1"/>
    <col min="21" max="16384" width="9.140625" style="235"/>
  </cols>
  <sheetData>
    <row r="1" spans="1:20" ht="28.5" customHeight="1" x14ac:dyDescent="0.25">
      <c r="A1" s="1416" t="s">
        <v>703</v>
      </c>
      <c r="B1" s="1416"/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</row>
    <row r="2" spans="1:20" ht="15.75" customHeight="1" thickBot="1" x14ac:dyDescent="0.3"/>
    <row r="3" spans="1:20" ht="14.25" customHeight="1" x14ac:dyDescent="0.25">
      <c r="A3" s="1417" t="s">
        <v>0</v>
      </c>
      <c r="B3" s="1419" t="s">
        <v>302</v>
      </c>
      <c r="C3" s="1419" t="s">
        <v>292</v>
      </c>
      <c r="D3" s="1421" t="s">
        <v>704</v>
      </c>
      <c r="E3" s="1421"/>
      <c r="F3" s="1421"/>
      <c r="G3" s="1421"/>
      <c r="H3" s="1421"/>
      <c r="I3" s="1421"/>
      <c r="J3" s="1421"/>
      <c r="K3" s="1421"/>
      <c r="L3" s="1422"/>
      <c r="M3" s="1423" t="s">
        <v>705</v>
      </c>
      <c r="N3" s="1410" t="s">
        <v>706</v>
      </c>
      <c r="O3" s="1411"/>
      <c r="P3" s="1426" t="s">
        <v>707</v>
      </c>
      <c r="Q3" s="1427"/>
      <c r="R3" s="1427"/>
      <c r="S3" s="1428"/>
      <c r="T3" s="1408" t="s">
        <v>824</v>
      </c>
    </row>
    <row r="4" spans="1:20" ht="15" customHeight="1" thickBot="1" x14ac:dyDescent="0.3">
      <c r="A4" s="1418"/>
      <c r="B4" s="1420"/>
      <c r="C4" s="1420"/>
      <c r="D4" s="1429" t="s">
        <v>708</v>
      </c>
      <c r="E4" s="1430"/>
      <c r="F4" s="1430"/>
      <c r="G4" s="1430"/>
      <c r="H4" s="1430"/>
      <c r="I4" s="1430"/>
      <c r="J4" s="1430"/>
      <c r="K4" s="1429" t="s">
        <v>709</v>
      </c>
      <c r="L4" s="1431" t="s">
        <v>6</v>
      </c>
      <c r="M4" s="1424"/>
      <c r="N4" s="1412"/>
      <c r="O4" s="1413"/>
      <c r="P4" s="1433" t="s">
        <v>710</v>
      </c>
      <c r="Q4" s="1429" t="s">
        <v>711</v>
      </c>
      <c r="R4" s="1429" t="s">
        <v>712</v>
      </c>
      <c r="S4" s="1414" t="s">
        <v>6</v>
      </c>
      <c r="T4" s="1409"/>
    </row>
    <row r="5" spans="1:20" ht="97.5" customHeight="1" x14ac:dyDescent="0.25">
      <c r="A5" s="1418"/>
      <c r="B5" s="1420"/>
      <c r="C5" s="1420"/>
      <c r="D5" s="274" t="s">
        <v>713</v>
      </c>
      <c r="E5" s="274" t="s">
        <v>714</v>
      </c>
      <c r="F5" s="274" t="s">
        <v>819</v>
      </c>
      <c r="G5" s="274" t="s">
        <v>820</v>
      </c>
      <c r="H5" s="274" t="s">
        <v>715</v>
      </c>
      <c r="I5" s="274" t="s">
        <v>716</v>
      </c>
      <c r="J5" s="274" t="s">
        <v>6</v>
      </c>
      <c r="K5" s="1430"/>
      <c r="L5" s="1432"/>
      <c r="M5" s="1425"/>
      <c r="N5" s="598" t="s">
        <v>803</v>
      </c>
      <c r="O5" s="834" t="s">
        <v>804</v>
      </c>
      <c r="P5" s="1434"/>
      <c r="Q5" s="1430"/>
      <c r="R5" s="1430"/>
      <c r="S5" s="1415"/>
      <c r="T5" s="1409"/>
    </row>
    <row r="6" spans="1:20" x14ac:dyDescent="0.25">
      <c r="A6" s="238"/>
      <c r="B6" s="275"/>
      <c r="C6" s="276" t="s">
        <v>469</v>
      </c>
      <c r="D6" s="277">
        <f t="shared" ref="D6:S6" si="0">SUM(D7:D27)</f>
        <v>3650</v>
      </c>
      <c r="E6" s="277">
        <f t="shared" si="0"/>
        <v>4470</v>
      </c>
      <c r="F6" s="277">
        <f t="shared" si="0"/>
        <v>840</v>
      </c>
      <c r="G6" s="277">
        <f t="shared" si="0"/>
        <v>1480</v>
      </c>
      <c r="H6" s="277">
        <f t="shared" si="0"/>
        <v>700</v>
      </c>
      <c r="I6" s="277">
        <f t="shared" si="0"/>
        <v>1050</v>
      </c>
      <c r="J6" s="277">
        <f t="shared" si="0"/>
        <v>12190</v>
      </c>
      <c r="K6" s="277">
        <f t="shared" si="0"/>
        <v>1030</v>
      </c>
      <c r="L6" s="286">
        <f t="shared" si="0"/>
        <v>13220</v>
      </c>
      <c r="M6" s="289">
        <f t="shared" si="0"/>
        <v>1000</v>
      </c>
      <c r="N6" s="291">
        <f t="shared" si="0"/>
        <v>11035</v>
      </c>
      <c r="O6" s="286">
        <f t="shared" si="0"/>
        <v>1418</v>
      </c>
      <c r="P6" s="291">
        <f t="shared" si="0"/>
        <v>29740</v>
      </c>
      <c r="Q6" s="277">
        <f t="shared" si="0"/>
        <v>30050</v>
      </c>
      <c r="R6" s="277">
        <f t="shared" si="0"/>
        <v>27726</v>
      </c>
      <c r="S6" s="599">
        <f t="shared" si="0"/>
        <v>87516</v>
      </c>
      <c r="T6" s="989"/>
    </row>
    <row r="7" spans="1:20" x14ac:dyDescent="0.25">
      <c r="A7" s="238">
        <v>1</v>
      </c>
      <c r="B7" s="275" t="s">
        <v>20</v>
      </c>
      <c r="C7" s="278" t="s">
        <v>21</v>
      </c>
      <c r="D7" s="240"/>
      <c r="E7" s="240"/>
      <c r="F7" s="240"/>
      <c r="G7" s="240"/>
      <c r="H7" s="240"/>
      <c r="I7" s="240"/>
      <c r="J7" s="240"/>
      <c r="K7" s="240"/>
      <c r="L7" s="287"/>
      <c r="M7" s="241"/>
      <c r="N7" s="239"/>
      <c r="O7" s="287"/>
      <c r="P7" s="239">
        <v>900</v>
      </c>
      <c r="Q7" s="240">
        <v>820</v>
      </c>
      <c r="R7" s="240">
        <v>800</v>
      </c>
      <c r="S7" s="600">
        <f>SUM(P7:R7)</f>
        <v>2520</v>
      </c>
      <c r="T7" s="989"/>
    </row>
    <row r="8" spans="1:20" x14ac:dyDescent="0.25">
      <c r="A8" s="238">
        <v>2</v>
      </c>
      <c r="B8" s="275" t="s">
        <v>26</v>
      </c>
      <c r="C8" s="278" t="s">
        <v>27</v>
      </c>
      <c r="D8" s="240"/>
      <c r="E8" s="240"/>
      <c r="F8" s="240"/>
      <c r="G8" s="240"/>
      <c r="H8" s="240"/>
      <c r="I8" s="240"/>
      <c r="J8" s="240"/>
      <c r="K8" s="240"/>
      <c r="L8" s="287"/>
      <c r="M8" s="241"/>
      <c r="N8" s="239"/>
      <c r="O8" s="287"/>
      <c r="P8" s="239">
        <v>1850</v>
      </c>
      <c r="Q8" s="240">
        <v>1750</v>
      </c>
      <c r="R8" s="240">
        <v>1720</v>
      </c>
      <c r="S8" s="600">
        <f t="shared" ref="S8:S25" si="1">SUM(P8:R8)</f>
        <v>5320</v>
      </c>
      <c r="T8" s="989"/>
    </row>
    <row r="9" spans="1:20" x14ac:dyDescent="0.25">
      <c r="A9" s="238">
        <v>3</v>
      </c>
      <c r="B9" s="275" t="s">
        <v>50</v>
      </c>
      <c r="C9" s="278" t="s">
        <v>51</v>
      </c>
      <c r="D9" s="240"/>
      <c r="E9" s="240"/>
      <c r="F9" s="240"/>
      <c r="G9" s="240"/>
      <c r="H9" s="240"/>
      <c r="I9" s="240"/>
      <c r="J9" s="240"/>
      <c r="K9" s="240"/>
      <c r="L9" s="287"/>
      <c r="M9" s="241"/>
      <c r="N9" s="239"/>
      <c r="O9" s="287"/>
      <c r="P9" s="239">
        <v>1650</v>
      </c>
      <c r="Q9" s="240">
        <v>1400</v>
      </c>
      <c r="R9" s="240">
        <v>1300</v>
      </c>
      <c r="S9" s="600">
        <f t="shared" si="1"/>
        <v>4350</v>
      </c>
      <c r="T9" s="989"/>
    </row>
    <row r="10" spans="1:20" x14ac:dyDescent="0.25">
      <c r="A10" s="238">
        <v>4</v>
      </c>
      <c r="B10" s="275" t="s">
        <v>58</v>
      </c>
      <c r="C10" s="278" t="s">
        <v>59</v>
      </c>
      <c r="D10" s="240"/>
      <c r="E10" s="240"/>
      <c r="F10" s="240"/>
      <c r="G10" s="240"/>
      <c r="H10" s="240"/>
      <c r="I10" s="240"/>
      <c r="J10" s="240"/>
      <c r="K10" s="240"/>
      <c r="L10" s="287"/>
      <c r="M10" s="241"/>
      <c r="N10" s="239"/>
      <c r="O10" s="287"/>
      <c r="P10" s="239">
        <v>1400</v>
      </c>
      <c r="Q10" s="240">
        <v>1400</v>
      </c>
      <c r="R10" s="240">
        <v>1400</v>
      </c>
      <c r="S10" s="600">
        <f t="shared" si="1"/>
        <v>4200</v>
      </c>
      <c r="T10" s="989"/>
    </row>
    <row r="11" spans="1:20" x14ac:dyDescent="0.25">
      <c r="A11" s="238">
        <v>5</v>
      </c>
      <c r="B11" s="275" t="s">
        <v>66</v>
      </c>
      <c r="C11" s="278" t="s">
        <v>67</v>
      </c>
      <c r="D11" s="240"/>
      <c r="E11" s="240"/>
      <c r="F11" s="240"/>
      <c r="G11" s="240"/>
      <c r="H11" s="240"/>
      <c r="I11" s="240"/>
      <c r="J11" s="240"/>
      <c r="K11" s="240"/>
      <c r="L11" s="287"/>
      <c r="M11" s="549"/>
      <c r="N11" s="239"/>
      <c r="O11" s="287"/>
      <c r="P11" s="239">
        <v>2529</v>
      </c>
      <c r="Q11" s="240">
        <v>2637</v>
      </c>
      <c r="R11" s="240">
        <v>2094</v>
      </c>
      <c r="S11" s="600">
        <f t="shared" si="1"/>
        <v>7260</v>
      </c>
      <c r="T11" s="989"/>
    </row>
    <row r="12" spans="1:20" x14ac:dyDescent="0.25">
      <c r="A12" s="238">
        <v>6</v>
      </c>
      <c r="B12" s="275" t="s">
        <v>68</v>
      </c>
      <c r="C12" s="278" t="s">
        <v>69</v>
      </c>
      <c r="D12" s="240"/>
      <c r="E12" s="240"/>
      <c r="F12" s="240"/>
      <c r="G12" s="240"/>
      <c r="H12" s="240"/>
      <c r="I12" s="240"/>
      <c r="J12" s="240"/>
      <c r="K12" s="240"/>
      <c r="L12" s="287"/>
      <c r="M12" s="241"/>
      <c r="N12" s="239"/>
      <c r="O12" s="287"/>
      <c r="P12" s="239">
        <v>1471</v>
      </c>
      <c r="Q12" s="240">
        <v>1263</v>
      </c>
      <c r="R12" s="240">
        <v>1128</v>
      </c>
      <c r="S12" s="600">
        <f t="shared" si="1"/>
        <v>3862</v>
      </c>
      <c r="T12" s="989"/>
    </row>
    <row r="13" spans="1:20" x14ac:dyDescent="0.25">
      <c r="A13" s="238">
        <v>7</v>
      </c>
      <c r="B13" s="275" t="s">
        <v>77</v>
      </c>
      <c r="C13" s="278" t="s">
        <v>78</v>
      </c>
      <c r="D13" s="240"/>
      <c r="E13" s="240"/>
      <c r="F13" s="240"/>
      <c r="G13" s="240"/>
      <c r="H13" s="240"/>
      <c r="I13" s="240"/>
      <c r="J13" s="240"/>
      <c r="K13" s="240"/>
      <c r="L13" s="287"/>
      <c r="M13" s="241"/>
      <c r="N13" s="239"/>
      <c r="O13" s="287"/>
      <c r="P13" s="239">
        <v>1230</v>
      </c>
      <c r="Q13" s="240">
        <v>1230</v>
      </c>
      <c r="R13" s="240">
        <v>600</v>
      </c>
      <c r="S13" s="600">
        <f t="shared" si="1"/>
        <v>3060</v>
      </c>
      <c r="T13" s="989"/>
    </row>
    <row r="14" spans="1:20" x14ac:dyDescent="0.25">
      <c r="A14" s="238">
        <v>8</v>
      </c>
      <c r="B14" s="275" t="s">
        <v>79</v>
      </c>
      <c r="C14" s="278" t="s">
        <v>80</v>
      </c>
      <c r="D14" s="240"/>
      <c r="E14" s="240"/>
      <c r="F14" s="240"/>
      <c r="G14" s="240"/>
      <c r="H14" s="240"/>
      <c r="I14" s="240"/>
      <c r="J14" s="240"/>
      <c r="K14" s="240"/>
      <c r="L14" s="287"/>
      <c r="M14" s="241"/>
      <c r="N14" s="239"/>
      <c r="O14" s="287"/>
      <c r="P14" s="239">
        <v>1700</v>
      </c>
      <c r="Q14" s="240">
        <v>1500</v>
      </c>
      <c r="R14" s="240">
        <v>1500</v>
      </c>
      <c r="S14" s="600">
        <f t="shared" si="1"/>
        <v>4700</v>
      </c>
      <c r="T14" s="989"/>
    </row>
    <row r="15" spans="1:20" x14ac:dyDescent="0.25">
      <c r="A15" s="238">
        <v>9</v>
      </c>
      <c r="B15" s="275" t="s">
        <v>99</v>
      </c>
      <c r="C15" s="279" t="s">
        <v>100</v>
      </c>
      <c r="D15" s="240"/>
      <c r="E15" s="240"/>
      <c r="F15" s="240"/>
      <c r="G15" s="240"/>
      <c r="H15" s="240"/>
      <c r="I15" s="240"/>
      <c r="J15" s="240"/>
      <c r="K15" s="240"/>
      <c r="L15" s="287"/>
      <c r="M15" s="241"/>
      <c r="N15" s="239"/>
      <c r="O15" s="287"/>
      <c r="P15" s="239">
        <v>1600</v>
      </c>
      <c r="Q15" s="240">
        <v>1600</v>
      </c>
      <c r="R15" s="240">
        <v>1600</v>
      </c>
      <c r="S15" s="600">
        <f t="shared" si="1"/>
        <v>4800</v>
      </c>
      <c r="T15" s="989"/>
    </row>
    <row r="16" spans="1:20" x14ac:dyDescent="0.25">
      <c r="A16" s="238">
        <v>10</v>
      </c>
      <c r="B16" s="275" t="s">
        <v>117</v>
      </c>
      <c r="C16" s="280" t="s">
        <v>118</v>
      </c>
      <c r="D16" s="240"/>
      <c r="E16" s="240"/>
      <c r="F16" s="240"/>
      <c r="G16" s="240"/>
      <c r="H16" s="240"/>
      <c r="I16" s="240"/>
      <c r="J16" s="240"/>
      <c r="K16" s="240"/>
      <c r="L16" s="287"/>
      <c r="M16" s="241"/>
      <c r="N16" s="239"/>
      <c r="O16" s="287"/>
      <c r="P16" s="239">
        <v>1010</v>
      </c>
      <c r="Q16" s="240">
        <v>1150</v>
      </c>
      <c r="R16" s="240">
        <v>1184</v>
      </c>
      <c r="S16" s="600">
        <f t="shared" si="1"/>
        <v>3344</v>
      </c>
      <c r="T16" s="989"/>
    </row>
    <row r="17" spans="1:20" x14ac:dyDescent="0.25">
      <c r="A17" s="238">
        <v>11</v>
      </c>
      <c r="B17" s="275" t="s">
        <v>141</v>
      </c>
      <c r="C17" s="278" t="s">
        <v>456</v>
      </c>
      <c r="D17" s="240"/>
      <c r="E17" s="240"/>
      <c r="F17" s="240"/>
      <c r="G17" s="240"/>
      <c r="H17" s="240"/>
      <c r="I17" s="240"/>
      <c r="J17" s="240"/>
      <c r="K17" s="240"/>
      <c r="L17" s="287"/>
      <c r="M17" s="241"/>
      <c r="N17" s="239"/>
      <c r="O17" s="287"/>
      <c r="P17" s="239">
        <v>750</v>
      </c>
      <c r="Q17" s="240">
        <v>700</v>
      </c>
      <c r="R17" s="240">
        <v>700</v>
      </c>
      <c r="S17" s="600">
        <f t="shared" si="1"/>
        <v>2150</v>
      </c>
      <c r="T17" s="989"/>
    </row>
    <row r="18" spans="1:20" x14ac:dyDescent="0.25">
      <c r="A18" s="238">
        <v>12</v>
      </c>
      <c r="B18" s="275" t="s">
        <v>145</v>
      </c>
      <c r="C18" s="278" t="s">
        <v>457</v>
      </c>
      <c r="D18" s="240"/>
      <c r="E18" s="240"/>
      <c r="F18" s="240"/>
      <c r="G18" s="240"/>
      <c r="H18" s="240"/>
      <c r="I18" s="240"/>
      <c r="J18" s="240"/>
      <c r="K18" s="240"/>
      <c r="L18" s="287"/>
      <c r="M18" s="241"/>
      <c r="N18" s="239"/>
      <c r="O18" s="287"/>
      <c r="P18" s="239">
        <v>1600</v>
      </c>
      <c r="Q18" s="240">
        <v>1500</v>
      </c>
      <c r="R18" s="240">
        <v>1400</v>
      </c>
      <c r="S18" s="600">
        <f t="shared" si="1"/>
        <v>4500</v>
      </c>
      <c r="T18" s="989"/>
    </row>
    <row r="19" spans="1:20" x14ac:dyDescent="0.25">
      <c r="A19" s="238">
        <v>13</v>
      </c>
      <c r="B19" s="275" t="s">
        <v>169</v>
      </c>
      <c r="C19" s="278" t="s">
        <v>170</v>
      </c>
      <c r="D19" s="240"/>
      <c r="E19" s="240"/>
      <c r="F19" s="240"/>
      <c r="G19" s="240"/>
      <c r="H19" s="240"/>
      <c r="I19" s="240"/>
      <c r="J19" s="240"/>
      <c r="K19" s="240"/>
      <c r="L19" s="287"/>
      <c r="M19" s="241"/>
      <c r="N19" s="239"/>
      <c r="O19" s="287"/>
      <c r="P19" s="239">
        <v>2300</v>
      </c>
      <c r="Q19" s="240">
        <v>2200</v>
      </c>
      <c r="R19" s="240">
        <v>2100</v>
      </c>
      <c r="S19" s="600">
        <f t="shared" si="1"/>
        <v>6600</v>
      </c>
      <c r="T19" s="989"/>
    </row>
    <row r="20" spans="1:20" x14ac:dyDescent="0.25">
      <c r="A20" s="238">
        <v>14</v>
      </c>
      <c r="B20" s="275" t="s">
        <v>175</v>
      </c>
      <c r="C20" s="281" t="s">
        <v>176</v>
      </c>
      <c r="D20" s="240"/>
      <c r="E20" s="240"/>
      <c r="F20" s="240"/>
      <c r="G20" s="240"/>
      <c r="H20" s="240"/>
      <c r="I20" s="240"/>
      <c r="J20" s="240"/>
      <c r="K20" s="240"/>
      <c r="L20" s="287"/>
      <c r="M20" s="241"/>
      <c r="N20" s="239"/>
      <c r="O20" s="287"/>
      <c r="P20" s="239">
        <v>1750</v>
      </c>
      <c r="Q20" s="240">
        <v>1700</v>
      </c>
      <c r="R20" s="240">
        <v>1700</v>
      </c>
      <c r="S20" s="600">
        <f t="shared" si="1"/>
        <v>5150</v>
      </c>
      <c r="T20" s="989"/>
    </row>
    <row r="21" spans="1:20" x14ac:dyDescent="0.25">
      <c r="A21" s="238">
        <v>15</v>
      </c>
      <c r="B21" s="275" t="s">
        <v>207</v>
      </c>
      <c r="C21" s="278" t="s">
        <v>208</v>
      </c>
      <c r="D21" s="240"/>
      <c r="E21" s="240"/>
      <c r="F21" s="240"/>
      <c r="G21" s="240"/>
      <c r="H21" s="240"/>
      <c r="I21" s="240"/>
      <c r="J21" s="240"/>
      <c r="K21" s="240"/>
      <c r="L21" s="287"/>
      <c r="M21" s="241"/>
      <c r="N21" s="239"/>
      <c r="O21" s="287"/>
      <c r="P21" s="239">
        <v>800</v>
      </c>
      <c r="Q21" s="240">
        <v>800</v>
      </c>
      <c r="R21" s="240">
        <v>800</v>
      </c>
      <c r="S21" s="600">
        <f t="shared" si="1"/>
        <v>2400</v>
      </c>
      <c r="T21" s="989"/>
    </row>
    <row r="22" spans="1:20" x14ac:dyDescent="0.25">
      <c r="A22" s="238">
        <v>16</v>
      </c>
      <c r="B22" s="275" t="s">
        <v>258</v>
      </c>
      <c r="C22" s="278" t="s">
        <v>675</v>
      </c>
      <c r="D22" s="240">
        <v>380</v>
      </c>
      <c r="E22" s="240">
        <v>1640</v>
      </c>
      <c r="F22" s="240">
        <v>400</v>
      </c>
      <c r="G22" s="240">
        <v>650</v>
      </c>
      <c r="H22" s="240"/>
      <c r="I22" s="240">
        <v>1000</v>
      </c>
      <c r="J22" s="240">
        <f>D22+E22+F22+G22+H22+I22</f>
        <v>4070</v>
      </c>
      <c r="K22" s="240">
        <v>1030</v>
      </c>
      <c r="L22" s="287">
        <f>J22+K22</f>
        <v>5100</v>
      </c>
      <c r="M22" s="241"/>
      <c r="N22" s="239"/>
      <c r="O22" s="287"/>
      <c r="P22" s="239">
        <v>0</v>
      </c>
      <c r="Q22" s="240">
        <v>0</v>
      </c>
      <c r="R22" s="240">
        <v>0</v>
      </c>
      <c r="S22" s="600">
        <f t="shared" si="1"/>
        <v>0</v>
      </c>
      <c r="T22" s="989"/>
    </row>
    <row r="23" spans="1:20" x14ac:dyDescent="0.25">
      <c r="A23" s="238">
        <v>17</v>
      </c>
      <c r="B23" s="275" t="s">
        <v>260</v>
      </c>
      <c r="C23" s="278" t="s">
        <v>261</v>
      </c>
      <c r="D23" s="240">
        <v>3270</v>
      </c>
      <c r="E23" s="240">
        <v>2500</v>
      </c>
      <c r="F23" s="240">
        <v>300</v>
      </c>
      <c r="G23" s="240">
        <v>100</v>
      </c>
      <c r="H23" s="240">
        <v>700</v>
      </c>
      <c r="I23" s="240">
        <v>50</v>
      </c>
      <c r="J23" s="240">
        <f>D23+E23+F23+G23+H23+I23</f>
        <v>6920</v>
      </c>
      <c r="K23" s="240"/>
      <c r="L23" s="287">
        <f>J23+K23</f>
        <v>6920</v>
      </c>
      <c r="M23" s="241">
        <v>1000</v>
      </c>
      <c r="N23" s="239"/>
      <c r="O23" s="287"/>
      <c r="P23" s="239">
        <v>0</v>
      </c>
      <c r="Q23" s="240">
        <v>0</v>
      </c>
      <c r="R23" s="240">
        <v>0</v>
      </c>
      <c r="S23" s="600">
        <f t="shared" si="1"/>
        <v>0</v>
      </c>
      <c r="T23" s="989"/>
    </row>
    <row r="24" spans="1:20" x14ac:dyDescent="0.25">
      <c r="A24" s="238">
        <v>18</v>
      </c>
      <c r="B24" s="275" t="s">
        <v>262</v>
      </c>
      <c r="C24" s="278" t="s">
        <v>263</v>
      </c>
      <c r="D24" s="240"/>
      <c r="E24" s="240">
        <v>330</v>
      </c>
      <c r="F24" s="240">
        <v>140</v>
      </c>
      <c r="G24" s="240">
        <v>730</v>
      </c>
      <c r="H24" s="240"/>
      <c r="I24" s="240"/>
      <c r="J24" s="240">
        <f>D24+E24+F24+G24+H24+I24</f>
        <v>1200</v>
      </c>
      <c r="K24" s="240"/>
      <c r="L24" s="287">
        <f>J24+K24</f>
        <v>1200</v>
      </c>
      <c r="M24" s="241"/>
      <c r="N24" s="239"/>
      <c r="O24" s="287"/>
      <c r="P24" s="239">
        <v>0</v>
      </c>
      <c r="Q24" s="240">
        <v>0</v>
      </c>
      <c r="R24" s="240">
        <v>0</v>
      </c>
      <c r="S24" s="600">
        <f t="shared" si="1"/>
        <v>0</v>
      </c>
      <c r="T24" s="989"/>
    </row>
    <row r="25" spans="1:20" x14ac:dyDescent="0.25">
      <c r="A25" s="238">
        <v>19</v>
      </c>
      <c r="B25" s="275" t="s">
        <v>268</v>
      </c>
      <c r="C25" s="282" t="s">
        <v>269</v>
      </c>
      <c r="D25" s="240"/>
      <c r="E25" s="240"/>
      <c r="F25" s="240"/>
      <c r="G25" s="240"/>
      <c r="H25" s="240"/>
      <c r="I25" s="240"/>
      <c r="J25" s="240"/>
      <c r="K25" s="240"/>
      <c r="L25" s="287"/>
      <c r="M25" s="241"/>
      <c r="N25" s="239"/>
      <c r="O25" s="287"/>
      <c r="P25" s="239">
        <v>5100</v>
      </c>
      <c r="Q25" s="240">
        <v>4800</v>
      </c>
      <c r="R25" s="240">
        <v>4700</v>
      </c>
      <c r="S25" s="600">
        <f t="shared" si="1"/>
        <v>14600</v>
      </c>
      <c r="T25" s="989"/>
    </row>
    <row r="26" spans="1:20" x14ac:dyDescent="0.25">
      <c r="A26" s="238">
        <v>20</v>
      </c>
      <c r="B26" s="275" t="s">
        <v>270</v>
      </c>
      <c r="C26" s="281" t="s">
        <v>271</v>
      </c>
      <c r="D26" s="240"/>
      <c r="E26" s="240"/>
      <c r="F26" s="240"/>
      <c r="G26" s="240"/>
      <c r="H26" s="240"/>
      <c r="I26" s="240"/>
      <c r="J26" s="240"/>
      <c r="K26" s="240"/>
      <c r="L26" s="287"/>
      <c r="M26" s="241"/>
      <c r="N26" s="239"/>
      <c r="O26" s="287"/>
      <c r="P26" s="239">
        <v>2100</v>
      </c>
      <c r="Q26" s="240">
        <v>3600</v>
      </c>
      <c r="R26" s="240">
        <v>3000</v>
      </c>
      <c r="S26" s="600">
        <f>SUM(P26:R26)</f>
        <v>8700</v>
      </c>
      <c r="T26" s="992">
        <v>141</v>
      </c>
    </row>
    <row r="27" spans="1:20" ht="12" thickBot="1" x14ac:dyDescent="0.3">
      <c r="A27" s="238">
        <v>21</v>
      </c>
      <c r="B27" s="283" t="s">
        <v>284</v>
      </c>
      <c r="C27" s="284" t="s">
        <v>285</v>
      </c>
      <c r="D27" s="285"/>
      <c r="E27" s="285"/>
      <c r="F27" s="285"/>
      <c r="G27" s="285"/>
      <c r="H27" s="285"/>
      <c r="I27" s="285"/>
      <c r="J27" s="285"/>
      <c r="K27" s="285"/>
      <c r="L27" s="288"/>
      <c r="M27" s="290"/>
      <c r="N27" s="601">
        <v>11035</v>
      </c>
      <c r="O27" s="288">
        <v>1418</v>
      </c>
      <c r="P27" s="601">
        <v>0</v>
      </c>
      <c r="Q27" s="285">
        <v>0</v>
      </c>
      <c r="R27" s="285">
        <v>0</v>
      </c>
      <c r="S27" s="991">
        <f>SUM(P27:R27)</f>
        <v>0</v>
      </c>
      <c r="T27" s="990"/>
    </row>
    <row r="28" spans="1:20" x14ac:dyDescent="0.25">
      <c r="A28" s="242"/>
      <c r="B28" s="242"/>
      <c r="C28" s="243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</row>
    <row r="29" spans="1:20" ht="16.5" customHeight="1" x14ac:dyDescent="0.25">
      <c r="A29" s="242"/>
      <c r="B29" s="242"/>
      <c r="C29" s="245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</row>
    <row r="30" spans="1:20" s="245" customFormat="1" x14ac:dyDescent="0.25">
      <c r="A30" s="242"/>
      <c r="B30" s="242"/>
      <c r="C30" s="246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35"/>
    </row>
    <row r="31" spans="1:20" s="245" customFormat="1" x14ac:dyDescent="0.25">
      <c r="A31" s="236"/>
      <c r="B31" s="236"/>
      <c r="C31" s="235" t="s">
        <v>717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5"/>
    </row>
    <row r="32" spans="1:20" s="245" customFormat="1" x14ac:dyDescent="0.25">
      <c r="A32" s="236"/>
      <c r="B32" s="236"/>
      <c r="C32" s="235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5"/>
    </row>
  </sheetData>
  <mergeCells count="16">
    <mergeCell ref="T3:T5"/>
    <mergeCell ref="N3:O4"/>
    <mergeCell ref="S4:S5"/>
    <mergeCell ref="A1:S1"/>
    <mergeCell ref="A3:A5"/>
    <mergeCell ref="B3:B5"/>
    <mergeCell ref="C3:C5"/>
    <mergeCell ref="D3:L3"/>
    <mergeCell ref="M3:M5"/>
    <mergeCell ref="P3:S3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C16" sqref="C16"/>
    </sheetView>
  </sheetViews>
  <sheetFormatPr defaultRowHeight="11.25" x14ac:dyDescent="0.2"/>
  <cols>
    <col min="1" max="1" width="3.7109375" style="16" customWidth="1"/>
    <col min="2" max="2" width="9.140625" style="16"/>
    <col min="3" max="3" width="27.7109375" style="16" customWidth="1"/>
    <col min="4" max="4" width="9.140625" style="16"/>
    <col min="5" max="6" width="12" style="16" customWidth="1"/>
    <col min="7" max="7" width="11.140625" style="16" customWidth="1"/>
    <col min="8" max="8" width="12" style="16" customWidth="1"/>
    <col min="9" max="9" width="11" style="16" customWidth="1"/>
    <col min="10" max="10" width="11.7109375" style="16" customWidth="1"/>
    <col min="11" max="11" width="8" style="581" customWidth="1"/>
    <col min="12" max="12" width="11.42578125" style="16" customWidth="1"/>
    <col min="13" max="14" width="12.7109375" style="16" customWidth="1"/>
    <col min="15" max="15" width="7.7109375" style="581" customWidth="1"/>
    <col min="16" max="16" width="12.28515625" style="16" customWidth="1"/>
    <col min="17" max="17" width="11.28515625" style="16" customWidth="1"/>
    <col min="18" max="18" width="8.28515625" style="16" customWidth="1"/>
    <col min="19" max="19" width="13.28515625" style="16" customWidth="1"/>
    <col min="20" max="20" width="11" style="16" customWidth="1"/>
    <col min="21" max="253" width="9.140625" style="16"/>
    <col min="254" max="254" width="3.7109375" style="16" customWidth="1"/>
    <col min="255" max="255" width="9.140625" style="16"/>
    <col min="256" max="256" width="27.7109375" style="16" customWidth="1"/>
    <col min="257" max="257" width="9.140625" style="16"/>
    <col min="258" max="259" width="12" style="16" customWidth="1"/>
    <col min="260" max="260" width="11.140625" style="16" customWidth="1"/>
    <col min="261" max="261" width="12" style="16" customWidth="1"/>
    <col min="262" max="262" width="11" style="16" customWidth="1"/>
    <col min="263" max="263" width="11.7109375" style="16" customWidth="1"/>
    <col min="264" max="264" width="8" style="16" customWidth="1"/>
    <col min="265" max="265" width="11.42578125" style="16" customWidth="1"/>
    <col min="266" max="267" width="12.7109375" style="16" customWidth="1"/>
    <col min="268" max="268" width="7.7109375" style="16" customWidth="1"/>
    <col min="269" max="269" width="12.28515625" style="16" customWidth="1"/>
    <col min="270" max="270" width="11.28515625" style="16" customWidth="1"/>
    <col min="271" max="271" width="8.28515625" style="16" customWidth="1"/>
    <col min="272" max="272" width="13.28515625" style="16" customWidth="1"/>
    <col min="273" max="273" width="11" style="16" customWidth="1"/>
    <col min="274" max="509" width="9.140625" style="16"/>
    <col min="510" max="510" width="3.7109375" style="16" customWidth="1"/>
    <col min="511" max="511" width="9.140625" style="16"/>
    <col min="512" max="512" width="27.7109375" style="16" customWidth="1"/>
    <col min="513" max="513" width="9.140625" style="16"/>
    <col min="514" max="515" width="12" style="16" customWidth="1"/>
    <col min="516" max="516" width="11.140625" style="16" customWidth="1"/>
    <col min="517" max="517" width="12" style="16" customWidth="1"/>
    <col min="518" max="518" width="11" style="16" customWidth="1"/>
    <col min="519" max="519" width="11.7109375" style="16" customWidth="1"/>
    <col min="520" max="520" width="8" style="16" customWidth="1"/>
    <col min="521" max="521" width="11.42578125" style="16" customWidth="1"/>
    <col min="522" max="523" width="12.7109375" style="16" customWidth="1"/>
    <col min="524" max="524" width="7.7109375" style="16" customWidth="1"/>
    <col min="525" max="525" width="12.28515625" style="16" customWidth="1"/>
    <col min="526" max="526" width="11.28515625" style="16" customWidth="1"/>
    <col min="527" max="527" width="8.28515625" style="16" customWidth="1"/>
    <col min="528" max="528" width="13.28515625" style="16" customWidth="1"/>
    <col min="529" max="529" width="11" style="16" customWidth="1"/>
    <col min="530" max="765" width="9.140625" style="16"/>
    <col min="766" max="766" width="3.7109375" style="16" customWidth="1"/>
    <col min="767" max="767" width="9.140625" style="16"/>
    <col min="768" max="768" width="27.7109375" style="16" customWidth="1"/>
    <col min="769" max="769" width="9.140625" style="16"/>
    <col min="770" max="771" width="12" style="16" customWidth="1"/>
    <col min="772" max="772" width="11.140625" style="16" customWidth="1"/>
    <col min="773" max="773" width="12" style="16" customWidth="1"/>
    <col min="774" max="774" width="11" style="16" customWidth="1"/>
    <col min="775" max="775" width="11.7109375" style="16" customWidth="1"/>
    <col min="776" max="776" width="8" style="16" customWidth="1"/>
    <col min="777" max="777" width="11.42578125" style="16" customWidth="1"/>
    <col min="778" max="779" width="12.7109375" style="16" customWidth="1"/>
    <col min="780" max="780" width="7.7109375" style="16" customWidth="1"/>
    <col min="781" max="781" width="12.28515625" style="16" customWidth="1"/>
    <col min="782" max="782" width="11.28515625" style="16" customWidth="1"/>
    <col min="783" max="783" width="8.28515625" style="16" customWidth="1"/>
    <col min="784" max="784" width="13.28515625" style="16" customWidth="1"/>
    <col min="785" max="785" width="11" style="16" customWidth="1"/>
    <col min="786" max="1021" width="9.140625" style="16"/>
    <col min="1022" max="1022" width="3.7109375" style="16" customWidth="1"/>
    <col min="1023" max="1023" width="9.140625" style="16"/>
    <col min="1024" max="1024" width="27.7109375" style="16" customWidth="1"/>
    <col min="1025" max="1025" width="9.140625" style="16"/>
    <col min="1026" max="1027" width="12" style="16" customWidth="1"/>
    <col min="1028" max="1028" width="11.140625" style="16" customWidth="1"/>
    <col min="1029" max="1029" width="12" style="16" customWidth="1"/>
    <col min="1030" max="1030" width="11" style="16" customWidth="1"/>
    <col min="1031" max="1031" width="11.7109375" style="16" customWidth="1"/>
    <col min="1032" max="1032" width="8" style="16" customWidth="1"/>
    <col min="1033" max="1033" width="11.42578125" style="16" customWidth="1"/>
    <col min="1034" max="1035" width="12.7109375" style="16" customWidth="1"/>
    <col min="1036" max="1036" width="7.7109375" style="16" customWidth="1"/>
    <col min="1037" max="1037" width="12.28515625" style="16" customWidth="1"/>
    <col min="1038" max="1038" width="11.28515625" style="16" customWidth="1"/>
    <col min="1039" max="1039" width="8.28515625" style="16" customWidth="1"/>
    <col min="1040" max="1040" width="13.28515625" style="16" customWidth="1"/>
    <col min="1041" max="1041" width="11" style="16" customWidth="1"/>
    <col min="1042" max="1277" width="9.140625" style="16"/>
    <col min="1278" max="1278" width="3.7109375" style="16" customWidth="1"/>
    <col min="1279" max="1279" width="9.140625" style="16"/>
    <col min="1280" max="1280" width="27.7109375" style="16" customWidth="1"/>
    <col min="1281" max="1281" width="9.140625" style="16"/>
    <col min="1282" max="1283" width="12" style="16" customWidth="1"/>
    <col min="1284" max="1284" width="11.140625" style="16" customWidth="1"/>
    <col min="1285" max="1285" width="12" style="16" customWidth="1"/>
    <col min="1286" max="1286" width="11" style="16" customWidth="1"/>
    <col min="1287" max="1287" width="11.7109375" style="16" customWidth="1"/>
    <col min="1288" max="1288" width="8" style="16" customWidth="1"/>
    <col min="1289" max="1289" width="11.42578125" style="16" customWidth="1"/>
    <col min="1290" max="1291" width="12.7109375" style="16" customWidth="1"/>
    <col min="1292" max="1292" width="7.7109375" style="16" customWidth="1"/>
    <col min="1293" max="1293" width="12.28515625" style="16" customWidth="1"/>
    <col min="1294" max="1294" width="11.28515625" style="16" customWidth="1"/>
    <col min="1295" max="1295" width="8.28515625" style="16" customWidth="1"/>
    <col min="1296" max="1296" width="13.28515625" style="16" customWidth="1"/>
    <col min="1297" max="1297" width="11" style="16" customWidth="1"/>
    <col min="1298" max="1533" width="9.140625" style="16"/>
    <col min="1534" max="1534" width="3.7109375" style="16" customWidth="1"/>
    <col min="1535" max="1535" width="9.140625" style="16"/>
    <col min="1536" max="1536" width="27.7109375" style="16" customWidth="1"/>
    <col min="1537" max="1537" width="9.140625" style="16"/>
    <col min="1538" max="1539" width="12" style="16" customWidth="1"/>
    <col min="1540" max="1540" width="11.140625" style="16" customWidth="1"/>
    <col min="1541" max="1541" width="12" style="16" customWidth="1"/>
    <col min="1542" max="1542" width="11" style="16" customWidth="1"/>
    <col min="1543" max="1543" width="11.7109375" style="16" customWidth="1"/>
    <col min="1544" max="1544" width="8" style="16" customWidth="1"/>
    <col min="1545" max="1545" width="11.42578125" style="16" customWidth="1"/>
    <col min="1546" max="1547" width="12.7109375" style="16" customWidth="1"/>
    <col min="1548" max="1548" width="7.7109375" style="16" customWidth="1"/>
    <col min="1549" max="1549" width="12.28515625" style="16" customWidth="1"/>
    <col min="1550" max="1550" width="11.28515625" style="16" customWidth="1"/>
    <col min="1551" max="1551" width="8.28515625" style="16" customWidth="1"/>
    <col min="1552" max="1552" width="13.28515625" style="16" customWidth="1"/>
    <col min="1553" max="1553" width="11" style="16" customWidth="1"/>
    <col min="1554" max="1789" width="9.140625" style="16"/>
    <col min="1790" max="1790" width="3.7109375" style="16" customWidth="1"/>
    <col min="1791" max="1791" width="9.140625" style="16"/>
    <col min="1792" max="1792" width="27.7109375" style="16" customWidth="1"/>
    <col min="1793" max="1793" width="9.140625" style="16"/>
    <col min="1794" max="1795" width="12" style="16" customWidth="1"/>
    <col min="1796" max="1796" width="11.140625" style="16" customWidth="1"/>
    <col min="1797" max="1797" width="12" style="16" customWidth="1"/>
    <col min="1798" max="1798" width="11" style="16" customWidth="1"/>
    <col min="1799" max="1799" width="11.7109375" style="16" customWidth="1"/>
    <col min="1800" max="1800" width="8" style="16" customWidth="1"/>
    <col min="1801" max="1801" width="11.42578125" style="16" customWidth="1"/>
    <col min="1802" max="1803" width="12.7109375" style="16" customWidth="1"/>
    <col min="1804" max="1804" width="7.7109375" style="16" customWidth="1"/>
    <col min="1805" max="1805" width="12.28515625" style="16" customWidth="1"/>
    <col min="1806" max="1806" width="11.28515625" style="16" customWidth="1"/>
    <col min="1807" max="1807" width="8.28515625" style="16" customWidth="1"/>
    <col min="1808" max="1808" width="13.28515625" style="16" customWidth="1"/>
    <col min="1809" max="1809" width="11" style="16" customWidth="1"/>
    <col min="1810" max="2045" width="9.140625" style="16"/>
    <col min="2046" max="2046" width="3.7109375" style="16" customWidth="1"/>
    <col min="2047" max="2047" width="9.140625" style="16"/>
    <col min="2048" max="2048" width="27.7109375" style="16" customWidth="1"/>
    <col min="2049" max="2049" width="9.140625" style="16"/>
    <col min="2050" max="2051" width="12" style="16" customWidth="1"/>
    <col min="2052" max="2052" width="11.140625" style="16" customWidth="1"/>
    <col min="2053" max="2053" width="12" style="16" customWidth="1"/>
    <col min="2054" max="2054" width="11" style="16" customWidth="1"/>
    <col min="2055" max="2055" width="11.7109375" style="16" customWidth="1"/>
    <col min="2056" max="2056" width="8" style="16" customWidth="1"/>
    <col min="2057" max="2057" width="11.42578125" style="16" customWidth="1"/>
    <col min="2058" max="2059" width="12.7109375" style="16" customWidth="1"/>
    <col min="2060" max="2060" width="7.7109375" style="16" customWidth="1"/>
    <col min="2061" max="2061" width="12.28515625" style="16" customWidth="1"/>
    <col min="2062" max="2062" width="11.28515625" style="16" customWidth="1"/>
    <col min="2063" max="2063" width="8.28515625" style="16" customWidth="1"/>
    <col min="2064" max="2064" width="13.28515625" style="16" customWidth="1"/>
    <col min="2065" max="2065" width="11" style="16" customWidth="1"/>
    <col min="2066" max="2301" width="9.140625" style="16"/>
    <col min="2302" max="2302" width="3.7109375" style="16" customWidth="1"/>
    <col min="2303" max="2303" width="9.140625" style="16"/>
    <col min="2304" max="2304" width="27.7109375" style="16" customWidth="1"/>
    <col min="2305" max="2305" width="9.140625" style="16"/>
    <col min="2306" max="2307" width="12" style="16" customWidth="1"/>
    <col min="2308" max="2308" width="11.140625" style="16" customWidth="1"/>
    <col min="2309" max="2309" width="12" style="16" customWidth="1"/>
    <col min="2310" max="2310" width="11" style="16" customWidth="1"/>
    <col min="2311" max="2311" width="11.7109375" style="16" customWidth="1"/>
    <col min="2312" max="2312" width="8" style="16" customWidth="1"/>
    <col min="2313" max="2313" width="11.42578125" style="16" customWidth="1"/>
    <col min="2314" max="2315" width="12.7109375" style="16" customWidth="1"/>
    <col min="2316" max="2316" width="7.7109375" style="16" customWidth="1"/>
    <col min="2317" max="2317" width="12.28515625" style="16" customWidth="1"/>
    <col min="2318" max="2318" width="11.28515625" style="16" customWidth="1"/>
    <col min="2319" max="2319" width="8.28515625" style="16" customWidth="1"/>
    <col min="2320" max="2320" width="13.28515625" style="16" customWidth="1"/>
    <col min="2321" max="2321" width="11" style="16" customWidth="1"/>
    <col min="2322" max="2557" width="9.140625" style="16"/>
    <col min="2558" max="2558" width="3.7109375" style="16" customWidth="1"/>
    <col min="2559" max="2559" width="9.140625" style="16"/>
    <col min="2560" max="2560" width="27.7109375" style="16" customWidth="1"/>
    <col min="2561" max="2561" width="9.140625" style="16"/>
    <col min="2562" max="2563" width="12" style="16" customWidth="1"/>
    <col min="2564" max="2564" width="11.140625" style="16" customWidth="1"/>
    <col min="2565" max="2565" width="12" style="16" customWidth="1"/>
    <col min="2566" max="2566" width="11" style="16" customWidth="1"/>
    <col min="2567" max="2567" width="11.7109375" style="16" customWidth="1"/>
    <col min="2568" max="2568" width="8" style="16" customWidth="1"/>
    <col min="2569" max="2569" width="11.42578125" style="16" customWidth="1"/>
    <col min="2570" max="2571" width="12.7109375" style="16" customWidth="1"/>
    <col min="2572" max="2572" width="7.7109375" style="16" customWidth="1"/>
    <col min="2573" max="2573" width="12.28515625" style="16" customWidth="1"/>
    <col min="2574" max="2574" width="11.28515625" style="16" customWidth="1"/>
    <col min="2575" max="2575" width="8.28515625" style="16" customWidth="1"/>
    <col min="2576" max="2576" width="13.28515625" style="16" customWidth="1"/>
    <col min="2577" max="2577" width="11" style="16" customWidth="1"/>
    <col min="2578" max="2813" width="9.140625" style="16"/>
    <col min="2814" max="2814" width="3.7109375" style="16" customWidth="1"/>
    <col min="2815" max="2815" width="9.140625" style="16"/>
    <col min="2816" max="2816" width="27.7109375" style="16" customWidth="1"/>
    <col min="2817" max="2817" width="9.140625" style="16"/>
    <col min="2818" max="2819" width="12" style="16" customWidth="1"/>
    <col min="2820" max="2820" width="11.140625" style="16" customWidth="1"/>
    <col min="2821" max="2821" width="12" style="16" customWidth="1"/>
    <col min="2822" max="2822" width="11" style="16" customWidth="1"/>
    <col min="2823" max="2823" width="11.7109375" style="16" customWidth="1"/>
    <col min="2824" max="2824" width="8" style="16" customWidth="1"/>
    <col min="2825" max="2825" width="11.42578125" style="16" customWidth="1"/>
    <col min="2826" max="2827" width="12.7109375" style="16" customWidth="1"/>
    <col min="2828" max="2828" width="7.7109375" style="16" customWidth="1"/>
    <col min="2829" max="2829" width="12.28515625" style="16" customWidth="1"/>
    <col min="2830" max="2830" width="11.28515625" style="16" customWidth="1"/>
    <col min="2831" max="2831" width="8.28515625" style="16" customWidth="1"/>
    <col min="2832" max="2832" width="13.28515625" style="16" customWidth="1"/>
    <col min="2833" max="2833" width="11" style="16" customWidth="1"/>
    <col min="2834" max="3069" width="9.140625" style="16"/>
    <col min="3070" max="3070" width="3.7109375" style="16" customWidth="1"/>
    <col min="3071" max="3071" width="9.140625" style="16"/>
    <col min="3072" max="3072" width="27.7109375" style="16" customWidth="1"/>
    <col min="3073" max="3073" width="9.140625" style="16"/>
    <col min="3074" max="3075" width="12" style="16" customWidth="1"/>
    <col min="3076" max="3076" width="11.140625" style="16" customWidth="1"/>
    <col min="3077" max="3077" width="12" style="16" customWidth="1"/>
    <col min="3078" max="3078" width="11" style="16" customWidth="1"/>
    <col min="3079" max="3079" width="11.7109375" style="16" customWidth="1"/>
    <col min="3080" max="3080" width="8" style="16" customWidth="1"/>
    <col min="3081" max="3081" width="11.42578125" style="16" customWidth="1"/>
    <col min="3082" max="3083" width="12.7109375" style="16" customWidth="1"/>
    <col min="3084" max="3084" width="7.7109375" style="16" customWidth="1"/>
    <col min="3085" max="3085" width="12.28515625" style="16" customWidth="1"/>
    <col min="3086" max="3086" width="11.28515625" style="16" customWidth="1"/>
    <col min="3087" max="3087" width="8.28515625" style="16" customWidth="1"/>
    <col min="3088" max="3088" width="13.28515625" style="16" customWidth="1"/>
    <col min="3089" max="3089" width="11" style="16" customWidth="1"/>
    <col min="3090" max="3325" width="9.140625" style="16"/>
    <col min="3326" max="3326" width="3.7109375" style="16" customWidth="1"/>
    <col min="3327" max="3327" width="9.140625" style="16"/>
    <col min="3328" max="3328" width="27.7109375" style="16" customWidth="1"/>
    <col min="3329" max="3329" width="9.140625" style="16"/>
    <col min="3330" max="3331" width="12" style="16" customWidth="1"/>
    <col min="3332" max="3332" width="11.140625" style="16" customWidth="1"/>
    <col min="3333" max="3333" width="12" style="16" customWidth="1"/>
    <col min="3334" max="3334" width="11" style="16" customWidth="1"/>
    <col min="3335" max="3335" width="11.7109375" style="16" customWidth="1"/>
    <col min="3336" max="3336" width="8" style="16" customWidth="1"/>
    <col min="3337" max="3337" width="11.42578125" style="16" customWidth="1"/>
    <col min="3338" max="3339" width="12.7109375" style="16" customWidth="1"/>
    <col min="3340" max="3340" width="7.7109375" style="16" customWidth="1"/>
    <col min="3341" max="3341" width="12.28515625" style="16" customWidth="1"/>
    <col min="3342" max="3342" width="11.28515625" style="16" customWidth="1"/>
    <col min="3343" max="3343" width="8.28515625" style="16" customWidth="1"/>
    <col min="3344" max="3344" width="13.28515625" style="16" customWidth="1"/>
    <col min="3345" max="3345" width="11" style="16" customWidth="1"/>
    <col min="3346" max="3581" width="9.140625" style="16"/>
    <col min="3582" max="3582" width="3.7109375" style="16" customWidth="1"/>
    <col min="3583" max="3583" width="9.140625" style="16"/>
    <col min="3584" max="3584" width="27.7109375" style="16" customWidth="1"/>
    <col min="3585" max="3585" width="9.140625" style="16"/>
    <col min="3586" max="3587" width="12" style="16" customWidth="1"/>
    <col min="3588" max="3588" width="11.140625" style="16" customWidth="1"/>
    <col min="3589" max="3589" width="12" style="16" customWidth="1"/>
    <col min="3590" max="3590" width="11" style="16" customWidth="1"/>
    <col min="3591" max="3591" width="11.7109375" style="16" customWidth="1"/>
    <col min="3592" max="3592" width="8" style="16" customWidth="1"/>
    <col min="3593" max="3593" width="11.42578125" style="16" customWidth="1"/>
    <col min="3594" max="3595" width="12.7109375" style="16" customWidth="1"/>
    <col min="3596" max="3596" width="7.7109375" style="16" customWidth="1"/>
    <col min="3597" max="3597" width="12.28515625" style="16" customWidth="1"/>
    <col min="3598" max="3598" width="11.28515625" style="16" customWidth="1"/>
    <col min="3599" max="3599" width="8.28515625" style="16" customWidth="1"/>
    <col min="3600" max="3600" width="13.28515625" style="16" customWidth="1"/>
    <col min="3601" max="3601" width="11" style="16" customWidth="1"/>
    <col min="3602" max="3837" width="9.140625" style="16"/>
    <col min="3838" max="3838" width="3.7109375" style="16" customWidth="1"/>
    <col min="3839" max="3839" width="9.140625" style="16"/>
    <col min="3840" max="3840" width="27.7109375" style="16" customWidth="1"/>
    <col min="3841" max="3841" width="9.140625" style="16"/>
    <col min="3842" max="3843" width="12" style="16" customWidth="1"/>
    <col min="3844" max="3844" width="11.140625" style="16" customWidth="1"/>
    <col min="3845" max="3845" width="12" style="16" customWidth="1"/>
    <col min="3846" max="3846" width="11" style="16" customWidth="1"/>
    <col min="3847" max="3847" width="11.7109375" style="16" customWidth="1"/>
    <col min="3848" max="3848" width="8" style="16" customWidth="1"/>
    <col min="3849" max="3849" width="11.42578125" style="16" customWidth="1"/>
    <col min="3850" max="3851" width="12.7109375" style="16" customWidth="1"/>
    <col min="3852" max="3852" width="7.7109375" style="16" customWidth="1"/>
    <col min="3853" max="3853" width="12.28515625" style="16" customWidth="1"/>
    <col min="3854" max="3854" width="11.28515625" style="16" customWidth="1"/>
    <col min="3855" max="3855" width="8.28515625" style="16" customWidth="1"/>
    <col min="3856" max="3856" width="13.28515625" style="16" customWidth="1"/>
    <col min="3857" max="3857" width="11" style="16" customWidth="1"/>
    <col min="3858" max="4093" width="9.140625" style="16"/>
    <col min="4094" max="4094" width="3.7109375" style="16" customWidth="1"/>
    <col min="4095" max="4095" width="9.140625" style="16"/>
    <col min="4096" max="4096" width="27.7109375" style="16" customWidth="1"/>
    <col min="4097" max="4097" width="9.140625" style="16"/>
    <col min="4098" max="4099" width="12" style="16" customWidth="1"/>
    <col min="4100" max="4100" width="11.140625" style="16" customWidth="1"/>
    <col min="4101" max="4101" width="12" style="16" customWidth="1"/>
    <col min="4102" max="4102" width="11" style="16" customWidth="1"/>
    <col min="4103" max="4103" width="11.7109375" style="16" customWidth="1"/>
    <col min="4104" max="4104" width="8" style="16" customWidth="1"/>
    <col min="4105" max="4105" width="11.42578125" style="16" customWidth="1"/>
    <col min="4106" max="4107" width="12.7109375" style="16" customWidth="1"/>
    <col min="4108" max="4108" width="7.7109375" style="16" customWidth="1"/>
    <col min="4109" max="4109" width="12.28515625" style="16" customWidth="1"/>
    <col min="4110" max="4110" width="11.28515625" style="16" customWidth="1"/>
    <col min="4111" max="4111" width="8.28515625" style="16" customWidth="1"/>
    <col min="4112" max="4112" width="13.28515625" style="16" customWidth="1"/>
    <col min="4113" max="4113" width="11" style="16" customWidth="1"/>
    <col min="4114" max="4349" width="9.140625" style="16"/>
    <col min="4350" max="4350" width="3.7109375" style="16" customWidth="1"/>
    <col min="4351" max="4351" width="9.140625" style="16"/>
    <col min="4352" max="4352" width="27.7109375" style="16" customWidth="1"/>
    <col min="4353" max="4353" width="9.140625" style="16"/>
    <col min="4354" max="4355" width="12" style="16" customWidth="1"/>
    <col min="4356" max="4356" width="11.140625" style="16" customWidth="1"/>
    <col min="4357" max="4357" width="12" style="16" customWidth="1"/>
    <col min="4358" max="4358" width="11" style="16" customWidth="1"/>
    <col min="4359" max="4359" width="11.7109375" style="16" customWidth="1"/>
    <col min="4360" max="4360" width="8" style="16" customWidth="1"/>
    <col min="4361" max="4361" width="11.42578125" style="16" customWidth="1"/>
    <col min="4362" max="4363" width="12.7109375" style="16" customWidth="1"/>
    <col min="4364" max="4364" width="7.7109375" style="16" customWidth="1"/>
    <col min="4365" max="4365" width="12.28515625" style="16" customWidth="1"/>
    <col min="4366" max="4366" width="11.28515625" style="16" customWidth="1"/>
    <col min="4367" max="4367" width="8.28515625" style="16" customWidth="1"/>
    <col min="4368" max="4368" width="13.28515625" style="16" customWidth="1"/>
    <col min="4369" max="4369" width="11" style="16" customWidth="1"/>
    <col min="4370" max="4605" width="9.140625" style="16"/>
    <col min="4606" max="4606" width="3.7109375" style="16" customWidth="1"/>
    <col min="4607" max="4607" width="9.140625" style="16"/>
    <col min="4608" max="4608" width="27.7109375" style="16" customWidth="1"/>
    <col min="4609" max="4609" width="9.140625" style="16"/>
    <col min="4610" max="4611" width="12" style="16" customWidth="1"/>
    <col min="4612" max="4612" width="11.140625" style="16" customWidth="1"/>
    <col min="4613" max="4613" width="12" style="16" customWidth="1"/>
    <col min="4614" max="4614" width="11" style="16" customWidth="1"/>
    <col min="4615" max="4615" width="11.7109375" style="16" customWidth="1"/>
    <col min="4616" max="4616" width="8" style="16" customWidth="1"/>
    <col min="4617" max="4617" width="11.42578125" style="16" customWidth="1"/>
    <col min="4618" max="4619" width="12.7109375" style="16" customWidth="1"/>
    <col min="4620" max="4620" width="7.7109375" style="16" customWidth="1"/>
    <col min="4621" max="4621" width="12.28515625" style="16" customWidth="1"/>
    <col min="4622" max="4622" width="11.28515625" style="16" customWidth="1"/>
    <col min="4623" max="4623" width="8.28515625" style="16" customWidth="1"/>
    <col min="4624" max="4624" width="13.28515625" style="16" customWidth="1"/>
    <col min="4625" max="4625" width="11" style="16" customWidth="1"/>
    <col min="4626" max="4861" width="9.140625" style="16"/>
    <col min="4862" max="4862" width="3.7109375" style="16" customWidth="1"/>
    <col min="4863" max="4863" width="9.140625" style="16"/>
    <col min="4864" max="4864" width="27.7109375" style="16" customWidth="1"/>
    <col min="4865" max="4865" width="9.140625" style="16"/>
    <col min="4866" max="4867" width="12" style="16" customWidth="1"/>
    <col min="4868" max="4868" width="11.140625" style="16" customWidth="1"/>
    <col min="4869" max="4869" width="12" style="16" customWidth="1"/>
    <col min="4870" max="4870" width="11" style="16" customWidth="1"/>
    <col min="4871" max="4871" width="11.7109375" style="16" customWidth="1"/>
    <col min="4872" max="4872" width="8" style="16" customWidth="1"/>
    <col min="4873" max="4873" width="11.42578125" style="16" customWidth="1"/>
    <col min="4874" max="4875" width="12.7109375" style="16" customWidth="1"/>
    <col min="4876" max="4876" width="7.7109375" style="16" customWidth="1"/>
    <col min="4877" max="4877" width="12.28515625" style="16" customWidth="1"/>
    <col min="4878" max="4878" width="11.28515625" style="16" customWidth="1"/>
    <col min="4879" max="4879" width="8.28515625" style="16" customWidth="1"/>
    <col min="4880" max="4880" width="13.28515625" style="16" customWidth="1"/>
    <col min="4881" max="4881" width="11" style="16" customWidth="1"/>
    <col min="4882" max="5117" width="9.140625" style="16"/>
    <col min="5118" max="5118" width="3.7109375" style="16" customWidth="1"/>
    <col min="5119" max="5119" width="9.140625" style="16"/>
    <col min="5120" max="5120" width="27.7109375" style="16" customWidth="1"/>
    <col min="5121" max="5121" width="9.140625" style="16"/>
    <col min="5122" max="5123" width="12" style="16" customWidth="1"/>
    <col min="5124" max="5124" width="11.140625" style="16" customWidth="1"/>
    <col min="5125" max="5125" width="12" style="16" customWidth="1"/>
    <col min="5126" max="5126" width="11" style="16" customWidth="1"/>
    <col min="5127" max="5127" width="11.7109375" style="16" customWidth="1"/>
    <col min="5128" max="5128" width="8" style="16" customWidth="1"/>
    <col min="5129" max="5129" width="11.42578125" style="16" customWidth="1"/>
    <col min="5130" max="5131" width="12.7109375" style="16" customWidth="1"/>
    <col min="5132" max="5132" width="7.7109375" style="16" customWidth="1"/>
    <col min="5133" max="5133" width="12.28515625" style="16" customWidth="1"/>
    <col min="5134" max="5134" width="11.28515625" style="16" customWidth="1"/>
    <col min="5135" max="5135" width="8.28515625" style="16" customWidth="1"/>
    <col min="5136" max="5136" width="13.28515625" style="16" customWidth="1"/>
    <col min="5137" max="5137" width="11" style="16" customWidth="1"/>
    <col min="5138" max="5373" width="9.140625" style="16"/>
    <col min="5374" max="5374" width="3.7109375" style="16" customWidth="1"/>
    <col min="5375" max="5375" width="9.140625" style="16"/>
    <col min="5376" max="5376" width="27.7109375" style="16" customWidth="1"/>
    <col min="5377" max="5377" width="9.140625" style="16"/>
    <col min="5378" max="5379" width="12" style="16" customWidth="1"/>
    <col min="5380" max="5380" width="11.140625" style="16" customWidth="1"/>
    <col min="5381" max="5381" width="12" style="16" customWidth="1"/>
    <col min="5382" max="5382" width="11" style="16" customWidth="1"/>
    <col min="5383" max="5383" width="11.7109375" style="16" customWidth="1"/>
    <col min="5384" max="5384" width="8" style="16" customWidth="1"/>
    <col min="5385" max="5385" width="11.42578125" style="16" customWidth="1"/>
    <col min="5386" max="5387" width="12.7109375" style="16" customWidth="1"/>
    <col min="5388" max="5388" width="7.7109375" style="16" customWidth="1"/>
    <col min="5389" max="5389" width="12.28515625" style="16" customWidth="1"/>
    <col min="5390" max="5390" width="11.28515625" style="16" customWidth="1"/>
    <col min="5391" max="5391" width="8.28515625" style="16" customWidth="1"/>
    <col min="5392" max="5392" width="13.28515625" style="16" customWidth="1"/>
    <col min="5393" max="5393" width="11" style="16" customWidth="1"/>
    <col min="5394" max="5629" width="9.140625" style="16"/>
    <col min="5630" max="5630" width="3.7109375" style="16" customWidth="1"/>
    <col min="5631" max="5631" width="9.140625" style="16"/>
    <col min="5632" max="5632" width="27.7109375" style="16" customWidth="1"/>
    <col min="5633" max="5633" width="9.140625" style="16"/>
    <col min="5634" max="5635" width="12" style="16" customWidth="1"/>
    <col min="5636" max="5636" width="11.140625" style="16" customWidth="1"/>
    <col min="5637" max="5637" width="12" style="16" customWidth="1"/>
    <col min="5638" max="5638" width="11" style="16" customWidth="1"/>
    <col min="5639" max="5639" width="11.7109375" style="16" customWidth="1"/>
    <col min="5640" max="5640" width="8" style="16" customWidth="1"/>
    <col min="5641" max="5641" width="11.42578125" style="16" customWidth="1"/>
    <col min="5642" max="5643" width="12.7109375" style="16" customWidth="1"/>
    <col min="5644" max="5644" width="7.7109375" style="16" customWidth="1"/>
    <col min="5645" max="5645" width="12.28515625" style="16" customWidth="1"/>
    <col min="5646" max="5646" width="11.28515625" style="16" customWidth="1"/>
    <col min="5647" max="5647" width="8.28515625" style="16" customWidth="1"/>
    <col min="5648" max="5648" width="13.28515625" style="16" customWidth="1"/>
    <col min="5649" max="5649" width="11" style="16" customWidth="1"/>
    <col min="5650" max="5885" width="9.140625" style="16"/>
    <col min="5886" max="5886" width="3.7109375" style="16" customWidth="1"/>
    <col min="5887" max="5887" width="9.140625" style="16"/>
    <col min="5888" max="5888" width="27.7109375" style="16" customWidth="1"/>
    <col min="5889" max="5889" width="9.140625" style="16"/>
    <col min="5890" max="5891" width="12" style="16" customWidth="1"/>
    <col min="5892" max="5892" width="11.140625" style="16" customWidth="1"/>
    <col min="5893" max="5893" width="12" style="16" customWidth="1"/>
    <col min="5894" max="5894" width="11" style="16" customWidth="1"/>
    <col min="5895" max="5895" width="11.7109375" style="16" customWidth="1"/>
    <col min="5896" max="5896" width="8" style="16" customWidth="1"/>
    <col min="5897" max="5897" width="11.42578125" style="16" customWidth="1"/>
    <col min="5898" max="5899" width="12.7109375" style="16" customWidth="1"/>
    <col min="5900" max="5900" width="7.7109375" style="16" customWidth="1"/>
    <col min="5901" max="5901" width="12.28515625" style="16" customWidth="1"/>
    <col min="5902" max="5902" width="11.28515625" style="16" customWidth="1"/>
    <col min="5903" max="5903" width="8.28515625" style="16" customWidth="1"/>
    <col min="5904" max="5904" width="13.28515625" style="16" customWidth="1"/>
    <col min="5905" max="5905" width="11" style="16" customWidth="1"/>
    <col min="5906" max="6141" width="9.140625" style="16"/>
    <col min="6142" max="6142" width="3.7109375" style="16" customWidth="1"/>
    <col min="6143" max="6143" width="9.140625" style="16"/>
    <col min="6144" max="6144" width="27.7109375" style="16" customWidth="1"/>
    <col min="6145" max="6145" width="9.140625" style="16"/>
    <col min="6146" max="6147" width="12" style="16" customWidth="1"/>
    <col min="6148" max="6148" width="11.140625" style="16" customWidth="1"/>
    <col min="6149" max="6149" width="12" style="16" customWidth="1"/>
    <col min="6150" max="6150" width="11" style="16" customWidth="1"/>
    <col min="6151" max="6151" width="11.7109375" style="16" customWidth="1"/>
    <col min="6152" max="6152" width="8" style="16" customWidth="1"/>
    <col min="6153" max="6153" width="11.42578125" style="16" customWidth="1"/>
    <col min="6154" max="6155" width="12.7109375" style="16" customWidth="1"/>
    <col min="6156" max="6156" width="7.7109375" style="16" customWidth="1"/>
    <col min="6157" max="6157" width="12.28515625" style="16" customWidth="1"/>
    <col min="6158" max="6158" width="11.28515625" style="16" customWidth="1"/>
    <col min="6159" max="6159" width="8.28515625" style="16" customWidth="1"/>
    <col min="6160" max="6160" width="13.28515625" style="16" customWidth="1"/>
    <col min="6161" max="6161" width="11" style="16" customWidth="1"/>
    <col min="6162" max="6397" width="9.140625" style="16"/>
    <col min="6398" max="6398" width="3.7109375" style="16" customWidth="1"/>
    <col min="6399" max="6399" width="9.140625" style="16"/>
    <col min="6400" max="6400" width="27.7109375" style="16" customWidth="1"/>
    <col min="6401" max="6401" width="9.140625" style="16"/>
    <col min="6402" max="6403" width="12" style="16" customWidth="1"/>
    <col min="6404" max="6404" width="11.140625" style="16" customWidth="1"/>
    <col min="6405" max="6405" width="12" style="16" customWidth="1"/>
    <col min="6406" max="6406" width="11" style="16" customWidth="1"/>
    <col min="6407" max="6407" width="11.7109375" style="16" customWidth="1"/>
    <col min="6408" max="6408" width="8" style="16" customWidth="1"/>
    <col min="6409" max="6409" width="11.42578125" style="16" customWidth="1"/>
    <col min="6410" max="6411" width="12.7109375" style="16" customWidth="1"/>
    <col min="6412" max="6412" width="7.7109375" style="16" customWidth="1"/>
    <col min="6413" max="6413" width="12.28515625" style="16" customWidth="1"/>
    <col min="6414" max="6414" width="11.28515625" style="16" customWidth="1"/>
    <col min="6415" max="6415" width="8.28515625" style="16" customWidth="1"/>
    <col min="6416" max="6416" width="13.28515625" style="16" customWidth="1"/>
    <col min="6417" max="6417" width="11" style="16" customWidth="1"/>
    <col min="6418" max="6653" width="9.140625" style="16"/>
    <col min="6654" max="6654" width="3.7109375" style="16" customWidth="1"/>
    <col min="6655" max="6655" width="9.140625" style="16"/>
    <col min="6656" max="6656" width="27.7109375" style="16" customWidth="1"/>
    <col min="6657" max="6657" width="9.140625" style="16"/>
    <col min="6658" max="6659" width="12" style="16" customWidth="1"/>
    <col min="6660" max="6660" width="11.140625" style="16" customWidth="1"/>
    <col min="6661" max="6661" width="12" style="16" customWidth="1"/>
    <col min="6662" max="6662" width="11" style="16" customWidth="1"/>
    <col min="6663" max="6663" width="11.7109375" style="16" customWidth="1"/>
    <col min="6664" max="6664" width="8" style="16" customWidth="1"/>
    <col min="6665" max="6665" width="11.42578125" style="16" customWidth="1"/>
    <col min="6666" max="6667" width="12.7109375" style="16" customWidth="1"/>
    <col min="6668" max="6668" width="7.7109375" style="16" customWidth="1"/>
    <col min="6669" max="6669" width="12.28515625" style="16" customWidth="1"/>
    <col min="6670" max="6670" width="11.28515625" style="16" customWidth="1"/>
    <col min="6671" max="6671" width="8.28515625" style="16" customWidth="1"/>
    <col min="6672" max="6672" width="13.28515625" style="16" customWidth="1"/>
    <col min="6673" max="6673" width="11" style="16" customWidth="1"/>
    <col min="6674" max="6909" width="9.140625" style="16"/>
    <col min="6910" max="6910" width="3.7109375" style="16" customWidth="1"/>
    <col min="6911" max="6911" width="9.140625" style="16"/>
    <col min="6912" max="6912" width="27.7109375" style="16" customWidth="1"/>
    <col min="6913" max="6913" width="9.140625" style="16"/>
    <col min="6914" max="6915" width="12" style="16" customWidth="1"/>
    <col min="6916" max="6916" width="11.140625" style="16" customWidth="1"/>
    <col min="6917" max="6917" width="12" style="16" customWidth="1"/>
    <col min="6918" max="6918" width="11" style="16" customWidth="1"/>
    <col min="6919" max="6919" width="11.7109375" style="16" customWidth="1"/>
    <col min="6920" max="6920" width="8" style="16" customWidth="1"/>
    <col min="6921" max="6921" width="11.42578125" style="16" customWidth="1"/>
    <col min="6922" max="6923" width="12.7109375" style="16" customWidth="1"/>
    <col min="6924" max="6924" width="7.7109375" style="16" customWidth="1"/>
    <col min="6925" max="6925" width="12.28515625" style="16" customWidth="1"/>
    <col min="6926" max="6926" width="11.28515625" style="16" customWidth="1"/>
    <col min="6927" max="6927" width="8.28515625" style="16" customWidth="1"/>
    <col min="6928" max="6928" width="13.28515625" style="16" customWidth="1"/>
    <col min="6929" max="6929" width="11" style="16" customWidth="1"/>
    <col min="6930" max="7165" width="9.140625" style="16"/>
    <col min="7166" max="7166" width="3.7109375" style="16" customWidth="1"/>
    <col min="7167" max="7167" width="9.140625" style="16"/>
    <col min="7168" max="7168" width="27.7109375" style="16" customWidth="1"/>
    <col min="7169" max="7169" width="9.140625" style="16"/>
    <col min="7170" max="7171" width="12" style="16" customWidth="1"/>
    <col min="7172" max="7172" width="11.140625" style="16" customWidth="1"/>
    <col min="7173" max="7173" width="12" style="16" customWidth="1"/>
    <col min="7174" max="7174" width="11" style="16" customWidth="1"/>
    <col min="7175" max="7175" width="11.7109375" style="16" customWidth="1"/>
    <col min="7176" max="7176" width="8" style="16" customWidth="1"/>
    <col min="7177" max="7177" width="11.42578125" style="16" customWidth="1"/>
    <col min="7178" max="7179" width="12.7109375" style="16" customWidth="1"/>
    <col min="7180" max="7180" width="7.7109375" style="16" customWidth="1"/>
    <col min="7181" max="7181" width="12.28515625" style="16" customWidth="1"/>
    <col min="7182" max="7182" width="11.28515625" style="16" customWidth="1"/>
    <col min="7183" max="7183" width="8.28515625" style="16" customWidth="1"/>
    <col min="7184" max="7184" width="13.28515625" style="16" customWidth="1"/>
    <col min="7185" max="7185" width="11" style="16" customWidth="1"/>
    <col min="7186" max="7421" width="9.140625" style="16"/>
    <col min="7422" max="7422" width="3.7109375" style="16" customWidth="1"/>
    <col min="7423" max="7423" width="9.140625" style="16"/>
    <col min="7424" max="7424" width="27.7109375" style="16" customWidth="1"/>
    <col min="7425" max="7425" width="9.140625" style="16"/>
    <col min="7426" max="7427" width="12" style="16" customWidth="1"/>
    <col min="7428" max="7428" width="11.140625" style="16" customWidth="1"/>
    <col min="7429" max="7429" width="12" style="16" customWidth="1"/>
    <col min="7430" max="7430" width="11" style="16" customWidth="1"/>
    <col min="7431" max="7431" width="11.7109375" style="16" customWidth="1"/>
    <col min="7432" max="7432" width="8" style="16" customWidth="1"/>
    <col min="7433" max="7433" width="11.42578125" style="16" customWidth="1"/>
    <col min="7434" max="7435" width="12.7109375" style="16" customWidth="1"/>
    <col min="7436" max="7436" width="7.7109375" style="16" customWidth="1"/>
    <col min="7437" max="7437" width="12.28515625" style="16" customWidth="1"/>
    <col min="7438" max="7438" width="11.28515625" style="16" customWidth="1"/>
    <col min="7439" max="7439" width="8.28515625" style="16" customWidth="1"/>
    <col min="7440" max="7440" width="13.28515625" style="16" customWidth="1"/>
    <col min="7441" max="7441" width="11" style="16" customWidth="1"/>
    <col min="7442" max="7677" width="9.140625" style="16"/>
    <col min="7678" max="7678" width="3.7109375" style="16" customWidth="1"/>
    <col min="7679" max="7679" width="9.140625" style="16"/>
    <col min="7680" max="7680" width="27.7109375" style="16" customWidth="1"/>
    <col min="7681" max="7681" width="9.140625" style="16"/>
    <col min="7682" max="7683" width="12" style="16" customWidth="1"/>
    <col min="7684" max="7684" width="11.140625" style="16" customWidth="1"/>
    <col min="7685" max="7685" width="12" style="16" customWidth="1"/>
    <col min="7686" max="7686" width="11" style="16" customWidth="1"/>
    <col min="7687" max="7687" width="11.7109375" style="16" customWidth="1"/>
    <col min="7688" max="7688" width="8" style="16" customWidth="1"/>
    <col min="7689" max="7689" width="11.42578125" style="16" customWidth="1"/>
    <col min="7690" max="7691" width="12.7109375" style="16" customWidth="1"/>
    <col min="7692" max="7692" width="7.7109375" style="16" customWidth="1"/>
    <col min="7693" max="7693" width="12.28515625" style="16" customWidth="1"/>
    <col min="7694" max="7694" width="11.28515625" style="16" customWidth="1"/>
    <col min="7695" max="7695" width="8.28515625" style="16" customWidth="1"/>
    <col min="7696" max="7696" width="13.28515625" style="16" customWidth="1"/>
    <col min="7697" max="7697" width="11" style="16" customWidth="1"/>
    <col min="7698" max="7933" width="9.140625" style="16"/>
    <col min="7934" max="7934" width="3.7109375" style="16" customWidth="1"/>
    <col min="7935" max="7935" width="9.140625" style="16"/>
    <col min="7936" max="7936" width="27.7109375" style="16" customWidth="1"/>
    <col min="7937" max="7937" width="9.140625" style="16"/>
    <col min="7938" max="7939" width="12" style="16" customWidth="1"/>
    <col min="7940" max="7940" width="11.140625" style="16" customWidth="1"/>
    <col min="7941" max="7941" width="12" style="16" customWidth="1"/>
    <col min="7942" max="7942" width="11" style="16" customWidth="1"/>
    <col min="7943" max="7943" width="11.7109375" style="16" customWidth="1"/>
    <col min="7944" max="7944" width="8" style="16" customWidth="1"/>
    <col min="7945" max="7945" width="11.42578125" style="16" customWidth="1"/>
    <col min="7946" max="7947" width="12.7109375" style="16" customWidth="1"/>
    <col min="7948" max="7948" width="7.7109375" style="16" customWidth="1"/>
    <col min="7949" max="7949" width="12.28515625" style="16" customWidth="1"/>
    <col min="7950" max="7950" width="11.28515625" style="16" customWidth="1"/>
    <col min="7951" max="7951" width="8.28515625" style="16" customWidth="1"/>
    <col min="7952" max="7952" width="13.28515625" style="16" customWidth="1"/>
    <col min="7953" max="7953" width="11" style="16" customWidth="1"/>
    <col min="7954" max="8189" width="9.140625" style="16"/>
    <col min="8190" max="8190" width="3.7109375" style="16" customWidth="1"/>
    <col min="8191" max="8191" width="9.140625" style="16"/>
    <col min="8192" max="8192" width="27.7109375" style="16" customWidth="1"/>
    <col min="8193" max="8193" width="9.140625" style="16"/>
    <col min="8194" max="8195" width="12" style="16" customWidth="1"/>
    <col min="8196" max="8196" width="11.140625" style="16" customWidth="1"/>
    <col min="8197" max="8197" width="12" style="16" customWidth="1"/>
    <col min="8198" max="8198" width="11" style="16" customWidth="1"/>
    <col min="8199" max="8199" width="11.7109375" style="16" customWidth="1"/>
    <col min="8200" max="8200" width="8" style="16" customWidth="1"/>
    <col min="8201" max="8201" width="11.42578125" style="16" customWidth="1"/>
    <col min="8202" max="8203" width="12.7109375" style="16" customWidth="1"/>
    <col min="8204" max="8204" width="7.7109375" style="16" customWidth="1"/>
    <col min="8205" max="8205" width="12.28515625" style="16" customWidth="1"/>
    <col min="8206" max="8206" width="11.28515625" style="16" customWidth="1"/>
    <col min="8207" max="8207" width="8.28515625" style="16" customWidth="1"/>
    <col min="8208" max="8208" width="13.28515625" style="16" customWidth="1"/>
    <col min="8209" max="8209" width="11" style="16" customWidth="1"/>
    <col min="8210" max="8445" width="9.140625" style="16"/>
    <col min="8446" max="8446" width="3.7109375" style="16" customWidth="1"/>
    <col min="8447" max="8447" width="9.140625" style="16"/>
    <col min="8448" max="8448" width="27.7109375" style="16" customWidth="1"/>
    <col min="8449" max="8449" width="9.140625" style="16"/>
    <col min="8450" max="8451" width="12" style="16" customWidth="1"/>
    <col min="8452" max="8452" width="11.140625" style="16" customWidth="1"/>
    <col min="8453" max="8453" width="12" style="16" customWidth="1"/>
    <col min="8454" max="8454" width="11" style="16" customWidth="1"/>
    <col min="8455" max="8455" width="11.7109375" style="16" customWidth="1"/>
    <col min="8456" max="8456" width="8" style="16" customWidth="1"/>
    <col min="8457" max="8457" width="11.42578125" style="16" customWidth="1"/>
    <col min="8458" max="8459" width="12.7109375" style="16" customWidth="1"/>
    <col min="8460" max="8460" width="7.7109375" style="16" customWidth="1"/>
    <col min="8461" max="8461" width="12.28515625" style="16" customWidth="1"/>
    <col min="8462" max="8462" width="11.28515625" style="16" customWidth="1"/>
    <col min="8463" max="8463" width="8.28515625" style="16" customWidth="1"/>
    <col min="8464" max="8464" width="13.28515625" style="16" customWidth="1"/>
    <col min="8465" max="8465" width="11" style="16" customWidth="1"/>
    <col min="8466" max="8701" width="9.140625" style="16"/>
    <col min="8702" max="8702" width="3.7109375" style="16" customWidth="1"/>
    <col min="8703" max="8703" width="9.140625" style="16"/>
    <col min="8704" max="8704" width="27.7109375" style="16" customWidth="1"/>
    <col min="8705" max="8705" width="9.140625" style="16"/>
    <col min="8706" max="8707" width="12" style="16" customWidth="1"/>
    <col min="8708" max="8708" width="11.140625" style="16" customWidth="1"/>
    <col min="8709" max="8709" width="12" style="16" customWidth="1"/>
    <col min="8710" max="8710" width="11" style="16" customWidth="1"/>
    <col min="8711" max="8711" width="11.7109375" style="16" customWidth="1"/>
    <col min="8712" max="8712" width="8" style="16" customWidth="1"/>
    <col min="8713" max="8713" width="11.42578125" style="16" customWidth="1"/>
    <col min="8714" max="8715" width="12.7109375" style="16" customWidth="1"/>
    <col min="8716" max="8716" width="7.7109375" style="16" customWidth="1"/>
    <col min="8717" max="8717" width="12.28515625" style="16" customWidth="1"/>
    <col min="8718" max="8718" width="11.28515625" style="16" customWidth="1"/>
    <col min="8719" max="8719" width="8.28515625" style="16" customWidth="1"/>
    <col min="8720" max="8720" width="13.28515625" style="16" customWidth="1"/>
    <col min="8721" max="8721" width="11" style="16" customWidth="1"/>
    <col min="8722" max="8957" width="9.140625" style="16"/>
    <col min="8958" max="8958" width="3.7109375" style="16" customWidth="1"/>
    <col min="8959" max="8959" width="9.140625" style="16"/>
    <col min="8960" max="8960" width="27.7109375" style="16" customWidth="1"/>
    <col min="8961" max="8961" width="9.140625" style="16"/>
    <col min="8962" max="8963" width="12" style="16" customWidth="1"/>
    <col min="8964" max="8964" width="11.140625" style="16" customWidth="1"/>
    <col min="8965" max="8965" width="12" style="16" customWidth="1"/>
    <col min="8966" max="8966" width="11" style="16" customWidth="1"/>
    <col min="8967" max="8967" width="11.7109375" style="16" customWidth="1"/>
    <col min="8968" max="8968" width="8" style="16" customWidth="1"/>
    <col min="8969" max="8969" width="11.42578125" style="16" customWidth="1"/>
    <col min="8970" max="8971" width="12.7109375" style="16" customWidth="1"/>
    <col min="8972" max="8972" width="7.7109375" style="16" customWidth="1"/>
    <col min="8973" max="8973" width="12.28515625" style="16" customWidth="1"/>
    <col min="8974" max="8974" width="11.28515625" style="16" customWidth="1"/>
    <col min="8975" max="8975" width="8.28515625" style="16" customWidth="1"/>
    <col min="8976" max="8976" width="13.28515625" style="16" customWidth="1"/>
    <col min="8977" max="8977" width="11" style="16" customWidth="1"/>
    <col min="8978" max="9213" width="9.140625" style="16"/>
    <col min="9214" max="9214" width="3.7109375" style="16" customWidth="1"/>
    <col min="9215" max="9215" width="9.140625" style="16"/>
    <col min="9216" max="9216" width="27.7109375" style="16" customWidth="1"/>
    <col min="9217" max="9217" width="9.140625" style="16"/>
    <col min="9218" max="9219" width="12" style="16" customWidth="1"/>
    <col min="9220" max="9220" width="11.140625" style="16" customWidth="1"/>
    <col min="9221" max="9221" width="12" style="16" customWidth="1"/>
    <col min="9222" max="9222" width="11" style="16" customWidth="1"/>
    <col min="9223" max="9223" width="11.7109375" style="16" customWidth="1"/>
    <col min="9224" max="9224" width="8" style="16" customWidth="1"/>
    <col min="9225" max="9225" width="11.42578125" style="16" customWidth="1"/>
    <col min="9226" max="9227" width="12.7109375" style="16" customWidth="1"/>
    <col min="9228" max="9228" width="7.7109375" style="16" customWidth="1"/>
    <col min="9229" max="9229" width="12.28515625" style="16" customWidth="1"/>
    <col min="9230" max="9230" width="11.28515625" style="16" customWidth="1"/>
    <col min="9231" max="9231" width="8.28515625" style="16" customWidth="1"/>
    <col min="9232" max="9232" width="13.28515625" style="16" customWidth="1"/>
    <col min="9233" max="9233" width="11" style="16" customWidth="1"/>
    <col min="9234" max="9469" width="9.140625" style="16"/>
    <col min="9470" max="9470" width="3.7109375" style="16" customWidth="1"/>
    <col min="9471" max="9471" width="9.140625" style="16"/>
    <col min="9472" max="9472" width="27.7109375" style="16" customWidth="1"/>
    <col min="9473" max="9473" width="9.140625" style="16"/>
    <col min="9474" max="9475" width="12" style="16" customWidth="1"/>
    <col min="9476" max="9476" width="11.140625" style="16" customWidth="1"/>
    <col min="9477" max="9477" width="12" style="16" customWidth="1"/>
    <col min="9478" max="9478" width="11" style="16" customWidth="1"/>
    <col min="9479" max="9479" width="11.7109375" style="16" customWidth="1"/>
    <col min="9480" max="9480" width="8" style="16" customWidth="1"/>
    <col min="9481" max="9481" width="11.42578125" style="16" customWidth="1"/>
    <col min="9482" max="9483" width="12.7109375" style="16" customWidth="1"/>
    <col min="9484" max="9484" width="7.7109375" style="16" customWidth="1"/>
    <col min="9485" max="9485" width="12.28515625" style="16" customWidth="1"/>
    <col min="9486" max="9486" width="11.28515625" style="16" customWidth="1"/>
    <col min="9487" max="9487" width="8.28515625" style="16" customWidth="1"/>
    <col min="9488" max="9488" width="13.28515625" style="16" customWidth="1"/>
    <col min="9489" max="9489" width="11" style="16" customWidth="1"/>
    <col min="9490" max="9725" width="9.140625" style="16"/>
    <col min="9726" max="9726" width="3.7109375" style="16" customWidth="1"/>
    <col min="9727" max="9727" width="9.140625" style="16"/>
    <col min="9728" max="9728" width="27.7109375" style="16" customWidth="1"/>
    <col min="9729" max="9729" width="9.140625" style="16"/>
    <col min="9730" max="9731" width="12" style="16" customWidth="1"/>
    <col min="9732" max="9732" width="11.140625" style="16" customWidth="1"/>
    <col min="9733" max="9733" width="12" style="16" customWidth="1"/>
    <col min="9734" max="9734" width="11" style="16" customWidth="1"/>
    <col min="9735" max="9735" width="11.7109375" style="16" customWidth="1"/>
    <col min="9736" max="9736" width="8" style="16" customWidth="1"/>
    <col min="9737" max="9737" width="11.42578125" style="16" customWidth="1"/>
    <col min="9738" max="9739" width="12.7109375" style="16" customWidth="1"/>
    <col min="9740" max="9740" width="7.7109375" style="16" customWidth="1"/>
    <col min="9741" max="9741" width="12.28515625" style="16" customWidth="1"/>
    <col min="9742" max="9742" width="11.28515625" style="16" customWidth="1"/>
    <col min="9743" max="9743" width="8.28515625" style="16" customWidth="1"/>
    <col min="9744" max="9744" width="13.28515625" style="16" customWidth="1"/>
    <col min="9745" max="9745" width="11" style="16" customWidth="1"/>
    <col min="9746" max="9981" width="9.140625" style="16"/>
    <col min="9982" max="9982" width="3.7109375" style="16" customWidth="1"/>
    <col min="9983" max="9983" width="9.140625" style="16"/>
    <col min="9984" max="9984" width="27.7109375" style="16" customWidth="1"/>
    <col min="9985" max="9985" width="9.140625" style="16"/>
    <col min="9986" max="9987" width="12" style="16" customWidth="1"/>
    <col min="9988" max="9988" width="11.140625" style="16" customWidth="1"/>
    <col min="9989" max="9989" width="12" style="16" customWidth="1"/>
    <col min="9990" max="9990" width="11" style="16" customWidth="1"/>
    <col min="9991" max="9991" width="11.7109375" style="16" customWidth="1"/>
    <col min="9992" max="9992" width="8" style="16" customWidth="1"/>
    <col min="9993" max="9993" width="11.42578125" style="16" customWidth="1"/>
    <col min="9994" max="9995" width="12.7109375" style="16" customWidth="1"/>
    <col min="9996" max="9996" width="7.7109375" style="16" customWidth="1"/>
    <col min="9997" max="9997" width="12.28515625" style="16" customWidth="1"/>
    <col min="9998" max="9998" width="11.28515625" style="16" customWidth="1"/>
    <col min="9999" max="9999" width="8.28515625" style="16" customWidth="1"/>
    <col min="10000" max="10000" width="13.28515625" style="16" customWidth="1"/>
    <col min="10001" max="10001" width="11" style="16" customWidth="1"/>
    <col min="10002" max="10237" width="9.140625" style="16"/>
    <col min="10238" max="10238" width="3.7109375" style="16" customWidth="1"/>
    <col min="10239" max="10239" width="9.140625" style="16"/>
    <col min="10240" max="10240" width="27.7109375" style="16" customWidth="1"/>
    <col min="10241" max="10241" width="9.140625" style="16"/>
    <col min="10242" max="10243" width="12" style="16" customWidth="1"/>
    <col min="10244" max="10244" width="11.140625" style="16" customWidth="1"/>
    <col min="10245" max="10245" width="12" style="16" customWidth="1"/>
    <col min="10246" max="10246" width="11" style="16" customWidth="1"/>
    <col min="10247" max="10247" width="11.7109375" style="16" customWidth="1"/>
    <col min="10248" max="10248" width="8" style="16" customWidth="1"/>
    <col min="10249" max="10249" width="11.42578125" style="16" customWidth="1"/>
    <col min="10250" max="10251" width="12.7109375" style="16" customWidth="1"/>
    <col min="10252" max="10252" width="7.7109375" style="16" customWidth="1"/>
    <col min="10253" max="10253" width="12.28515625" style="16" customWidth="1"/>
    <col min="10254" max="10254" width="11.28515625" style="16" customWidth="1"/>
    <col min="10255" max="10255" width="8.28515625" style="16" customWidth="1"/>
    <col min="10256" max="10256" width="13.28515625" style="16" customWidth="1"/>
    <col min="10257" max="10257" width="11" style="16" customWidth="1"/>
    <col min="10258" max="10493" width="9.140625" style="16"/>
    <col min="10494" max="10494" width="3.7109375" style="16" customWidth="1"/>
    <col min="10495" max="10495" width="9.140625" style="16"/>
    <col min="10496" max="10496" width="27.7109375" style="16" customWidth="1"/>
    <col min="10497" max="10497" width="9.140625" style="16"/>
    <col min="10498" max="10499" width="12" style="16" customWidth="1"/>
    <col min="10500" max="10500" width="11.140625" style="16" customWidth="1"/>
    <col min="10501" max="10501" width="12" style="16" customWidth="1"/>
    <col min="10502" max="10502" width="11" style="16" customWidth="1"/>
    <col min="10503" max="10503" width="11.7109375" style="16" customWidth="1"/>
    <col min="10504" max="10504" width="8" style="16" customWidth="1"/>
    <col min="10505" max="10505" width="11.42578125" style="16" customWidth="1"/>
    <col min="10506" max="10507" width="12.7109375" style="16" customWidth="1"/>
    <col min="10508" max="10508" width="7.7109375" style="16" customWidth="1"/>
    <col min="10509" max="10509" width="12.28515625" style="16" customWidth="1"/>
    <col min="10510" max="10510" width="11.28515625" style="16" customWidth="1"/>
    <col min="10511" max="10511" width="8.28515625" style="16" customWidth="1"/>
    <col min="10512" max="10512" width="13.28515625" style="16" customWidth="1"/>
    <col min="10513" max="10513" width="11" style="16" customWidth="1"/>
    <col min="10514" max="10749" width="9.140625" style="16"/>
    <col min="10750" max="10750" width="3.7109375" style="16" customWidth="1"/>
    <col min="10751" max="10751" width="9.140625" style="16"/>
    <col min="10752" max="10752" width="27.7109375" style="16" customWidth="1"/>
    <col min="10753" max="10753" width="9.140625" style="16"/>
    <col min="10754" max="10755" width="12" style="16" customWidth="1"/>
    <col min="10756" max="10756" width="11.140625" style="16" customWidth="1"/>
    <col min="10757" max="10757" width="12" style="16" customWidth="1"/>
    <col min="10758" max="10758" width="11" style="16" customWidth="1"/>
    <col min="10759" max="10759" width="11.7109375" style="16" customWidth="1"/>
    <col min="10760" max="10760" width="8" style="16" customWidth="1"/>
    <col min="10761" max="10761" width="11.42578125" style="16" customWidth="1"/>
    <col min="10762" max="10763" width="12.7109375" style="16" customWidth="1"/>
    <col min="10764" max="10764" width="7.7109375" style="16" customWidth="1"/>
    <col min="10765" max="10765" width="12.28515625" style="16" customWidth="1"/>
    <col min="10766" max="10766" width="11.28515625" style="16" customWidth="1"/>
    <col min="10767" max="10767" width="8.28515625" style="16" customWidth="1"/>
    <col min="10768" max="10768" width="13.28515625" style="16" customWidth="1"/>
    <col min="10769" max="10769" width="11" style="16" customWidth="1"/>
    <col min="10770" max="11005" width="9.140625" style="16"/>
    <col min="11006" max="11006" width="3.7109375" style="16" customWidth="1"/>
    <col min="11007" max="11007" width="9.140625" style="16"/>
    <col min="11008" max="11008" width="27.7109375" style="16" customWidth="1"/>
    <col min="11009" max="11009" width="9.140625" style="16"/>
    <col min="11010" max="11011" width="12" style="16" customWidth="1"/>
    <col min="11012" max="11012" width="11.140625" style="16" customWidth="1"/>
    <col min="11013" max="11013" width="12" style="16" customWidth="1"/>
    <col min="11014" max="11014" width="11" style="16" customWidth="1"/>
    <col min="11015" max="11015" width="11.7109375" style="16" customWidth="1"/>
    <col min="11016" max="11016" width="8" style="16" customWidth="1"/>
    <col min="11017" max="11017" width="11.42578125" style="16" customWidth="1"/>
    <col min="11018" max="11019" width="12.7109375" style="16" customWidth="1"/>
    <col min="11020" max="11020" width="7.7109375" style="16" customWidth="1"/>
    <col min="11021" max="11021" width="12.28515625" style="16" customWidth="1"/>
    <col min="11022" max="11022" width="11.28515625" style="16" customWidth="1"/>
    <col min="11023" max="11023" width="8.28515625" style="16" customWidth="1"/>
    <col min="11024" max="11024" width="13.28515625" style="16" customWidth="1"/>
    <col min="11025" max="11025" width="11" style="16" customWidth="1"/>
    <col min="11026" max="11261" width="9.140625" style="16"/>
    <col min="11262" max="11262" width="3.7109375" style="16" customWidth="1"/>
    <col min="11263" max="11263" width="9.140625" style="16"/>
    <col min="11264" max="11264" width="27.7109375" style="16" customWidth="1"/>
    <col min="11265" max="11265" width="9.140625" style="16"/>
    <col min="11266" max="11267" width="12" style="16" customWidth="1"/>
    <col min="11268" max="11268" width="11.140625" style="16" customWidth="1"/>
    <col min="11269" max="11269" width="12" style="16" customWidth="1"/>
    <col min="11270" max="11270" width="11" style="16" customWidth="1"/>
    <col min="11271" max="11271" width="11.7109375" style="16" customWidth="1"/>
    <col min="11272" max="11272" width="8" style="16" customWidth="1"/>
    <col min="11273" max="11273" width="11.42578125" style="16" customWidth="1"/>
    <col min="11274" max="11275" width="12.7109375" style="16" customWidth="1"/>
    <col min="11276" max="11276" width="7.7109375" style="16" customWidth="1"/>
    <col min="11277" max="11277" width="12.28515625" style="16" customWidth="1"/>
    <col min="11278" max="11278" width="11.28515625" style="16" customWidth="1"/>
    <col min="11279" max="11279" width="8.28515625" style="16" customWidth="1"/>
    <col min="11280" max="11280" width="13.28515625" style="16" customWidth="1"/>
    <col min="11281" max="11281" width="11" style="16" customWidth="1"/>
    <col min="11282" max="11517" width="9.140625" style="16"/>
    <col min="11518" max="11518" width="3.7109375" style="16" customWidth="1"/>
    <col min="11519" max="11519" width="9.140625" style="16"/>
    <col min="11520" max="11520" width="27.7109375" style="16" customWidth="1"/>
    <col min="11521" max="11521" width="9.140625" style="16"/>
    <col min="11522" max="11523" width="12" style="16" customWidth="1"/>
    <col min="11524" max="11524" width="11.140625" style="16" customWidth="1"/>
    <col min="11525" max="11525" width="12" style="16" customWidth="1"/>
    <col min="11526" max="11526" width="11" style="16" customWidth="1"/>
    <col min="11527" max="11527" width="11.7109375" style="16" customWidth="1"/>
    <col min="11528" max="11528" width="8" style="16" customWidth="1"/>
    <col min="11529" max="11529" width="11.42578125" style="16" customWidth="1"/>
    <col min="11530" max="11531" width="12.7109375" style="16" customWidth="1"/>
    <col min="11532" max="11532" width="7.7109375" style="16" customWidth="1"/>
    <col min="11533" max="11533" width="12.28515625" style="16" customWidth="1"/>
    <col min="11534" max="11534" width="11.28515625" style="16" customWidth="1"/>
    <col min="11535" max="11535" width="8.28515625" style="16" customWidth="1"/>
    <col min="11536" max="11536" width="13.28515625" style="16" customWidth="1"/>
    <col min="11537" max="11537" width="11" style="16" customWidth="1"/>
    <col min="11538" max="11773" width="9.140625" style="16"/>
    <col min="11774" max="11774" width="3.7109375" style="16" customWidth="1"/>
    <col min="11775" max="11775" width="9.140625" style="16"/>
    <col min="11776" max="11776" width="27.7109375" style="16" customWidth="1"/>
    <col min="11777" max="11777" width="9.140625" style="16"/>
    <col min="11778" max="11779" width="12" style="16" customWidth="1"/>
    <col min="11780" max="11780" width="11.140625" style="16" customWidth="1"/>
    <col min="11781" max="11781" width="12" style="16" customWidth="1"/>
    <col min="11782" max="11782" width="11" style="16" customWidth="1"/>
    <col min="11783" max="11783" width="11.7109375" style="16" customWidth="1"/>
    <col min="11784" max="11784" width="8" style="16" customWidth="1"/>
    <col min="11785" max="11785" width="11.42578125" style="16" customWidth="1"/>
    <col min="11786" max="11787" width="12.7109375" style="16" customWidth="1"/>
    <col min="11788" max="11788" width="7.7109375" style="16" customWidth="1"/>
    <col min="11789" max="11789" width="12.28515625" style="16" customWidth="1"/>
    <col min="11790" max="11790" width="11.28515625" style="16" customWidth="1"/>
    <col min="11791" max="11791" width="8.28515625" style="16" customWidth="1"/>
    <col min="11792" max="11792" width="13.28515625" style="16" customWidth="1"/>
    <col min="11793" max="11793" width="11" style="16" customWidth="1"/>
    <col min="11794" max="12029" width="9.140625" style="16"/>
    <col min="12030" max="12030" width="3.7109375" style="16" customWidth="1"/>
    <col min="12031" max="12031" width="9.140625" style="16"/>
    <col min="12032" max="12032" width="27.7109375" style="16" customWidth="1"/>
    <col min="12033" max="12033" width="9.140625" style="16"/>
    <col min="12034" max="12035" width="12" style="16" customWidth="1"/>
    <col min="12036" max="12036" width="11.140625" style="16" customWidth="1"/>
    <col min="12037" max="12037" width="12" style="16" customWidth="1"/>
    <col min="12038" max="12038" width="11" style="16" customWidth="1"/>
    <col min="12039" max="12039" width="11.7109375" style="16" customWidth="1"/>
    <col min="12040" max="12040" width="8" style="16" customWidth="1"/>
    <col min="12041" max="12041" width="11.42578125" style="16" customWidth="1"/>
    <col min="12042" max="12043" width="12.7109375" style="16" customWidth="1"/>
    <col min="12044" max="12044" width="7.7109375" style="16" customWidth="1"/>
    <col min="12045" max="12045" width="12.28515625" style="16" customWidth="1"/>
    <col min="12046" max="12046" width="11.28515625" style="16" customWidth="1"/>
    <col min="12047" max="12047" width="8.28515625" style="16" customWidth="1"/>
    <col min="12048" max="12048" width="13.28515625" style="16" customWidth="1"/>
    <col min="12049" max="12049" width="11" style="16" customWidth="1"/>
    <col min="12050" max="12285" width="9.140625" style="16"/>
    <col min="12286" max="12286" width="3.7109375" style="16" customWidth="1"/>
    <col min="12287" max="12287" width="9.140625" style="16"/>
    <col min="12288" max="12288" width="27.7109375" style="16" customWidth="1"/>
    <col min="12289" max="12289" width="9.140625" style="16"/>
    <col min="12290" max="12291" width="12" style="16" customWidth="1"/>
    <col min="12292" max="12292" width="11.140625" style="16" customWidth="1"/>
    <col min="12293" max="12293" width="12" style="16" customWidth="1"/>
    <col min="12294" max="12294" width="11" style="16" customWidth="1"/>
    <col min="12295" max="12295" width="11.7109375" style="16" customWidth="1"/>
    <col min="12296" max="12296" width="8" style="16" customWidth="1"/>
    <col min="12297" max="12297" width="11.42578125" style="16" customWidth="1"/>
    <col min="12298" max="12299" width="12.7109375" style="16" customWidth="1"/>
    <col min="12300" max="12300" width="7.7109375" style="16" customWidth="1"/>
    <col min="12301" max="12301" width="12.28515625" style="16" customWidth="1"/>
    <col min="12302" max="12302" width="11.28515625" style="16" customWidth="1"/>
    <col min="12303" max="12303" width="8.28515625" style="16" customWidth="1"/>
    <col min="12304" max="12304" width="13.28515625" style="16" customWidth="1"/>
    <col min="12305" max="12305" width="11" style="16" customWidth="1"/>
    <col min="12306" max="12541" width="9.140625" style="16"/>
    <col min="12542" max="12542" width="3.7109375" style="16" customWidth="1"/>
    <col min="12543" max="12543" width="9.140625" style="16"/>
    <col min="12544" max="12544" width="27.7109375" style="16" customWidth="1"/>
    <col min="12545" max="12545" width="9.140625" style="16"/>
    <col min="12546" max="12547" width="12" style="16" customWidth="1"/>
    <col min="12548" max="12548" width="11.140625" style="16" customWidth="1"/>
    <col min="12549" max="12549" width="12" style="16" customWidth="1"/>
    <col min="12550" max="12550" width="11" style="16" customWidth="1"/>
    <col min="12551" max="12551" width="11.7109375" style="16" customWidth="1"/>
    <col min="12552" max="12552" width="8" style="16" customWidth="1"/>
    <col min="12553" max="12553" width="11.42578125" style="16" customWidth="1"/>
    <col min="12554" max="12555" width="12.7109375" style="16" customWidth="1"/>
    <col min="12556" max="12556" width="7.7109375" style="16" customWidth="1"/>
    <col min="12557" max="12557" width="12.28515625" style="16" customWidth="1"/>
    <col min="12558" max="12558" width="11.28515625" style="16" customWidth="1"/>
    <col min="12559" max="12559" width="8.28515625" style="16" customWidth="1"/>
    <col min="12560" max="12560" width="13.28515625" style="16" customWidth="1"/>
    <col min="12561" max="12561" width="11" style="16" customWidth="1"/>
    <col min="12562" max="12797" width="9.140625" style="16"/>
    <col min="12798" max="12798" width="3.7109375" style="16" customWidth="1"/>
    <col min="12799" max="12799" width="9.140625" style="16"/>
    <col min="12800" max="12800" width="27.7109375" style="16" customWidth="1"/>
    <col min="12801" max="12801" width="9.140625" style="16"/>
    <col min="12802" max="12803" width="12" style="16" customWidth="1"/>
    <col min="12804" max="12804" width="11.140625" style="16" customWidth="1"/>
    <col min="12805" max="12805" width="12" style="16" customWidth="1"/>
    <col min="12806" max="12806" width="11" style="16" customWidth="1"/>
    <col min="12807" max="12807" width="11.7109375" style="16" customWidth="1"/>
    <col min="12808" max="12808" width="8" style="16" customWidth="1"/>
    <col min="12809" max="12809" width="11.42578125" style="16" customWidth="1"/>
    <col min="12810" max="12811" width="12.7109375" style="16" customWidth="1"/>
    <col min="12812" max="12812" width="7.7109375" style="16" customWidth="1"/>
    <col min="12813" max="12813" width="12.28515625" style="16" customWidth="1"/>
    <col min="12814" max="12814" width="11.28515625" style="16" customWidth="1"/>
    <col min="12815" max="12815" width="8.28515625" style="16" customWidth="1"/>
    <col min="12816" max="12816" width="13.28515625" style="16" customWidth="1"/>
    <col min="12817" max="12817" width="11" style="16" customWidth="1"/>
    <col min="12818" max="13053" width="9.140625" style="16"/>
    <col min="13054" max="13054" width="3.7109375" style="16" customWidth="1"/>
    <col min="13055" max="13055" width="9.140625" style="16"/>
    <col min="13056" max="13056" width="27.7109375" style="16" customWidth="1"/>
    <col min="13057" max="13057" width="9.140625" style="16"/>
    <col min="13058" max="13059" width="12" style="16" customWidth="1"/>
    <col min="13060" max="13060" width="11.140625" style="16" customWidth="1"/>
    <col min="13061" max="13061" width="12" style="16" customWidth="1"/>
    <col min="13062" max="13062" width="11" style="16" customWidth="1"/>
    <col min="13063" max="13063" width="11.7109375" style="16" customWidth="1"/>
    <col min="13064" max="13064" width="8" style="16" customWidth="1"/>
    <col min="13065" max="13065" width="11.42578125" style="16" customWidth="1"/>
    <col min="13066" max="13067" width="12.7109375" style="16" customWidth="1"/>
    <col min="13068" max="13068" width="7.7109375" style="16" customWidth="1"/>
    <col min="13069" max="13069" width="12.28515625" style="16" customWidth="1"/>
    <col min="13070" max="13070" width="11.28515625" style="16" customWidth="1"/>
    <col min="13071" max="13071" width="8.28515625" style="16" customWidth="1"/>
    <col min="13072" max="13072" width="13.28515625" style="16" customWidth="1"/>
    <col min="13073" max="13073" width="11" style="16" customWidth="1"/>
    <col min="13074" max="13309" width="9.140625" style="16"/>
    <col min="13310" max="13310" width="3.7109375" style="16" customWidth="1"/>
    <col min="13311" max="13311" width="9.140625" style="16"/>
    <col min="13312" max="13312" width="27.7109375" style="16" customWidth="1"/>
    <col min="13313" max="13313" width="9.140625" style="16"/>
    <col min="13314" max="13315" width="12" style="16" customWidth="1"/>
    <col min="13316" max="13316" width="11.140625" style="16" customWidth="1"/>
    <col min="13317" max="13317" width="12" style="16" customWidth="1"/>
    <col min="13318" max="13318" width="11" style="16" customWidth="1"/>
    <col min="13319" max="13319" width="11.7109375" style="16" customWidth="1"/>
    <col min="13320" max="13320" width="8" style="16" customWidth="1"/>
    <col min="13321" max="13321" width="11.42578125" style="16" customWidth="1"/>
    <col min="13322" max="13323" width="12.7109375" style="16" customWidth="1"/>
    <col min="13324" max="13324" width="7.7109375" style="16" customWidth="1"/>
    <col min="13325" max="13325" width="12.28515625" style="16" customWidth="1"/>
    <col min="13326" max="13326" width="11.28515625" style="16" customWidth="1"/>
    <col min="13327" max="13327" width="8.28515625" style="16" customWidth="1"/>
    <col min="13328" max="13328" width="13.28515625" style="16" customWidth="1"/>
    <col min="13329" max="13329" width="11" style="16" customWidth="1"/>
    <col min="13330" max="13565" width="9.140625" style="16"/>
    <col min="13566" max="13566" width="3.7109375" style="16" customWidth="1"/>
    <col min="13567" max="13567" width="9.140625" style="16"/>
    <col min="13568" max="13568" width="27.7109375" style="16" customWidth="1"/>
    <col min="13569" max="13569" width="9.140625" style="16"/>
    <col min="13570" max="13571" width="12" style="16" customWidth="1"/>
    <col min="13572" max="13572" width="11.140625" style="16" customWidth="1"/>
    <col min="13573" max="13573" width="12" style="16" customWidth="1"/>
    <col min="13574" max="13574" width="11" style="16" customWidth="1"/>
    <col min="13575" max="13575" width="11.7109375" style="16" customWidth="1"/>
    <col min="13576" max="13576" width="8" style="16" customWidth="1"/>
    <col min="13577" max="13577" width="11.42578125" style="16" customWidth="1"/>
    <col min="13578" max="13579" width="12.7109375" style="16" customWidth="1"/>
    <col min="13580" max="13580" width="7.7109375" style="16" customWidth="1"/>
    <col min="13581" max="13581" width="12.28515625" style="16" customWidth="1"/>
    <col min="13582" max="13582" width="11.28515625" style="16" customWidth="1"/>
    <col min="13583" max="13583" width="8.28515625" style="16" customWidth="1"/>
    <col min="13584" max="13584" width="13.28515625" style="16" customWidth="1"/>
    <col min="13585" max="13585" width="11" style="16" customWidth="1"/>
    <col min="13586" max="13821" width="9.140625" style="16"/>
    <col min="13822" max="13822" width="3.7109375" style="16" customWidth="1"/>
    <col min="13823" max="13823" width="9.140625" style="16"/>
    <col min="13824" max="13824" width="27.7109375" style="16" customWidth="1"/>
    <col min="13825" max="13825" width="9.140625" style="16"/>
    <col min="13826" max="13827" width="12" style="16" customWidth="1"/>
    <col min="13828" max="13828" width="11.140625" style="16" customWidth="1"/>
    <col min="13829" max="13829" width="12" style="16" customWidth="1"/>
    <col min="13830" max="13830" width="11" style="16" customWidth="1"/>
    <col min="13831" max="13831" width="11.7109375" style="16" customWidth="1"/>
    <col min="13832" max="13832" width="8" style="16" customWidth="1"/>
    <col min="13833" max="13833" width="11.42578125" style="16" customWidth="1"/>
    <col min="13834" max="13835" width="12.7109375" style="16" customWidth="1"/>
    <col min="13836" max="13836" width="7.7109375" style="16" customWidth="1"/>
    <col min="13837" max="13837" width="12.28515625" style="16" customWidth="1"/>
    <col min="13838" max="13838" width="11.28515625" style="16" customWidth="1"/>
    <col min="13839" max="13839" width="8.28515625" style="16" customWidth="1"/>
    <col min="13840" max="13840" width="13.28515625" style="16" customWidth="1"/>
    <col min="13841" max="13841" width="11" style="16" customWidth="1"/>
    <col min="13842" max="14077" width="9.140625" style="16"/>
    <col min="14078" max="14078" width="3.7109375" style="16" customWidth="1"/>
    <col min="14079" max="14079" width="9.140625" style="16"/>
    <col min="14080" max="14080" width="27.7109375" style="16" customWidth="1"/>
    <col min="14081" max="14081" width="9.140625" style="16"/>
    <col min="14082" max="14083" width="12" style="16" customWidth="1"/>
    <col min="14084" max="14084" width="11.140625" style="16" customWidth="1"/>
    <col min="14085" max="14085" width="12" style="16" customWidth="1"/>
    <col min="14086" max="14086" width="11" style="16" customWidth="1"/>
    <col min="14087" max="14087" width="11.7109375" style="16" customWidth="1"/>
    <col min="14088" max="14088" width="8" style="16" customWidth="1"/>
    <col min="14089" max="14089" width="11.42578125" style="16" customWidth="1"/>
    <col min="14090" max="14091" width="12.7109375" style="16" customWidth="1"/>
    <col min="14092" max="14092" width="7.7109375" style="16" customWidth="1"/>
    <col min="14093" max="14093" width="12.28515625" style="16" customWidth="1"/>
    <col min="14094" max="14094" width="11.28515625" style="16" customWidth="1"/>
    <col min="14095" max="14095" width="8.28515625" style="16" customWidth="1"/>
    <col min="14096" max="14096" width="13.28515625" style="16" customWidth="1"/>
    <col min="14097" max="14097" width="11" style="16" customWidth="1"/>
    <col min="14098" max="14333" width="9.140625" style="16"/>
    <col min="14334" max="14334" width="3.7109375" style="16" customWidth="1"/>
    <col min="14335" max="14335" width="9.140625" style="16"/>
    <col min="14336" max="14336" width="27.7109375" style="16" customWidth="1"/>
    <col min="14337" max="14337" width="9.140625" style="16"/>
    <col min="14338" max="14339" width="12" style="16" customWidth="1"/>
    <col min="14340" max="14340" width="11.140625" style="16" customWidth="1"/>
    <col min="14341" max="14341" width="12" style="16" customWidth="1"/>
    <col min="14342" max="14342" width="11" style="16" customWidth="1"/>
    <col min="14343" max="14343" width="11.7109375" style="16" customWidth="1"/>
    <col min="14344" max="14344" width="8" style="16" customWidth="1"/>
    <col min="14345" max="14345" width="11.42578125" style="16" customWidth="1"/>
    <col min="14346" max="14347" width="12.7109375" style="16" customWidth="1"/>
    <col min="14348" max="14348" width="7.7109375" style="16" customWidth="1"/>
    <col min="14349" max="14349" width="12.28515625" style="16" customWidth="1"/>
    <col min="14350" max="14350" width="11.28515625" style="16" customWidth="1"/>
    <col min="14351" max="14351" width="8.28515625" style="16" customWidth="1"/>
    <col min="14352" max="14352" width="13.28515625" style="16" customWidth="1"/>
    <col min="14353" max="14353" width="11" style="16" customWidth="1"/>
    <col min="14354" max="14589" width="9.140625" style="16"/>
    <col min="14590" max="14590" width="3.7109375" style="16" customWidth="1"/>
    <col min="14591" max="14591" width="9.140625" style="16"/>
    <col min="14592" max="14592" width="27.7109375" style="16" customWidth="1"/>
    <col min="14593" max="14593" width="9.140625" style="16"/>
    <col min="14594" max="14595" width="12" style="16" customWidth="1"/>
    <col min="14596" max="14596" width="11.140625" style="16" customWidth="1"/>
    <col min="14597" max="14597" width="12" style="16" customWidth="1"/>
    <col min="14598" max="14598" width="11" style="16" customWidth="1"/>
    <col min="14599" max="14599" width="11.7109375" style="16" customWidth="1"/>
    <col min="14600" max="14600" width="8" style="16" customWidth="1"/>
    <col min="14601" max="14601" width="11.42578125" style="16" customWidth="1"/>
    <col min="14602" max="14603" width="12.7109375" style="16" customWidth="1"/>
    <col min="14604" max="14604" width="7.7109375" style="16" customWidth="1"/>
    <col min="14605" max="14605" width="12.28515625" style="16" customWidth="1"/>
    <col min="14606" max="14606" width="11.28515625" style="16" customWidth="1"/>
    <col min="14607" max="14607" width="8.28515625" style="16" customWidth="1"/>
    <col min="14608" max="14608" width="13.28515625" style="16" customWidth="1"/>
    <col min="14609" max="14609" width="11" style="16" customWidth="1"/>
    <col min="14610" max="14845" width="9.140625" style="16"/>
    <col min="14846" max="14846" width="3.7109375" style="16" customWidth="1"/>
    <col min="14847" max="14847" width="9.140625" style="16"/>
    <col min="14848" max="14848" width="27.7109375" style="16" customWidth="1"/>
    <col min="14849" max="14849" width="9.140625" style="16"/>
    <col min="14850" max="14851" width="12" style="16" customWidth="1"/>
    <col min="14852" max="14852" width="11.140625" style="16" customWidth="1"/>
    <col min="14853" max="14853" width="12" style="16" customWidth="1"/>
    <col min="14854" max="14854" width="11" style="16" customWidth="1"/>
    <col min="14855" max="14855" width="11.7109375" style="16" customWidth="1"/>
    <col min="14856" max="14856" width="8" style="16" customWidth="1"/>
    <col min="14857" max="14857" width="11.42578125" style="16" customWidth="1"/>
    <col min="14858" max="14859" width="12.7109375" style="16" customWidth="1"/>
    <col min="14860" max="14860" width="7.7109375" style="16" customWidth="1"/>
    <col min="14861" max="14861" width="12.28515625" style="16" customWidth="1"/>
    <col min="14862" max="14862" width="11.28515625" style="16" customWidth="1"/>
    <col min="14863" max="14863" width="8.28515625" style="16" customWidth="1"/>
    <col min="14864" max="14864" width="13.28515625" style="16" customWidth="1"/>
    <col min="14865" max="14865" width="11" style="16" customWidth="1"/>
    <col min="14866" max="15101" width="9.140625" style="16"/>
    <col min="15102" max="15102" width="3.7109375" style="16" customWidth="1"/>
    <col min="15103" max="15103" width="9.140625" style="16"/>
    <col min="15104" max="15104" width="27.7109375" style="16" customWidth="1"/>
    <col min="15105" max="15105" width="9.140625" style="16"/>
    <col min="15106" max="15107" width="12" style="16" customWidth="1"/>
    <col min="15108" max="15108" width="11.140625" style="16" customWidth="1"/>
    <col min="15109" max="15109" width="12" style="16" customWidth="1"/>
    <col min="15110" max="15110" width="11" style="16" customWidth="1"/>
    <col min="15111" max="15111" width="11.7109375" style="16" customWidth="1"/>
    <col min="15112" max="15112" width="8" style="16" customWidth="1"/>
    <col min="15113" max="15113" width="11.42578125" style="16" customWidth="1"/>
    <col min="15114" max="15115" width="12.7109375" style="16" customWidth="1"/>
    <col min="15116" max="15116" width="7.7109375" style="16" customWidth="1"/>
    <col min="15117" max="15117" width="12.28515625" style="16" customWidth="1"/>
    <col min="15118" max="15118" width="11.28515625" style="16" customWidth="1"/>
    <col min="15119" max="15119" width="8.28515625" style="16" customWidth="1"/>
    <col min="15120" max="15120" width="13.28515625" style="16" customWidth="1"/>
    <col min="15121" max="15121" width="11" style="16" customWidth="1"/>
    <col min="15122" max="15357" width="9.140625" style="16"/>
    <col min="15358" max="15358" width="3.7109375" style="16" customWidth="1"/>
    <col min="15359" max="15359" width="9.140625" style="16"/>
    <col min="15360" max="15360" width="27.7109375" style="16" customWidth="1"/>
    <col min="15361" max="15361" width="9.140625" style="16"/>
    <col min="15362" max="15363" width="12" style="16" customWidth="1"/>
    <col min="15364" max="15364" width="11.140625" style="16" customWidth="1"/>
    <col min="15365" max="15365" width="12" style="16" customWidth="1"/>
    <col min="15366" max="15366" width="11" style="16" customWidth="1"/>
    <col min="15367" max="15367" width="11.7109375" style="16" customWidth="1"/>
    <col min="15368" max="15368" width="8" style="16" customWidth="1"/>
    <col min="15369" max="15369" width="11.42578125" style="16" customWidth="1"/>
    <col min="15370" max="15371" width="12.7109375" style="16" customWidth="1"/>
    <col min="15372" max="15372" width="7.7109375" style="16" customWidth="1"/>
    <col min="15373" max="15373" width="12.28515625" style="16" customWidth="1"/>
    <col min="15374" max="15374" width="11.28515625" style="16" customWidth="1"/>
    <col min="15375" max="15375" width="8.28515625" style="16" customWidth="1"/>
    <col min="15376" max="15376" width="13.28515625" style="16" customWidth="1"/>
    <col min="15377" max="15377" width="11" style="16" customWidth="1"/>
    <col min="15378" max="15613" width="9.140625" style="16"/>
    <col min="15614" max="15614" width="3.7109375" style="16" customWidth="1"/>
    <col min="15615" max="15615" width="9.140625" style="16"/>
    <col min="15616" max="15616" width="27.7109375" style="16" customWidth="1"/>
    <col min="15617" max="15617" width="9.140625" style="16"/>
    <col min="15618" max="15619" width="12" style="16" customWidth="1"/>
    <col min="15620" max="15620" width="11.140625" style="16" customWidth="1"/>
    <col min="15621" max="15621" width="12" style="16" customWidth="1"/>
    <col min="15622" max="15622" width="11" style="16" customWidth="1"/>
    <col min="15623" max="15623" width="11.7109375" style="16" customWidth="1"/>
    <col min="15624" max="15624" width="8" style="16" customWidth="1"/>
    <col min="15625" max="15625" width="11.42578125" style="16" customWidth="1"/>
    <col min="15626" max="15627" width="12.7109375" style="16" customWidth="1"/>
    <col min="15628" max="15628" width="7.7109375" style="16" customWidth="1"/>
    <col min="15629" max="15629" width="12.28515625" style="16" customWidth="1"/>
    <col min="15630" max="15630" width="11.28515625" style="16" customWidth="1"/>
    <col min="15631" max="15631" width="8.28515625" style="16" customWidth="1"/>
    <col min="15632" max="15632" width="13.28515625" style="16" customWidth="1"/>
    <col min="15633" max="15633" width="11" style="16" customWidth="1"/>
    <col min="15634" max="15869" width="9.140625" style="16"/>
    <col min="15870" max="15870" width="3.7109375" style="16" customWidth="1"/>
    <col min="15871" max="15871" width="9.140625" style="16"/>
    <col min="15872" max="15872" width="27.7109375" style="16" customWidth="1"/>
    <col min="15873" max="15873" width="9.140625" style="16"/>
    <col min="15874" max="15875" width="12" style="16" customWidth="1"/>
    <col min="15876" max="15876" width="11.140625" style="16" customWidth="1"/>
    <col min="15877" max="15877" width="12" style="16" customWidth="1"/>
    <col min="15878" max="15878" width="11" style="16" customWidth="1"/>
    <col min="15879" max="15879" width="11.7109375" style="16" customWidth="1"/>
    <col min="15880" max="15880" width="8" style="16" customWidth="1"/>
    <col min="15881" max="15881" width="11.42578125" style="16" customWidth="1"/>
    <col min="15882" max="15883" width="12.7109375" style="16" customWidth="1"/>
    <col min="15884" max="15884" width="7.7109375" style="16" customWidth="1"/>
    <col min="15885" max="15885" width="12.28515625" style="16" customWidth="1"/>
    <col min="15886" max="15886" width="11.28515625" style="16" customWidth="1"/>
    <col min="15887" max="15887" width="8.28515625" style="16" customWidth="1"/>
    <col min="15888" max="15888" width="13.28515625" style="16" customWidth="1"/>
    <col min="15889" max="15889" width="11" style="16" customWidth="1"/>
    <col min="15890" max="16125" width="9.140625" style="16"/>
    <col min="16126" max="16126" width="3.7109375" style="16" customWidth="1"/>
    <col min="16127" max="16127" width="9.140625" style="16"/>
    <col min="16128" max="16128" width="27.7109375" style="16" customWidth="1"/>
    <col min="16129" max="16129" width="9.140625" style="16"/>
    <col min="16130" max="16131" width="12" style="16" customWidth="1"/>
    <col min="16132" max="16132" width="11.140625" style="16" customWidth="1"/>
    <col min="16133" max="16133" width="12" style="16" customWidth="1"/>
    <col min="16134" max="16134" width="11" style="16" customWidth="1"/>
    <col min="16135" max="16135" width="11.7109375" style="16" customWidth="1"/>
    <col min="16136" max="16136" width="8" style="16" customWidth="1"/>
    <col min="16137" max="16137" width="11.42578125" style="16" customWidth="1"/>
    <col min="16138" max="16139" width="12.7109375" style="16" customWidth="1"/>
    <col min="16140" max="16140" width="7.7109375" style="16" customWidth="1"/>
    <col min="16141" max="16141" width="12.28515625" style="16" customWidth="1"/>
    <col min="16142" max="16142" width="11.28515625" style="16" customWidth="1"/>
    <col min="16143" max="16143" width="8.28515625" style="16" customWidth="1"/>
    <col min="16144" max="16144" width="13.28515625" style="16" customWidth="1"/>
    <col min="16145" max="16145" width="11" style="16" customWidth="1"/>
    <col min="16146" max="16384" width="9.140625" style="16"/>
  </cols>
  <sheetData>
    <row r="1" spans="1:20" s="580" customFormat="1" ht="15.75" x14ac:dyDescent="0.25">
      <c r="A1" s="1442" t="s">
        <v>720</v>
      </c>
      <c r="B1" s="1442"/>
      <c r="C1" s="1442"/>
      <c r="D1" s="1442"/>
      <c r="E1" s="1442"/>
      <c r="F1" s="1442"/>
      <c r="G1" s="1442"/>
      <c r="H1" s="1442"/>
      <c r="I1" s="1442"/>
      <c r="J1" s="1442"/>
      <c r="K1" s="1442"/>
      <c r="L1" s="1442"/>
      <c r="M1" s="1442"/>
      <c r="N1" s="1442"/>
      <c r="O1" s="1442"/>
      <c r="P1" s="1442"/>
      <c r="Q1" s="1442"/>
      <c r="R1" s="1442"/>
      <c r="S1" s="1442"/>
      <c r="T1" s="1442"/>
    </row>
    <row r="3" spans="1:20" x14ac:dyDescent="0.2">
      <c r="A3" s="1443" t="s">
        <v>0</v>
      </c>
      <c r="B3" s="1444" t="s">
        <v>1</v>
      </c>
      <c r="C3" s="1447" t="s">
        <v>2</v>
      </c>
      <c r="D3" s="1450" t="s">
        <v>721</v>
      </c>
      <c r="E3" s="1453" t="s">
        <v>722</v>
      </c>
      <c r="F3" s="1454"/>
      <c r="G3" s="1454"/>
      <c r="H3" s="1454"/>
      <c r="I3" s="1454"/>
      <c r="J3" s="1455"/>
      <c r="K3" s="1456" t="s">
        <v>723</v>
      </c>
      <c r="L3" s="1456"/>
      <c r="M3" s="1456"/>
      <c r="N3" s="1456"/>
      <c r="O3" s="1456"/>
      <c r="P3" s="1456"/>
      <c r="Q3" s="1456"/>
      <c r="R3" s="1456"/>
      <c r="S3" s="1456"/>
      <c r="T3" s="1456"/>
    </row>
    <row r="4" spans="1:20" ht="21.75" customHeight="1" x14ac:dyDescent="0.2">
      <c r="A4" s="1443"/>
      <c r="B4" s="1445"/>
      <c r="C4" s="1448"/>
      <c r="D4" s="1451"/>
      <c r="E4" s="1457" t="s">
        <v>724</v>
      </c>
      <c r="F4" s="1458"/>
      <c r="G4" s="1461" t="s">
        <v>725</v>
      </c>
      <c r="H4" s="1461"/>
      <c r="I4" s="1461"/>
      <c r="J4" s="1461"/>
      <c r="K4" s="1462" t="s">
        <v>6</v>
      </c>
      <c r="L4" s="1276" t="s">
        <v>726</v>
      </c>
      <c r="M4" s="1276"/>
      <c r="N4" s="1276"/>
      <c r="O4" s="1465" t="s">
        <v>724</v>
      </c>
      <c r="P4" s="1466"/>
      <c r="Q4" s="1466"/>
      <c r="R4" s="1466"/>
      <c r="S4" s="1466"/>
      <c r="T4" s="1467"/>
    </row>
    <row r="5" spans="1:20" ht="48" customHeight="1" x14ac:dyDescent="0.2">
      <c r="A5" s="1443"/>
      <c r="B5" s="1445"/>
      <c r="C5" s="1448"/>
      <c r="D5" s="1451"/>
      <c r="E5" s="1459"/>
      <c r="F5" s="1460"/>
      <c r="G5" s="1461"/>
      <c r="H5" s="1461"/>
      <c r="I5" s="1461"/>
      <c r="J5" s="1461"/>
      <c r="K5" s="1463"/>
      <c r="L5" s="578" t="s">
        <v>727</v>
      </c>
      <c r="M5" s="1276" t="s">
        <v>725</v>
      </c>
      <c r="N5" s="1276"/>
      <c r="O5" s="1468"/>
      <c r="P5" s="1469"/>
      <c r="Q5" s="1469"/>
      <c r="R5" s="1469"/>
      <c r="S5" s="1469"/>
      <c r="T5" s="1470"/>
    </row>
    <row r="6" spans="1:20" ht="27" customHeight="1" x14ac:dyDescent="0.2">
      <c r="A6" s="1443"/>
      <c r="B6" s="1445"/>
      <c r="C6" s="1448"/>
      <c r="D6" s="1451"/>
      <c r="E6" s="1438" t="s">
        <v>728</v>
      </c>
      <c r="F6" s="1436" t="s">
        <v>729</v>
      </c>
      <c r="G6" s="1438" t="s">
        <v>730</v>
      </c>
      <c r="H6" s="1435" t="s">
        <v>728</v>
      </c>
      <c r="I6" s="1435" t="s">
        <v>731</v>
      </c>
      <c r="J6" s="1435"/>
      <c r="K6" s="1463"/>
      <c r="L6" s="1436" t="s">
        <v>728</v>
      </c>
      <c r="M6" s="1436" t="s">
        <v>732</v>
      </c>
      <c r="N6" s="1438" t="s">
        <v>730</v>
      </c>
      <c r="O6" s="1440" t="s">
        <v>591</v>
      </c>
      <c r="P6" s="1436" t="s">
        <v>729</v>
      </c>
      <c r="Q6" s="1436" t="s">
        <v>732</v>
      </c>
      <c r="R6" s="1436" t="s">
        <v>733</v>
      </c>
      <c r="S6" s="1435" t="s">
        <v>734</v>
      </c>
      <c r="T6" s="1438" t="s">
        <v>730</v>
      </c>
    </row>
    <row r="7" spans="1:20" ht="33.75" customHeight="1" x14ac:dyDescent="0.2">
      <c r="A7" s="1443"/>
      <c r="B7" s="1446"/>
      <c r="C7" s="1449"/>
      <c r="D7" s="1452"/>
      <c r="E7" s="1439"/>
      <c r="F7" s="1437"/>
      <c r="G7" s="1439"/>
      <c r="H7" s="1435"/>
      <c r="I7" s="582" t="s">
        <v>735</v>
      </c>
      <c r="J7" s="582" t="s">
        <v>736</v>
      </c>
      <c r="K7" s="1464"/>
      <c r="L7" s="1437"/>
      <c r="M7" s="1437"/>
      <c r="N7" s="1439"/>
      <c r="O7" s="1441"/>
      <c r="P7" s="1437"/>
      <c r="Q7" s="1437"/>
      <c r="R7" s="1437"/>
      <c r="S7" s="1435"/>
      <c r="T7" s="1439"/>
    </row>
    <row r="8" spans="1:20" ht="15" customHeight="1" x14ac:dyDescent="0.2">
      <c r="A8" s="583">
        <v>1</v>
      </c>
      <c r="B8" s="584" t="s">
        <v>258</v>
      </c>
      <c r="C8" s="585" t="s">
        <v>520</v>
      </c>
      <c r="D8" s="586">
        <f>E8+G8+H8+I8+J8+K8+F8</f>
        <v>2608</v>
      </c>
      <c r="E8" s="578"/>
      <c r="F8" s="578"/>
      <c r="G8" s="578">
        <v>100</v>
      </c>
      <c r="H8" s="578">
        <v>350</v>
      </c>
      <c r="I8" s="578">
        <v>30</v>
      </c>
      <c r="J8" s="578">
        <f>20-2</f>
        <v>18</v>
      </c>
      <c r="K8" s="586">
        <f>L8+M8+O8+N8</f>
        <v>2110</v>
      </c>
      <c r="L8" s="587">
        <v>500</v>
      </c>
      <c r="M8" s="578">
        <v>1300</v>
      </c>
      <c r="N8" s="578">
        <f>0+50</f>
        <v>50</v>
      </c>
      <c r="O8" s="586">
        <f>P8+Q8+R8+T8+S8</f>
        <v>260</v>
      </c>
      <c r="P8" s="578"/>
      <c r="Q8" s="578"/>
      <c r="R8" s="578"/>
      <c r="S8" s="578"/>
      <c r="T8" s="578">
        <v>260</v>
      </c>
    </row>
    <row r="9" spans="1:20" x14ac:dyDescent="0.2">
      <c r="A9" s="583">
        <v>2</v>
      </c>
      <c r="B9" s="588" t="s">
        <v>264</v>
      </c>
      <c r="C9" s="589" t="s">
        <v>265</v>
      </c>
      <c r="D9" s="586">
        <f t="shared" ref="D9:D23" si="0">E9+G9+H9+I9+J9+K9+F9</f>
        <v>4120</v>
      </c>
      <c r="E9" s="578"/>
      <c r="F9" s="578"/>
      <c r="G9" s="578">
        <v>80</v>
      </c>
      <c r="H9" s="578">
        <v>20</v>
      </c>
      <c r="I9" s="578"/>
      <c r="J9" s="578"/>
      <c r="K9" s="586">
        <f t="shared" ref="K9:K22" si="1">L9+M9+O9</f>
        <v>4020</v>
      </c>
      <c r="L9" s="590"/>
      <c r="M9" s="590"/>
      <c r="N9" s="590"/>
      <c r="O9" s="586">
        <f>P9+Q9+R9+T9+S9</f>
        <v>4020</v>
      </c>
      <c r="P9" s="578"/>
      <c r="Q9" s="578">
        <f>864-324</f>
        <v>540</v>
      </c>
      <c r="R9" s="578">
        <f>384-144</f>
        <v>240</v>
      </c>
      <c r="S9" s="578">
        <v>360</v>
      </c>
      <c r="T9" s="578">
        <v>2880</v>
      </c>
    </row>
    <row r="10" spans="1:20" x14ac:dyDescent="0.2">
      <c r="A10" s="583">
        <v>3</v>
      </c>
      <c r="B10" s="584" t="s">
        <v>262</v>
      </c>
      <c r="C10" s="589" t="s">
        <v>263</v>
      </c>
      <c r="D10" s="586">
        <f t="shared" si="0"/>
        <v>90</v>
      </c>
      <c r="E10" s="578"/>
      <c r="F10" s="578"/>
      <c r="G10" s="578">
        <v>20</v>
      </c>
      <c r="H10" s="578"/>
      <c r="I10" s="578">
        <v>70</v>
      </c>
      <c r="J10" s="578"/>
      <c r="K10" s="586">
        <f t="shared" si="1"/>
        <v>0</v>
      </c>
      <c r="L10" s="590"/>
      <c r="M10" s="590"/>
      <c r="N10" s="590"/>
      <c r="O10" s="586">
        <f t="shared" ref="O10:O19" si="2">P10+Q10+R10+T10+S10</f>
        <v>0</v>
      </c>
      <c r="P10" s="578"/>
      <c r="Q10" s="578"/>
      <c r="R10" s="578"/>
      <c r="S10" s="578"/>
      <c r="T10" s="578"/>
    </row>
    <row r="11" spans="1:20" x14ac:dyDescent="0.2">
      <c r="A11" s="583">
        <v>4</v>
      </c>
      <c r="B11" s="591" t="s">
        <v>276</v>
      </c>
      <c r="C11" s="589" t="s">
        <v>277</v>
      </c>
      <c r="D11" s="586">
        <f t="shared" si="0"/>
        <v>18</v>
      </c>
      <c r="E11" s="578"/>
      <c r="F11" s="578"/>
      <c r="G11" s="578"/>
      <c r="H11" s="578"/>
      <c r="I11" s="578">
        <v>18</v>
      </c>
      <c r="J11" s="578"/>
      <c r="K11" s="586">
        <f t="shared" si="1"/>
        <v>0</v>
      </c>
      <c r="L11" s="590"/>
      <c r="M11" s="590"/>
      <c r="N11" s="590"/>
      <c r="O11" s="586">
        <f t="shared" si="2"/>
        <v>0</v>
      </c>
      <c r="P11" s="578"/>
      <c r="Q11" s="578"/>
      <c r="R11" s="578"/>
      <c r="S11" s="578"/>
      <c r="T11" s="578"/>
    </row>
    <row r="12" spans="1:20" x14ac:dyDescent="0.2">
      <c r="A12" s="583">
        <v>5</v>
      </c>
      <c r="B12" s="592" t="s">
        <v>278</v>
      </c>
      <c r="C12" s="589" t="s">
        <v>668</v>
      </c>
      <c r="D12" s="586">
        <f t="shared" si="0"/>
        <v>20</v>
      </c>
      <c r="E12" s="578"/>
      <c r="F12" s="578"/>
      <c r="G12" s="578"/>
      <c r="H12" s="578"/>
      <c r="I12" s="578">
        <v>20</v>
      </c>
      <c r="J12" s="578"/>
      <c r="K12" s="586">
        <f t="shared" si="1"/>
        <v>0</v>
      </c>
      <c r="L12" s="590"/>
      <c r="M12" s="590"/>
      <c r="N12" s="590"/>
      <c r="O12" s="586">
        <f t="shared" si="2"/>
        <v>0</v>
      </c>
      <c r="P12" s="578"/>
      <c r="Q12" s="578"/>
      <c r="R12" s="578"/>
      <c r="S12" s="578"/>
      <c r="T12" s="578"/>
    </row>
    <row r="13" spans="1:20" x14ac:dyDescent="0.2">
      <c r="A13" s="583">
        <v>6</v>
      </c>
      <c r="B13" s="588" t="s">
        <v>280</v>
      </c>
      <c r="C13" s="585" t="s">
        <v>281</v>
      </c>
      <c r="D13" s="586">
        <f t="shared" si="0"/>
        <v>50</v>
      </c>
      <c r="E13" s="578"/>
      <c r="F13" s="578"/>
      <c r="G13" s="578"/>
      <c r="H13" s="578"/>
      <c r="I13" s="578">
        <v>50</v>
      </c>
      <c r="J13" s="578"/>
      <c r="K13" s="586">
        <f t="shared" si="1"/>
        <v>0</v>
      </c>
      <c r="L13" s="590"/>
      <c r="M13" s="590"/>
      <c r="N13" s="590"/>
      <c r="O13" s="586">
        <f t="shared" si="2"/>
        <v>0</v>
      </c>
      <c r="P13" s="578"/>
      <c r="Q13" s="578"/>
      <c r="R13" s="578"/>
      <c r="S13" s="578"/>
      <c r="T13" s="578"/>
    </row>
    <row r="14" spans="1:20" x14ac:dyDescent="0.2">
      <c r="A14" s="583">
        <v>7</v>
      </c>
      <c r="B14" s="588" t="s">
        <v>173</v>
      </c>
      <c r="C14" s="589" t="s">
        <v>737</v>
      </c>
      <c r="D14" s="586">
        <f t="shared" si="0"/>
        <v>156</v>
      </c>
      <c r="E14" s="578"/>
      <c r="F14" s="578"/>
      <c r="G14" s="578"/>
      <c r="H14" s="578"/>
      <c r="I14" s="578">
        <f>160-4</f>
        <v>156</v>
      </c>
      <c r="J14" s="578"/>
      <c r="K14" s="586">
        <f t="shared" si="1"/>
        <v>0</v>
      </c>
      <c r="L14" s="590"/>
      <c r="M14" s="590"/>
      <c r="N14" s="590"/>
      <c r="O14" s="586">
        <f t="shared" si="2"/>
        <v>0</v>
      </c>
      <c r="P14" s="578"/>
      <c r="Q14" s="578"/>
      <c r="R14" s="578"/>
      <c r="S14" s="578"/>
      <c r="T14" s="578"/>
    </row>
    <row r="15" spans="1:20" x14ac:dyDescent="0.2">
      <c r="A15" s="583">
        <v>8</v>
      </c>
      <c r="B15" s="584" t="s">
        <v>26</v>
      </c>
      <c r="C15" s="589" t="s">
        <v>657</v>
      </c>
      <c r="D15" s="586">
        <f t="shared" si="0"/>
        <v>15</v>
      </c>
      <c r="E15" s="578"/>
      <c r="F15" s="578"/>
      <c r="G15" s="578"/>
      <c r="H15" s="578"/>
      <c r="I15" s="578">
        <v>15</v>
      </c>
      <c r="J15" s="578"/>
      <c r="K15" s="586">
        <f t="shared" si="1"/>
        <v>0</v>
      </c>
      <c r="L15" s="590"/>
      <c r="M15" s="590"/>
      <c r="N15" s="590"/>
      <c r="O15" s="586">
        <f t="shared" si="2"/>
        <v>0</v>
      </c>
      <c r="P15" s="578"/>
      <c r="Q15" s="578"/>
      <c r="R15" s="578"/>
      <c r="S15" s="578"/>
      <c r="T15" s="578"/>
    </row>
    <row r="16" spans="1:20" ht="13.5" customHeight="1" x14ac:dyDescent="0.2">
      <c r="A16" s="583">
        <v>9</v>
      </c>
      <c r="B16" s="588" t="s">
        <v>66</v>
      </c>
      <c r="C16" s="585" t="s">
        <v>481</v>
      </c>
      <c r="D16" s="586">
        <f t="shared" si="0"/>
        <v>89</v>
      </c>
      <c r="E16" s="578"/>
      <c r="F16" s="578"/>
      <c r="G16" s="578"/>
      <c r="H16" s="578">
        <v>75</v>
      </c>
      <c r="I16" s="578">
        <v>12</v>
      </c>
      <c r="J16" s="578">
        <f>0+2</f>
        <v>2</v>
      </c>
      <c r="K16" s="586">
        <f t="shared" si="1"/>
        <v>0</v>
      </c>
      <c r="L16" s="590"/>
      <c r="M16" s="590"/>
      <c r="N16" s="590"/>
      <c r="O16" s="586">
        <f t="shared" si="2"/>
        <v>0</v>
      </c>
      <c r="P16" s="578"/>
      <c r="Q16" s="578"/>
      <c r="R16" s="578"/>
      <c r="S16" s="578"/>
      <c r="T16" s="578"/>
    </row>
    <row r="17" spans="1:21" ht="13.5" customHeight="1" x14ac:dyDescent="0.2">
      <c r="A17" s="583">
        <v>10</v>
      </c>
      <c r="B17" s="588" t="s">
        <v>68</v>
      </c>
      <c r="C17" s="585" t="s">
        <v>738</v>
      </c>
      <c r="D17" s="586">
        <f t="shared" si="0"/>
        <v>20</v>
      </c>
      <c r="E17" s="578"/>
      <c r="F17" s="578"/>
      <c r="G17" s="578"/>
      <c r="H17" s="578"/>
      <c r="I17" s="578">
        <v>20</v>
      </c>
      <c r="J17" s="578"/>
      <c r="K17" s="586">
        <f t="shared" si="1"/>
        <v>0</v>
      </c>
      <c r="L17" s="590"/>
      <c r="M17" s="590"/>
      <c r="N17" s="590"/>
      <c r="O17" s="586">
        <f t="shared" si="2"/>
        <v>0</v>
      </c>
      <c r="P17" s="578"/>
      <c r="Q17" s="578"/>
      <c r="R17" s="578"/>
      <c r="S17" s="578"/>
      <c r="T17" s="578"/>
    </row>
    <row r="18" spans="1:21" ht="13.5" customHeight="1" x14ac:dyDescent="0.2">
      <c r="A18" s="583">
        <v>11</v>
      </c>
      <c r="B18" s="588" t="s">
        <v>117</v>
      </c>
      <c r="C18" s="585" t="s">
        <v>118</v>
      </c>
      <c r="D18" s="586">
        <f t="shared" si="0"/>
        <v>8</v>
      </c>
      <c r="E18" s="578"/>
      <c r="F18" s="578"/>
      <c r="G18" s="578"/>
      <c r="H18" s="578"/>
      <c r="I18" s="578">
        <f>0+4+4</f>
        <v>8</v>
      </c>
      <c r="J18" s="578"/>
      <c r="K18" s="586">
        <f t="shared" si="1"/>
        <v>0</v>
      </c>
      <c r="L18" s="590"/>
      <c r="M18" s="590"/>
      <c r="N18" s="590"/>
      <c r="O18" s="586">
        <f t="shared" si="2"/>
        <v>0</v>
      </c>
      <c r="P18" s="578"/>
      <c r="Q18" s="578"/>
      <c r="R18" s="578"/>
      <c r="S18" s="578"/>
      <c r="T18" s="578"/>
    </row>
    <row r="19" spans="1:21" x14ac:dyDescent="0.2">
      <c r="A19" s="583">
        <v>12</v>
      </c>
      <c r="B19" s="584" t="s">
        <v>221</v>
      </c>
      <c r="C19" s="589" t="s">
        <v>739</v>
      </c>
      <c r="D19" s="586">
        <f t="shared" si="0"/>
        <v>4416</v>
      </c>
      <c r="E19" s="578"/>
      <c r="F19" s="578"/>
      <c r="G19" s="578"/>
      <c r="H19" s="578"/>
      <c r="I19" s="578"/>
      <c r="J19" s="578"/>
      <c r="K19" s="586">
        <f>L19+M19+O19</f>
        <v>4416</v>
      </c>
      <c r="L19" s="590"/>
      <c r="M19" s="590"/>
      <c r="N19" s="590"/>
      <c r="O19" s="586">
        <f t="shared" si="2"/>
        <v>4416</v>
      </c>
      <c r="P19" s="578"/>
      <c r="Q19" s="578">
        <f>4469-1170</f>
        <v>3299</v>
      </c>
      <c r="R19" s="578">
        <v>1117</v>
      </c>
      <c r="S19" s="578"/>
      <c r="T19" s="578"/>
    </row>
    <row r="20" spans="1:21" ht="12" customHeight="1" x14ac:dyDescent="0.2">
      <c r="A20" s="583">
        <v>13</v>
      </c>
      <c r="B20" s="584" t="s">
        <v>231</v>
      </c>
      <c r="C20" s="585" t="s">
        <v>232</v>
      </c>
      <c r="D20" s="586">
        <f t="shared" si="0"/>
        <v>115742</v>
      </c>
      <c r="E20" s="578">
        <v>857</v>
      </c>
      <c r="F20" s="578"/>
      <c r="G20" s="578"/>
      <c r="H20" s="578"/>
      <c r="I20" s="578"/>
      <c r="J20" s="578"/>
      <c r="K20" s="586">
        <f t="shared" si="1"/>
        <v>114885</v>
      </c>
      <c r="L20" s="590"/>
      <c r="M20" s="590"/>
      <c r="N20" s="590"/>
      <c r="O20" s="586">
        <f>P20+Q20+R20+T20+S20</f>
        <v>114885</v>
      </c>
      <c r="P20" s="578"/>
      <c r="Q20" s="578">
        <v>89856</v>
      </c>
      <c r="R20" s="578">
        <v>21517</v>
      </c>
      <c r="S20" s="578">
        <v>3342</v>
      </c>
      <c r="T20" s="578">
        <v>170</v>
      </c>
    </row>
    <row r="21" spans="1:21" x14ac:dyDescent="0.2">
      <c r="A21" s="583">
        <v>14</v>
      </c>
      <c r="B21" s="588" t="s">
        <v>217</v>
      </c>
      <c r="C21" s="589" t="s">
        <v>740</v>
      </c>
      <c r="D21" s="586">
        <f t="shared" si="0"/>
        <v>31033</v>
      </c>
      <c r="E21" s="578"/>
      <c r="F21" s="578"/>
      <c r="G21" s="578"/>
      <c r="H21" s="578"/>
      <c r="I21" s="578"/>
      <c r="J21" s="578"/>
      <c r="K21" s="586">
        <f t="shared" si="1"/>
        <v>31033</v>
      </c>
      <c r="L21" s="590"/>
      <c r="M21" s="590"/>
      <c r="N21" s="590"/>
      <c r="O21" s="586">
        <f>P21+Q21+R21+T21+S21</f>
        <v>31033</v>
      </c>
      <c r="P21" s="578"/>
      <c r="Q21" s="578">
        <f>17525+936+884</f>
        <v>19345</v>
      </c>
      <c r="R21" s="578">
        <v>11688</v>
      </c>
      <c r="S21" s="578"/>
      <c r="T21" s="578"/>
    </row>
    <row r="22" spans="1:21" x14ac:dyDescent="0.2">
      <c r="A22" s="583">
        <v>15</v>
      </c>
      <c r="B22" s="588" t="s">
        <v>250</v>
      </c>
      <c r="C22" s="589" t="s">
        <v>741</v>
      </c>
      <c r="D22" s="586">
        <f t="shared" si="0"/>
        <v>5326</v>
      </c>
      <c r="E22" s="578"/>
      <c r="F22" s="578"/>
      <c r="G22" s="578"/>
      <c r="H22" s="578"/>
      <c r="I22" s="578"/>
      <c r="J22" s="578"/>
      <c r="K22" s="586">
        <f t="shared" si="1"/>
        <v>5326</v>
      </c>
      <c r="L22" s="590"/>
      <c r="M22" s="590"/>
      <c r="N22" s="590"/>
      <c r="O22" s="586">
        <f>P22+Q22+R22+T22+S22</f>
        <v>5326</v>
      </c>
      <c r="P22" s="578"/>
      <c r="Q22" s="578">
        <f>5721-3107+260</f>
        <v>2874</v>
      </c>
      <c r="R22" s="578">
        <v>2452</v>
      </c>
      <c r="S22" s="578"/>
      <c r="T22" s="578"/>
    </row>
    <row r="23" spans="1:21" x14ac:dyDescent="0.2">
      <c r="A23" s="583">
        <v>16</v>
      </c>
      <c r="B23" s="584" t="s">
        <v>254</v>
      </c>
      <c r="C23" s="589" t="s">
        <v>255</v>
      </c>
      <c r="D23" s="586">
        <f t="shared" si="0"/>
        <v>37667</v>
      </c>
      <c r="E23" s="578">
        <v>99</v>
      </c>
      <c r="F23" s="578">
        <v>100</v>
      </c>
      <c r="G23" s="578"/>
      <c r="H23" s="578"/>
      <c r="I23" s="578"/>
      <c r="J23" s="578"/>
      <c r="K23" s="586">
        <f>L23+M23+O23</f>
        <v>37468</v>
      </c>
      <c r="L23" s="590"/>
      <c r="M23" s="590"/>
      <c r="N23" s="590"/>
      <c r="O23" s="586">
        <f>P23+Q23+R23+T23+S23</f>
        <v>37468</v>
      </c>
      <c r="P23" s="578">
        <v>7103</v>
      </c>
      <c r="Q23" s="578">
        <f>23441+1131+403</f>
        <v>24975</v>
      </c>
      <c r="R23" s="578">
        <v>5390</v>
      </c>
      <c r="S23" s="578"/>
      <c r="T23" s="578"/>
    </row>
    <row r="24" spans="1:21" x14ac:dyDescent="0.2">
      <c r="A24" s="593"/>
      <c r="B24" s="593"/>
      <c r="C24" s="594" t="s">
        <v>469</v>
      </c>
      <c r="D24" s="586">
        <f t="shared" ref="D24:T24" si="3">SUM(D8:D23)</f>
        <v>201378</v>
      </c>
      <c r="E24" s="586">
        <f t="shared" si="3"/>
        <v>956</v>
      </c>
      <c r="F24" s="586">
        <f t="shared" si="3"/>
        <v>100</v>
      </c>
      <c r="G24" s="586">
        <f t="shared" si="3"/>
        <v>200</v>
      </c>
      <c r="H24" s="586">
        <f t="shared" si="3"/>
        <v>445</v>
      </c>
      <c r="I24" s="586">
        <f t="shared" si="3"/>
        <v>399</v>
      </c>
      <c r="J24" s="586">
        <f t="shared" si="3"/>
        <v>20</v>
      </c>
      <c r="K24" s="586">
        <f t="shared" si="3"/>
        <v>199258</v>
      </c>
      <c r="L24" s="586">
        <f t="shared" si="3"/>
        <v>500</v>
      </c>
      <c r="M24" s="586">
        <f t="shared" si="3"/>
        <v>1300</v>
      </c>
      <c r="N24" s="586"/>
      <c r="O24" s="586">
        <f t="shared" si="3"/>
        <v>197408</v>
      </c>
      <c r="P24" s="586">
        <f t="shared" si="3"/>
        <v>7103</v>
      </c>
      <c r="Q24" s="586">
        <f t="shared" si="3"/>
        <v>140889</v>
      </c>
      <c r="R24" s="586">
        <f t="shared" si="3"/>
        <v>42404</v>
      </c>
      <c r="S24" s="586">
        <f t="shared" si="3"/>
        <v>3702</v>
      </c>
      <c r="T24" s="586">
        <f t="shared" si="3"/>
        <v>3310</v>
      </c>
      <c r="U24" s="17"/>
    </row>
    <row r="25" spans="1:21" ht="13.5" customHeight="1" x14ac:dyDescent="0.2">
      <c r="A25" s="583"/>
      <c r="B25" s="583"/>
      <c r="C25" s="585" t="s">
        <v>742</v>
      </c>
      <c r="D25" s="586">
        <f>E25+G25+H25+I25+J25+K25</f>
        <v>14510</v>
      </c>
      <c r="E25" s="590"/>
      <c r="F25" s="590"/>
      <c r="G25" s="590"/>
      <c r="H25" s="590"/>
      <c r="I25" s="590"/>
      <c r="J25" s="590"/>
      <c r="K25" s="586">
        <f>L25+M25+O25</f>
        <v>14510</v>
      </c>
      <c r="L25" s="590"/>
      <c r="M25" s="590"/>
      <c r="N25" s="590"/>
      <c r="O25" s="586">
        <f>P25+Q25+R25+T25+S25</f>
        <v>14510</v>
      </c>
      <c r="P25" s="578"/>
      <c r="Q25" s="578">
        <v>14510</v>
      </c>
      <c r="R25" s="578"/>
      <c r="S25" s="578"/>
      <c r="T25" s="578"/>
    </row>
    <row r="26" spans="1:21" ht="25.5" customHeight="1" x14ac:dyDescent="0.2">
      <c r="A26" s="583"/>
      <c r="B26" s="583"/>
      <c r="C26" s="595" t="s">
        <v>743</v>
      </c>
      <c r="D26" s="586">
        <f t="shared" ref="D26:T26" si="4">D24+D25</f>
        <v>215888</v>
      </c>
      <c r="E26" s="586">
        <f t="shared" si="4"/>
        <v>956</v>
      </c>
      <c r="F26" s="586">
        <f t="shared" si="4"/>
        <v>100</v>
      </c>
      <c r="G26" s="586">
        <f t="shared" si="4"/>
        <v>200</v>
      </c>
      <c r="H26" s="586">
        <f t="shared" si="4"/>
        <v>445</v>
      </c>
      <c r="I26" s="586">
        <f t="shared" si="4"/>
        <v>399</v>
      </c>
      <c r="J26" s="586">
        <f t="shared" si="4"/>
        <v>20</v>
      </c>
      <c r="K26" s="586">
        <f t="shared" si="4"/>
        <v>213768</v>
      </c>
      <c r="L26" s="586">
        <f t="shared" si="4"/>
        <v>500</v>
      </c>
      <c r="M26" s="586">
        <f t="shared" si="4"/>
        <v>1300</v>
      </c>
      <c r="N26" s="586"/>
      <c r="O26" s="586">
        <f t="shared" si="4"/>
        <v>211918</v>
      </c>
      <c r="P26" s="586">
        <f t="shared" si="4"/>
        <v>7103</v>
      </c>
      <c r="Q26" s="586">
        <f t="shared" si="4"/>
        <v>155399</v>
      </c>
      <c r="R26" s="586">
        <f t="shared" si="4"/>
        <v>42404</v>
      </c>
      <c r="S26" s="586"/>
      <c r="T26" s="586">
        <f t="shared" si="4"/>
        <v>3310</v>
      </c>
      <c r="U26" s="17"/>
    </row>
  </sheetData>
  <mergeCells count="27"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145"/>
  <sheetViews>
    <sheetView zoomScaleNormal="100" workbookViewId="0">
      <pane xSplit="3" ySplit="6" topLeftCell="D79" activePane="bottomRight" state="frozen"/>
      <selection pane="topRight" activeCell="D1" sqref="D1"/>
      <selection pane="bottomLeft" activeCell="A6" sqref="A6"/>
      <selection pane="bottomRight" activeCell="C87" sqref="C87"/>
    </sheetView>
  </sheetViews>
  <sheetFormatPr defaultRowHeight="12" x14ac:dyDescent="0.25"/>
  <cols>
    <col min="1" max="1" width="4" style="106" customWidth="1"/>
    <col min="2" max="2" width="9.28515625" style="106" customWidth="1"/>
    <col min="3" max="3" width="31" style="135" customWidth="1"/>
    <col min="4" max="4" width="12.140625" style="135" customWidth="1"/>
    <col min="5" max="7" width="10.85546875" style="106" customWidth="1"/>
    <col min="8" max="8" width="12.85546875" style="106" customWidth="1"/>
    <col min="9" max="10" width="10.85546875" style="106" customWidth="1"/>
    <col min="11" max="11" width="11.5703125" style="106" customWidth="1"/>
    <col min="12" max="12" width="14.7109375" style="136" customWidth="1"/>
    <col min="13" max="16384" width="9.140625" style="136"/>
  </cols>
  <sheetData>
    <row r="2" spans="1:12" s="105" customFormat="1" ht="15.75" customHeight="1" x14ac:dyDescent="0.25">
      <c r="A2" s="1016" t="s">
        <v>629</v>
      </c>
      <c r="B2" s="1016"/>
      <c r="C2" s="1016"/>
      <c r="D2" s="1016"/>
      <c r="E2" s="1016"/>
      <c r="F2" s="1016"/>
      <c r="G2" s="1016"/>
      <c r="H2" s="1016"/>
      <c r="I2" s="1016"/>
      <c r="J2" s="1016"/>
      <c r="K2" s="1016"/>
    </row>
    <row r="3" spans="1:12" s="105" customFormat="1" x14ac:dyDescent="0.25">
      <c r="A3" s="106"/>
      <c r="B3" s="106"/>
      <c r="C3" s="107"/>
      <c r="D3" s="107"/>
      <c r="E3" s="107"/>
      <c r="F3" s="106"/>
      <c r="G3" s="106"/>
      <c r="H3" s="106"/>
      <c r="I3" s="106"/>
      <c r="J3" s="106"/>
      <c r="K3" s="106"/>
    </row>
    <row r="4" spans="1:12" s="105" customFormat="1" x14ac:dyDescent="0.25">
      <c r="A4" s="106"/>
      <c r="B4" s="106"/>
      <c r="C4" s="107"/>
      <c r="D4" s="107"/>
      <c r="E4" s="107"/>
      <c r="F4" s="106"/>
      <c r="G4" s="106"/>
      <c r="H4" s="106"/>
      <c r="I4" s="106"/>
      <c r="J4" s="106"/>
      <c r="K4" s="106"/>
    </row>
    <row r="5" spans="1:12" s="105" customFormat="1" ht="12.75" customHeight="1" x14ac:dyDescent="0.25">
      <c r="A5" s="1017" t="s">
        <v>0</v>
      </c>
      <c r="B5" s="1017" t="s">
        <v>302</v>
      </c>
      <c r="C5" s="1017" t="s">
        <v>292</v>
      </c>
      <c r="D5" s="1017" t="s">
        <v>630</v>
      </c>
      <c r="E5" s="1017" t="s">
        <v>631</v>
      </c>
      <c r="F5" s="1018"/>
      <c r="G5" s="1018"/>
      <c r="H5" s="1018"/>
      <c r="I5" s="1018"/>
      <c r="J5" s="1019" t="s">
        <v>632</v>
      </c>
      <c r="K5" s="1020" t="s">
        <v>633</v>
      </c>
      <c r="L5" s="1013" t="s">
        <v>802</v>
      </c>
    </row>
    <row r="6" spans="1:12" s="108" customFormat="1" ht="48.75" customHeight="1" x14ac:dyDescent="0.25">
      <c r="A6" s="1017"/>
      <c r="B6" s="1017"/>
      <c r="C6" s="1017"/>
      <c r="D6" s="1017"/>
      <c r="E6" s="1017"/>
      <c r="F6" s="442" t="s">
        <v>634</v>
      </c>
      <c r="G6" s="441" t="s">
        <v>635</v>
      </c>
      <c r="H6" s="441" t="s">
        <v>636</v>
      </c>
      <c r="I6" s="441" t="s">
        <v>637</v>
      </c>
      <c r="J6" s="1019"/>
      <c r="K6" s="1020"/>
      <c r="L6" s="1014"/>
    </row>
    <row r="7" spans="1:12" s="105" customFormat="1" ht="12" customHeight="1" x14ac:dyDescent="0.25">
      <c r="A7" s="440">
        <v>1</v>
      </c>
      <c r="B7" s="109" t="s">
        <v>16</v>
      </c>
      <c r="C7" s="110" t="s">
        <v>17</v>
      </c>
      <c r="D7" s="111">
        <f t="shared" ref="D7:D70" si="0">E7+J7</f>
        <v>968</v>
      </c>
      <c r="E7" s="111">
        <v>968</v>
      </c>
      <c r="F7" s="440"/>
      <c r="G7" s="440"/>
      <c r="H7" s="440"/>
      <c r="I7" s="440"/>
      <c r="J7" s="440"/>
      <c r="K7" s="440"/>
      <c r="L7" s="596"/>
    </row>
    <row r="8" spans="1:12" s="105" customFormat="1" x14ac:dyDescent="0.25">
      <c r="A8" s="440">
        <v>2</v>
      </c>
      <c r="B8" s="109" t="s">
        <v>18</v>
      </c>
      <c r="C8" s="112" t="s">
        <v>19</v>
      </c>
      <c r="D8" s="111">
        <f t="shared" si="0"/>
        <v>976</v>
      </c>
      <c r="E8" s="113">
        <v>976</v>
      </c>
      <c r="F8" s="440"/>
      <c r="G8" s="440"/>
      <c r="H8" s="440"/>
      <c r="I8" s="440"/>
      <c r="J8" s="440"/>
      <c r="K8" s="440"/>
      <c r="L8" s="596"/>
    </row>
    <row r="9" spans="1:12" s="105" customFormat="1" x14ac:dyDescent="0.25">
      <c r="A9" s="440">
        <v>3</v>
      </c>
      <c r="B9" s="114" t="s">
        <v>20</v>
      </c>
      <c r="C9" s="115" t="s">
        <v>21</v>
      </c>
      <c r="D9" s="111">
        <f t="shared" si="0"/>
        <v>2984</v>
      </c>
      <c r="E9" s="116">
        <v>2984</v>
      </c>
      <c r="F9" s="440"/>
      <c r="G9" s="440"/>
      <c r="H9" s="440">
        <v>7</v>
      </c>
      <c r="I9" s="440"/>
      <c r="J9" s="440"/>
      <c r="K9" s="440"/>
      <c r="L9" s="596"/>
    </row>
    <row r="10" spans="1:12" s="105" customFormat="1" ht="11.25" customHeight="1" x14ac:dyDescent="0.25">
      <c r="A10" s="440">
        <v>4</v>
      </c>
      <c r="B10" s="109" t="s">
        <v>22</v>
      </c>
      <c r="C10" s="112" t="s">
        <v>23</v>
      </c>
      <c r="D10" s="111">
        <f t="shared" si="0"/>
        <v>1060</v>
      </c>
      <c r="E10" s="113">
        <v>1060</v>
      </c>
      <c r="F10" s="440"/>
      <c r="G10" s="440"/>
      <c r="H10" s="440"/>
      <c r="I10" s="440"/>
      <c r="J10" s="440"/>
      <c r="K10" s="440"/>
      <c r="L10" s="596"/>
    </row>
    <row r="11" spans="1:12" s="105" customFormat="1" ht="12.75" customHeight="1" x14ac:dyDescent="0.25">
      <c r="A11" s="440">
        <v>5</v>
      </c>
      <c r="B11" s="109" t="s">
        <v>24</v>
      </c>
      <c r="C11" s="112" t="s">
        <v>25</v>
      </c>
      <c r="D11" s="111">
        <f t="shared" si="0"/>
        <v>1153</v>
      </c>
      <c r="E11" s="113">
        <v>1153</v>
      </c>
      <c r="F11" s="440"/>
      <c r="G11" s="440"/>
      <c r="H11" s="440"/>
      <c r="I11" s="440"/>
      <c r="J11" s="440"/>
      <c r="K11" s="440"/>
      <c r="L11" s="596"/>
    </row>
    <row r="12" spans="1:12" s="105" customFormat="1" x14ac:dyDescent="0.25">
      <c r="A12" s="440">
        <v>6</v>
      </c>
      <c r="B12" s="114" t="s">
        <v>26</v>
      </c>
      <c r="C12" s="115" t="s">
        <v>27</v>
      </c>
      <c r="D12" s="111">
        <f t="shared" si="0"/>
        <v>8263</v>
      </c>
      <c r="E12" s="116">
        <v>8263</v>
      </c>
      <c r="F12" s="440"/>
      <c r="G12" s="440"/>
      <c r="H12" s="440">
        <v>7</v>
      </c>
      <c r="I12" s="440"/>
      <c r="J12" s="440"/>
      <c r="K12" s="440">
        <v>400</v>
      </c>
      <c r="L12" s="596"/>
    </row>
    <row r="13" spans="1:12" s="105" customFormat="1" x14ac:dyDescent="0.25">
      <c r="A13" s="440">
        <v>7</v>
      </c>
      <c r="B13" s="117" t="s">
        <v>28</v>
      </c>
      <c r="C13" s="118" t="s">
        <v>29</v>
      </c>
      <c r="D13" s="111">
        <f t="shared" si="0"/>
        <v>2977</v>
      </c>
      <c r="E13" s="119">
        <v>2977</v>
      </c>
      <c r="F13" s="440"/>
      <c r="G13" s="440"/>
      <c r="H13" s="440"/>
      <c r="I13" s="440"/>
      <c r="J13" s="440"/>
      <c r="K13" s="440">
        <v>360</v>
      </c>
      <c r="L13" s="596"/>
    </row>
    <row r="14" spans="1:12" s="105" customFormat="1" x14ac:dyDescent="0.25">
      <c r="A14" s="440">
        <v>8</v>
      </c>
      <c r="B14" s="114" t="s">
        <v>30</v>
      </c>
      <c r="C14" s="115" t="s">
        <v>31</v>
      </c>
      <c r="D14" s="111">
        <f t="shared" si="0"/>
        <v>1236</v>
      </c>
      <c r="E14" s="116">
        <v>1236</v>
      </c>
      <c r="F14" s="440"/>
      <c r="G14" s="440"/>
      <c r="H14" s="440"/>
      <c r="I14" s="440"/>
      <c r="J14" s="440"/>
      <c r="K14" s="440"/>
      <c r="L14" s="596"/>
    </row>
    <row r="15" spans="1:12" s="105" customFormat="1" x14ac:dyDescent="0.25">
      <c r="A15" s="440">
        <v>9</v>
      </c>
      <c r="B15" s="114" t="s">
        <v>32</v>
      </c>
      <c r="C15" s="115" t="s">
        <v>33</v>
      </c>
      <c r="D15" s="111">
        <f t="shared" si="0"/>
        <v>1076</v>
      </c>
      <c r="E15" s="116">
        <v>1076</v>
      </c>
      <c r="F15" s="440"/>
      <c r="G15" s="440"/>
      <c r="H15" s="440"/>
      <c r="I15" s="440"/>
      <c r="J15" s="440"/>
      <c r="K15" s="440"/>
      <c r="L15" s="596"/>
    </row>
    <row r="16" spans="1:12" s="105" customFormat="1" x14ac:dyDescent="0.25">
      <c r="A16" s="440">
        <v>10</v>
      </c>
      <c r="B16" s="114" t="s">
        <v>34</v>
      </c>
      <c r="C16" s="115" t="s">
        <v>35</v>
      </c>
      <c r="D16" s="111">
        <f t="shared" si="0"/>
        <v>1380</v>
      </c>
      <c r="E16" s="116">
        <v>1380</v>
      </c>
      <c r="F16" s="440"/>
      <c r="G16" s="440"/>
      <c r="H16" s="440"/>
      <c r="I16" s="440"/>
      <c r="J16" s="440"/>
      <c r="K16" s="440"/>
      <c r="L16" s="596"/>
    </row>
    <row r="17" spans="1:12" s="105" customFormat="1" x14ac:dyDescent="0.25">
      <c r="A17" s="440">
        <v>11</v>
      </c>
      <c r="B17" s="114" t="s">
        <v>36</v>
      </c>
      <c r="C17" s="115" t="s">
        <v>37</v>
      </c>
      <c r="D17" s="111">
        <f t="shared" si="0"/>
        <v>1127</v>
      </c>
      <c r="E17" s="116">
        <v>1127</v>
      </c>
      <c r="F17" s="440"/>
      <c r="G17" s="440"/>
      <c r="H17" s="440"/>
      <c r="I17" s="440"/>
      <c r="J17" s="440"/>
      <c r="K17" s="440"/>
      <c r="L17" s="596"/>
    </row>
    <row r="18" spans="1:12" s="105" customFormat="1" x14ac:dyDescent="0.25">
      <c r="A18" s="440">
        <v>12</v>
      </c>
      <c r="B18" s="114" t="s">
        <v>38</v>
      </c>
      <c r="C18" s="115" t="s">
        <v>39</v>
      </c>
      <c r="D18" s="111">
        <f t="shared" si="0"/>
        <v>2211</v>
      </c>
      <c r="E18" s="116">
        <v>2211</v>
      </c>
      <c r="F18" s="440"/>
      <c r="G18" s="440"/>
      <c r="H18" s="440"/>
      <c r="I18" s="440"/>
      <c r="J18" s="440"/>
      <c r="K18" s="440"/>
      <c r="L18" s="596"/>
    </row>
    <row r="19" spans="1:12" s="105" customFormat="1" x14ac:dyDescent="0.25">
      <c r="A19" s="440">
        <v>13</v>
      </c>
      <c r="B19" s="120" t="s">
        <v>638</v>
      </c>
      <c r="C19" s="121" t="s">
        <v>41</v>
      </c>
      <c r="D19" s="111">
        <f t="shared" si="0"/>
        <v>0</v>
      </c>
      <c r="E19" s="113">
        <v>0</v>
      </c>
      <c r="F19" s="440"/>
      <c r="G19" s="440"/>
      <c r="H19" s="440"/>
      <c r="I19" s="440"/>
      <c r="J19" s="440"/>
      <c r="K19" s="440"/>
      <c r="L19" s="596"/>
    </row>
    <row r="20" spans="1:12" s="105" customFormat="1" ht="13.5" customHeight="1" x14ac:dyDescent="0.25">
      <c r="A20" s="440">
        <v>14</v>
      </c>
      <c r="B20" s="109" t="s">
        <v>42</v>
      </c>
      <c r="C20" s="115" t="s">
        <v>43</v>
      </c>
      <c r="D20" s="111">
        <f t="shared" si="0"/>
        <v>0</v>
      </c>
      <c r="E20" s="116">
        <v>0</v>
      </c>
      <c r="F20" s="440"/>
      <c r="G20" s="440"/>
      <c r="H20" s="440"/>
      <c r="I20" s="440"/>
      <c r="J20" s="440"/>
      <c r="K20" s="440"/>
      <c r="L20" s="596"/>
    </row>
    <row r="21" spans="1:12" s="105" customFormat="1" x14ac:dyDescent="0.25">
      <c r="A21" s="440">
        <v>15</v>
      </c>
      <c r="B21" s="114" t="s">
        <v>44</v>
      </c>
      <c r="C21" s="115" t="s">
        <v>45</v>
      </c>
      <c r="D21" s="111">
        <f t="shared" si="0"/>
        <v>1462</v>
      </c>
      <c r="E21" s="116">
        <v>1462</v>
      </c>
      <c r="F21" s="440"/>
      <c r="G21" s="440"/>
      <c r="H21" s="440"/>
      <c r="I21" s="440"/>
      <c r="J21" s="440"/>
      <c r="K21" s="440"/>
      <c r="L21" s="596"/>
    </row>
    <row r="22" spans="1:12" s="105" customFormat="1" x14ac:dyDescent="0.25">
      <c r="A22" s="440">
        <v>16</v>
      </c>
      <c r="B22" s="114" t="s">
        <v>46</v>
      </c>
      <c r="C22" s="115" t="s">
        <v>47</v>
      </c>
      <c r="D22" s="111">
        <f t="shared" si="0"/>
        <v>2139</v>
      </c>
      <c r="E22" s="116">
        <v>2139</v>
      </c>
      <c r="F22" s="440"/>
      <c r="G22" s="440"/>
      <c r="H22" s="440"/>
      <c r="I22" s="440"/>
      <c r="J22" s="440"/>
      <c r="K22" s="440"/>
      <c r="L22" s="596"/>
    </row>
    <row r="23" spans="1:12" s="105" customFormat="1" x14ac:dyDescent="0.25">
      <c r="A23" s="440">
        <v>17</v>
      </c>
      <c r="B23" s="114" t="s">
        <v>48</v>
      </c>
      <c r="C23" s="115" t="s">
        <v>49</v>
      </c>
      <c r="D23" s="111">
        <f t="shared" si="0"/>
        <v>2828</v>
      </c>
      <c r="E23" s="116">
        <v>2828</v>
      </c>
      <c r="F23" s="440"/>
      <c r="G23" s="440"/>
      <c r="H23" s="440"/>
      <c r="I23" s="440"/>
      <c r="J23" s="440"/>
      <c r="K23" s="440"/>
      <c r="L23" s="596"/>
    </row>
    <row r="24" spans="1:12" s="105" customFormat="1" x14ac:dyDescent="0.25">
      <c r="A24" s="440">
        <v>18</v>
      </c>
      <c r="B24" s="114" t="s">
        <v>50</v>
      </c>
      <c r="C24" s="115" t="s">
        <v>51</v>
      </c>
      <c r="D24" s="111">
        <f t="shared" si="0"/>
        <v>5347</v>
      </c>
      <c r="E24" s="116">
        <v>5347</v>
      </c>
      <c r="F24" s="440"/>
      <c r="G24" s="440"/>
      <c r="H24" s="440">
        <v>10</v>
      </c>
      <c r="I24" s="440"/>
      <c r="J24" s="440"/>
      <c r="K24" s="440">
        <v>465</v>
      </c>
      <c r="L24" s="596"/>
    </row>
    <row r="25" spans="1:12" s="105" customFormat="1" x14ac:dyDescent="0.25">
      <c r="A25" s="440">
        <v>19</v>
      </c>
      <c r="B25" s="109" t="s">
        <v>52</v>
      </c>
      <c r="C25" s="112" t="s">
        <v>53</v>
      </c>
      <c r="D25" s="111">
        <f t="shared" si="0"/>
        <v>902</v>
      </c>
      <c r="E25" s="113">
        <v>902</v>
      </c>
      <c r="F25" s="440"/>
      <c r="G25" s="440"/>
      <c r="H25" s="440"/>
      <c r="I25" s="440"/>
      <c r="J25" s="440"/>
      <c r="K25" s="440"/>
      <c r="L25" s="596"/>
    </row>
    <row r="26" spans="1:12" s="105" customFormat="1" x14ac:dyDescent="0.25">
      <c r="A26" s="440">
        <v>20</v>
      </c>
      <c r="B26" s="109" t="s">
        <v>54</v>
      </c>
      <c r="C26" s="112" t="s">
        <v>55</v>
      </c>
      <c r="D26" s="111">
        <f t="shared" si="0"/>
        <v>696</v>
      </c>
      <c r="E26" s="113">
        <v>696</v>
      </c>
      <c r="F26" s="440"/>
      <c r="G26" s="440"/>
      <c r="H26" s="440"/>
      <c r="I26" s="440"/>
      <c r="J26" s="440"/>
      <c r="K26" s="440"/>
      <c r="L26" s="596"/>
    </row>
    <row r="27" spans="1:12" s="105" customFormat="1" x14ac:dyDescent="0.25">
      <c r="A27" s="440">
        <v>21</v>
      </c>
      <c r="B27" s="109" t="s">
        <v>56</v>
      </c>
      <c r="C27" s="112" t="s">
        <v>57</v>
      </c>
      <c r="D27" s="111">
        <f t="shared" si="0"/>
        <v>3757</v>
      </c>
      <c r="E27" s="113">
        <v>3757</v>
      </c>
      <c r="F27" s="440"/>
      <c r="G27" s="440"/>
      <c r="H27" s="440"/>
      <c r="I27" s="440"/>
      <c r="J27" s="440"/>
      <c r="K27" s="440"/>
      <c r="L27" s="596"/>
    </row>
    <row r="28" spans="1:12" s="105" customFormat="1" x14ac:dyDescent="0.25">
      <c r="A28" s="440">
        <v>22</v>
      </c>
      <c r="B28" s="109" t="s">
        <v>58</v>
      </c>
      <c r="C28" s="112" t="s">
        <v>59</v>
      </c>
      <c r="D28" s="111">
        <f t="shared" si="0"/>
        <v>3295</v>
      </c>
      <c r="E28" s="113">
        <v>3295</v>
      </c>
      <c r="F28" s="440"/>
      <c r="G28" s="440"/>
      <c r="H28" s="440">
        <v>5</v>
      </c>
      <c r="I28" s="440"/>
      <c r="J28" s="440"/>
      <c r="K28" s="440"/>
      <c r="L28" s="596"/>
    </row>
    <row r="29" spans="1:12" s="105" customFormat="1" x14ac:dyDescent="0.25">
      <c r="A29" s="440">
        <v>23</v>
      </c>
      <c r="B29" s="114" t="s">
        <v>60</v>
      </c>
      <c r="C29" s="115" t="s">
        <v>61</v>
      </c>
      <c r="D29" s="111">
        <f t="shared" si="0"/>
        <v>274</v>
      </c>
      <c r="E29" s="116">
        <v>274</v>
      </c>
      <c r="F29" s="440"/>
      <c r="G29" s="440"/>
      <c r="H29" s="440"/>
      <c r="I29" s="440"/>
      <c r="J29" s="440"/>
      <c r="K29" s="440"/>
      <c r="L29" s="596"/>
    </row>
    <row r="30" spans="1:12" s="105" customFormat="1" ht="12" customHeight="1" x14ac:dyDescent="0.25">
      <c r="A30" s="440">
        <v>24</v>
      </c>
      <c r="B30" s="114" t="s">
        <v>62</v>
      </c>
      <c r="C30" s="115" t="s">
        <v>63</v>
      </c>
      <c r="D30" s="111">
        <f t="shared" si="0"/>
        <v>0</v>
      </c>
      <c r="E30" s="116">
        <v>0</v>
      </c>
      <c r="F30" s="440"/>
      <c r="G30" s="440"/>
      <c r="H30" s="440"/>
      <c r="I30" s="440"/>
      <c r="J30" s="440"/>
      <c r="K30" s="440"/>
      <c r="L30" s="596"/>
    </row>
    <row r="31" spans="1:12" s="105" customFormat="1" ht="24" x14ac:dyDescent="0.25">
      <c r="A31" s="440">
        <v>25</v>
      </c>
      <c r="B31" s="114" t="s">
        <v>64</v>
      </c>
      <c r="C31" s="115" t="s">
        <v>65</v>
      </c>
      <c r="D31" s="111">
        <f t="shared" si="0"/>
        <v>0</v>
      </c>
      <c r="E31" s="116">
        <v>0</v>
      </c>
      <c r="F31" s="440"/>
      <c r="G31" s="440"/>
      <c r="H31" s="440"/>
      <c r="I31" s="440"/>
      <c r="J31" s="440"/>
      <c r="K31" s="440">
        <v>530</v>
      </c>
      <c r="L31" s="596"/>
    </row>
    <row r="32" spans="1:12" s="105" customFormat="1" x14ac:dyDescent="0.25">
      <c r="A32" s="440">
        <v>26</v>
      </c>
      <c r="B32" s="109" t="s">
        <v>66</v>
      </c>
      <c r="C32" s="118" t="s">
        <v>67</v>
      </c>
      <c r="D32" s="111">
        <f t="shared" si="0"/>
        <v>9746</v>
      </c>
      <c r="E32" s="119">
        <v>9746</v>
      </c>
      <c r="F32" s="440"/>
      <c r="G32" s="440"/>
      <c r="H32" s="440"/>
      <c r="I32" s="440"/>
      <c r="J32" s="440"/>
      <c r="K32" s="440"/>
      <c r="L32" s="596"/>
    </row>
    <row r="33" spans="1:12" s="105" customFormat="1" x14ac:dyDescent="0.25">
      <c r="A33" s="440">
        <v>27</v>
      </c>
      <c r="B33" s="114" t="s">
        <v>68</v>
      </c>
      <c r="C33" s="115" t="s">
        <v>69</v>
      </c>
      <c r="D33" s="111">
        <f t="shared" si="0"/>
        <v>3262</v>
      </c>
      <c r="E33" s="116">
        <v>3262</v>
      </c>
      <c r="F33" s="440"/>
      <c r="G33" s="440"/>
      <c r="H33" s="440"/>
      <c r="I33" s="440"/>
      <c r="J33" s="440"/>
      <c r="K33" s="440"/>
      <c r="L33" s="596"/>
    </row>
    <row r="34" spans="1:12" s="105" customFormat="1" ht="13.5" customHeight="1" x14ac:dyDescent="0.25">
      <c r="A34" s="440">
        <v>28</v>
      </c>
      <c r="B34" s="114" t="s">
        <v>70</v>
      </c>
      <c r="C34" s="115" t="s">
        <v>71</v>
      </c>
      <c r="D34" s="111">
        <f t="shared" si="0"/>
        <v>2304</v>
      </c>
      <c r="E34" s="116">
        <v>2304</v>
      </c>
      <c r="F34" s="440"/>
      <c r="G34" s="440"/>
      <c r="H34" s="440">
        <v>50</v>
      </c>
      <c r="I34" s="440"/>
      <c r="J34" s="440"/>
      <c r="K34" s="440"/>
      <c r="L34" s="596"/>
    </row>
    <row r="35" spans="1:12" s="105" customFormat="1" ht="12" customHeight="1" x14ac:dyDescent="0.25">
      <c r="A35" s="440">
        <v>29</v>
      </c>
      <c r="B35" s="109" t="s">
        <v>72</v>
      </c>
      <c r="C35" s="112" t="s">
        <v>73</v>
      </c>
      <c r="D35" s="111">
        <f t="shared" si="0"/>
        <v>0</v>
      </c>
      <c r="E35" s="113">
        <v>0</v>
      </c>
      <c r="F35" s="440"/>
      <c r="G35" s="440"/>
      <c r="H35" s="440"/>
      <c r="I35" s="440"/>
      <c r="J35" s="440"/>
      <c r="K35" s="440"/>
      <c r="L35" s="596"/>
    </row>
    <row r="36" spans="1:12" s="105" customFormat="1" ht="24" x14ac:dyDescent="0.25">
      <c r="A36" s="440">
        <v>30</v>
      </c>
      <c r="B36" s="109" t="s">
        <v>74</v>
      </c>
      <c r="C36" s="118" t="s">
        <v>377</v>
      </c>
      <c r="D36" s="111">
        <f t="shared" si="0"/>
        <v>0</v>
      </c>
      <c r="E36" s="119">
        <v>0</v>
      </c>
      <c r="F36" s="440"/>
      <c r="G36" s="440"/>
      <c r="H36" s="440"/>
      <c r="I36" s="440"/>
      <c r="J36" s="440"/>
      <c r="K36" s="440"/>
      <c r="L36" s="596"/>
    </row>
    <row r="37" spans="1:12" s="105" customFormat="1" x14ac:dyDescent="0.25">
      <c r="A37" s="440">
        <v>31</v>
      </c>
      <c r="B37" s="109" t="s">
        <v>75</v>
      </c>
      <c r="C37" s="112" t="s">
        <v>76</v>
      </c>
      <c r="D37" s="111">
        <f t="shared" si="0"/>
        <v>449</v>
      </c>
      <c r="E37" s="113">
        <v>449</v>
      </c>
      <c r="F37" s="440"/>
      <c r="G37" s="440"/>
      <c r="H37" s="440"/>
      <c r="I37" s="440"/>
      <c r="J37" s="440"/>
      <c r="K37" s="440"/>
      <c r="L37" s="596"/>
    </row>
    <row r="38" spans="1:12" s="105" customFormat="1" x14ac:dyDescent="0.25">
      <c r="A38" s="440">
        <v>32</v>
      </c>
      <c r="B38" s="114" t="s">
        <v>77</v>
      </c>
      <c r="C38" s="115" t="s">
        <v>78</v>
      </c>
      <c r="D38" s="111">
        <f t="shared" si="0"/>
        <v>4317</v>
      </c>
      <c r="E38" s="116">
        <v>4317</v>
      </c>
      <c r="F38" s="440"/>
      <c r="G38" s="440"/>
      <c r="H38" s="440">
        <v>7</v>
      </c>
      <c r="I38" s="440"/>
      <c r="J38" s="440"/>
      <c r="K38" s="440"/>
      <c r="L38" s="596"/>
    </row>
    <row r="39" spans="1:12" s="105" customFormat="1" x14ac:dyDescent="0.25">
      <c r="A39" s="440">
        <v>33</v>
      </c>
      <c r="B39" s="109" t="s">
        <v>79</v>
      </c>
      <c r="C39" s="112" t="s">
        <v>80</v>
      </c>
      <c r="D39" s="111">
        <f t="shared" si="0"/>
        <v>6394</v>
      </c>
      <c r="E39" s="113">
        <v>6394</v>
      </c>
      <c r="F39" s="440"/>
      <c r="G39" s="440"/>
      <c r="H39" s="440">
        <v>8</v>
      </c>
      <c r="I39" s="440"/>
      <c r="J39" s="440"/>
      <c r="K39" s="440"/>
      <c r="L39" s="596"/>
    </row>
    <row r="40" spans="1:12" s="105" customFormat="1" x14ac:dyDescent="0.25">
      <c r="A40" s="440">
        <v>34</v>
      </c>
      <c r="B40" s="117" t="s">
        <v>81</v>
      </c>
      <c r="C40" s="118" t="s">
        <v>82</v>
      </c>
      <c r="D40" s="111">
        <f t="shared" si="0"/>
        <v>1257</v>
      </c>
      <c r="E40" s="119">
        <v>1257</v>
      </c>
      <c r="F40" s="440"/>
      <c r="G40" s="440"/>
      <c r="H40" s="440"/>
      <c r="I40" s="440"/>
      <c r="J40" s="440"/>
      <c r="K40" s="440"/>
      <c r="L40" s="596"/>
    </row>
    <row r="41" spans="1:12" s="105" customFormat="1" x14ac:dyDescent="0.25">
      <c r="A41" s="440">
        <v>35</v>
      </c>
      <c r="B41" s="109" t="s">
        <v>83</v>
      </c>
      <c r="C41" s="112" t="s">
        <v>84</v>
      </c>
      <c r="D41" s="111">
        <f t="shared" si="0"/>
        <v>4228</v>
      </c>
      <c r="E41" s="113">
        <v>4228</v>
      </c>
      <c r="F41" s="440"/>
      <c r="G41" s="440"/>
      <c r="H41" s="440">
        <v>10</v>
      </c>
      <c r="I41" s="440"/>
      <c r="J41" s="440"/>
      <c r="K41" s="440">
        <v>510</v>
      </c>
      <c r="L41" s="596"/>
    </row>
    <row r="42" spans="1:12" s="105" customFormat="1" x14ac:dyDescent="0.25">
      <c r="A42" s="440">
        <v>36</v>
      </c>
      <c r="B42" s="109" t="s">
        <v>85</v>
      </c>
      <c r="C42" s="112" t="s">
        <v>86</v>
      </c>
      <c r="D42" s="111">
        <f t="shared" si="0"/>
        <v>1636</v>
      </c>
      <c r="E42" s="113">
        <v>1636</v>
      </c>
      <c r="F42" s="440"/>
      <c r="G42" s="440"/>
      <c r="H42" s="440">
        <v>0</v>
      </c>
      <c r="I42" s="440"/>
      <c r="J42" s="440"/>
      <c r="K42" s="440"/>
      <c r="L42" s="596"/>
    </row>
    <row r="43" spans="1:12" s="105" customFormat="1" x14ac:dyDescent="0.25">
      <c r="A43" s="440">
        <v>37</v>
      </c>
      <c r="B43" s="114" t="s">
        <v>87</v>
      </c>
      <c r="C43" s="115" t="s">
        <v>88</v>
      </c>
      <c r="D43" s="111">
        <f t="shared" si="0"/>
        <v>4367</v>
      </c>
      <c r="E43" s="116">
        <v>4367</v>
      </c>
      <c r="F43" s="440"/>
      <c r="G43" s="440"/>
      <c r="H43" s="440">
        <v>10</v>
      </c>
      <c r="I43" s="440"/>
      <c r="J43" s="440"/>
      <c r="K43" s="440"/>
      <c r="L43" s="596"/>
    </row>
    <row r="44" spans="1:12" s="105" customFormat="1" x14ac:dyDescent="0.25">
      <c r="A44" s="440">
        <v>38</v>
      </c>
      <c r="B44" s="109" t="s">
        <v>89</v>
      </c>
      <c r="C44" s="112" t="s">
        <v>90</v>
      </c>
      <c r="D44" s="111">
        <f t="shared" si="0"/>
        <v>1485</v>
      </c>
      <c r="E44" s="113">
        <v>1485</v>
      </c>
      <c r="F44" s="440"/>
      <c r="G44" s="440"/>
      <c r="H44" s="440"/>
      <c r="I44" s="440"/>
      <c r="J44" s="440"/>
      <c r="K44" s="440"/>
      <c r="L44" s="596"/>
    </row>
    <row r="45" spans="1:12" s="105" customFormat="1" x14ac:dyDescent="0.25">
      <c r="A45" s="440">
        <v>39</v>
      </c>
      <c r="B45" s="109" t="s">
        <v>91</v>
      </c>
      <c r="C45" s="112" t="s">
        <v>92</v>
      </c>
      <c r="D45" s="111">
        <f t="shared" si="0"/>
        <v>914</v>
      </c>
      <c r="E45" s="113">
        <v>914</v>
      </c>
      <c r="F45" s="440"/>
      <c r="G45" s="440"/>
      <c r="H45" s="440"/>
      <c r="I45" s="440"/>
      <c r="J45" s="440"/>
      <c r="K45" s="440"/>
      <c r="L45" s="596"/>
    </row>
    <row r="46" spans="1:12" s="105" customFormat="1" x14ac:dyDescent="0.25">
      <c r="A46" s="440">
        <v>40</v>
      </c>
      <c r="B46" s="122" t="s">
        <v>93</v>
      </c>
      <c r="C46" s="123" t="s">
        <v>94</v>
      </c>
      <c r="D46" s="111">
        <f t="shared" si="0"/>
        <v>1617</v>
      </c>
      <c r="E46" s="124">
        <v>1617</v>
      </c>
      <c r="F46" s="440"/>
      <c r="G46" s="440"/>
      <c r="H46" s="440">
        <v>0</v>
      </c>
      <c r="I46" s="440"/>
      <c r="J46" s="440"/>
      <c r="K46" s="440"/>
      <c r="L46" s="596"/>
    </row>
    <row r="47" spans="1:12" s="105" customFormat="1" x14ac:dyDescent="0.25">
      <c r="A47" s="440">
        <v>41</v>
      </c>
      <c r="B47" s="109" t="s">
        <v>95</v>
      </c>
      <c r="C47" s="112" t="s">
        <v>96</v>
      </c>
      <c r="D47" s="111">
        <f t="shared" si="0"/>
        <v>739</v>
      </c>
      <c r="E47" s="113">
        <v>739</v>
      </c>
      <c r="F47" s="440"/>
      <c r="G47" s="440"/>
      <c r="H47" s="440"/>
      <c r="I47" s="440"/>
      <c r="J47" s="440"/>
      <c r="K47" s="440"/>
      <c r="L47" s="596"/>
    </row>
    <row r="48" spans="1:12" s="105" customFormat="1" x14ac:dyDescent="0.25">
      <c r="A48" s="440">
        <v>42</v>
      </c>
      <c r="B48" s="117" t="s">
        <v>97</v>
      </c>
      <c r="C48" s="118" t="s">
        <v>98</v>
      </c>
      <c r="D48" s="111">
        <f t="shared" si="0"/>
        <v>340</v>
      </c>
      <c r="E48" s="119">
        <v>340</v>
      </c>
      <c r="F48" s="440"/>
      <c r="G48" s="440"/>
      <c r="H48" s="440"/>
      <c r="I48" s="440">
        <v>100</v>
      </c>
      <c r="J48" s="440"/>
      <c r="K48" s="440"/>
      <c r="L48" s="596"/>
    </row>
    <row r="49" spans="1:12" s="105" customFormat="1" x14ac:dyDescent="0.25">
      <c r="A49" s="440">
        <v>43</v>
      </c>
      <c r="B49" s="114" t="s">
        <v>99</v>
      </c>
      <c r="C49" s="115" t="s">
        <v>100</v>
      </c>
      <c r="D49" s="111">
        <f t="shared" si="0"/>
        <v>5485</v>
      </c>
      <c r="E49" s="116">
        <v>5485</v>
      </c>
      <c r="F49" s="440"/>
      <c r="G49" s="440"/>
      <c r="H49" s="440">
        <v>17</v>
      </c>
      <c r="I49" s="440"/>
      <c r="J49" s="440"/>
      <c r="K49" s="440">
        <v>300</v>
      </c>
      <c r="L49" s="596"/>
    </row>
    <row r="50" spans="1:12" s="105" customFormat="1" x14ac:dyDescent="0.25">
      <c r="A50" s="440">
        <v>44</v>
      </c>
      <c r="B50" s="109" t="s">
        <v>101</v>
      </c>
      <c r="C50" s="112" t="s">
        <v>102</v>
      </c>
      <c r="D50" s="111">
        <f t="shared" si="0"/>
        <v>1349</v>
      </c>
      <c r="E50" s="113">
        <v>1349</v>
      </c>
      <c r="F50" s="440"/>
      <c r="G50" s="440"/>
      <c r="H50" s="440"/>
      <c r="I50" s="440"/>
      <c r="J50" s="440"/>
      <c r="K50" s="440"/>
      <c r="L50" s="596"/>
    </row>
    <row r="51" spans="1:12" s="105" customFormat="1" x14ac:dyDescent="0.25">
      <c r="A51" s="440">
        <v>45</v>
      </c>
      <c r="B51" s="114" t="s">
        <v>103</v>
      </c>
      <c r="C51" s="115" t="s">
        <v>104</v>
      </c>
      <c r="D51" s="111">
        <f t="shared" si="0"/>
        <v>4586</v>
      </c>
      <c r="E51" s="116">
        <v>4586</v>
      </c>
      <c r="F51" s="440"/>
      <c r="G51" s="440"/>
      <c r="H51" s="440">
        <v>0</v>
      </c>
      <c r="I51" s="440"/>
      <c r="J51" s="440"/>
      <c r="K51" s="440"/>
      <c r="L51" s="596"/>
    </row>
    <row r="52" spans="1:12" s="105" customFormat="1" x14ac:dyDescent="0.25">
      <c r="A52" s="440">
        <v>46</v>
      </c>
      <c r="B52" s="109" t="s">
        <v>105</v>
      </c>
      <c r="C52" s="112" t="s">
        <v>106</v>
      </c>
      <c r="D52" s="111">
        <f t="shared" si="0"/>
        <v>1009</v>
      </c>
      <c r="E52" s="113">
        <v>1009</v>
      </c>
      <c r="F52" s="440"/>
      <c r="G52" s="440"/>
      <c r="H52" s="440"/>
      <c r="I52" s="440"/>
      <c r="J52" s="440"/>
      <c r="K52" s="440"/>
      <c r="L52" s="596"/>
    </row>
    <row r="53" spans="1:12" s="105" customFormat="1" ht="10.5" customHeight="1" x14ac:dyDescent="0.25">
      <c r="A53" s="440">
        <v>47</v>
      </c>
      <c r="B53" s="109" t="s">
        <v>107</v>
      </c>
      <c r="C53" s="112" t="s">
        <v>108</v>
      </c>
      <c r="D53" s="111">
        <f t="shared" si="0"/>
        <v>1579</v>
      </c>
      <c r="E53" s="113">
        <v>1579</v>
      </c>
      <c r="F53" s="440"/>
      <c r="G53" s="440"/>
      <c r="H53" s="440"/>
      <c r="I53" s="440"/>
      <c r="J53" s="440"/>
      <c r="K53" s="440"/>
      <c r="L53" s="596"/>
    </row>
    <row r="54" spans="1:12" s="105" customFormat="1" x14ac:dyDescent="0.25">
      <c r="A54" s="440">
        <v>48</v>
      </c>
      <c r="B54" s="125" t="s">
        <v>109</v>
      </c>
      <c r="C54" s="443" t="s">
        <v>110</v>
      </c>
      <c r="D54" s="111">
        <f t="shared" si="0"/>
        <v>1903</v>
      </c>
      <c r="E54" s="444">
        <v>1903</v>
      </c>
      <c r="F54" s="440"/>
      <c r="G54" s="440"/>
      <c r="H54" s="440"/>
      <c r="I54" s="440"/>
      <c r="J54" s="440"/>
      <c r="K54" s="440"/>
      <c r="L54" s="596"/>
    </row>
    <row r="55" spans="1:12" s="105" customFormat="1" x14ac:dyDescent="0.25">
      <c r="A55" s="440">
        <v>49</v>
      </c>
      <c r="B55" s="114" t="s">
        <v>111</v>
      </c>
      <c r="C55" s="115" t="s">
        <v>112</v>
      </c>
      <c r="D55" s="111">
        <f t="shared" si="0"/>
        <v>640</v>
      </c>
      <c r="E55" s="116">
        <v>640</v>
      </c>
      <c r="F55" s="440"/>
      <c r="G55" s="440"/>
      <c r="H55" s="440"/>
      <c r="I55" s="440"/>
      <c r="J55" s="440"/>
      <c r="K55" s="440"/>
      <c r="L55" s="596"/>
    </row>
    <row r="56" spans="1:12" s="105" customFormat="1" x14ac:dyDescent="0.25">
      <c r="A56" s="440">
        <v>50</v>
      </c>
      <c r="B56" s="109" t="s">
        <v>113</v>
      </c>
      <c r="C56" s="112" t="s">
        <v>114</v>
      </c>
      <c r="D56" s="111">
        <f t="shared" si="0"/>
        <v>1275</v>
      </c>
      <c r="E56" s="113">
        <v>1275</v>
      </c>
      <c r="F56" s="440"/>
      <c r="G56" s="440"/>
      <c r="H56" s="440"/>
      <c r="I56" s="440"/>
      <c r="J56" s="440"/>
      <c r="K56" s="440"/>
      <c r="L56" s="596"/>
    </row>
    <row r="57" spans="1:12" s="105" customFormat="1" ht="10.5" customHeight="1" x14ac:dyDescent="0.25">
      <c r="A57" s="440">
        <v>51</v>
      </c>
      <c r="B57" s="114" t="s">
        <v>115</v>
      </c>
      <c r="C57" s="115" t="s">
        <v>116</v>
      </c>
      <c r="D57" s="111">
        <f t="shared" si="0"/>
        <v>1918</v>
      </c>
      <c r="E57" s="116">
        <v>1918</v>
      </c>
      <c r="F57" s="440"/>
      <c r="G57" s="440"/>
      <c r="H57" s="440"/>
      <c r="I57" s="440"/>
      <c r="J57" s="440"/>
      <c r="K57" s="440"/>
      <c r="L57" s="596"/>
    </row>
    <row r="58" spans="1:12" s="105" customFormat="1" x14ac:dyDescent="0.25">
      <c r="A58" s="440">
        <v>52</v>
      </c>
      <c r="B58" s="109" t="s">
        <v>117</v>
      </c>
      <c r="C58" s="112" t="s">
        <v>118</v>
      </c>
      <c r="D58" s="111">
        <f t="shared" si="0"/>
        <v>6790</v>
      </c>
      <c r="E58" s="113">
        <v>6790</v>
      </c>
      <c r="F58" s="440"/>
      <c r="G58" s="440"/>
      <c r="H58" s="440">
        <v>10</v>
      </c>
      <c r="I58" s="440"/>
      <c r="J58" s="440"/>
      <c r="K58" s="440"/>
      <c r="L58" s="596"/>
    </row>
    <row r="59" spans="1:12" s="105" customFormat="1" x14ac:dyDescent="0.25">
      <c r="A59" s="440">
        <v>53</v>
      </c>
      <c r="B59" s="114" t="s">
        <v>119</v>
      </c>
      <c r="C59" s="115" t="s">
        <v>120</v>
      </c>
      <c r="D59" s="111">
        <f t="shared" si="0"/>
        <v>1052</v>
      </c>
      <c r="E59" s="116">
        <v>1052</v>
      </c>
      <c r="F59" s="440"/>
      <c r="G59" s="440"/>
      <c r="H59" s="440"/>
      <c r="I59" s="440"/>
      <c r="J59" s="440"/>
      <c r="K59" s="440"/>
      <c r="L59" s="596"/>
    </row>
    <row r="60" spans="1:12" s="105" customFormat="1" x14ac:dyDescent="0.25">
      <c r="A60" s="440">
        <v>54</v>
      </c>
      <c r="B60" s="114" t="s">
        <v>121</v>
      </c>
      <c r="C60" s="115" t="s">
        <v>122</v>
      </c>
      <c r="D60" s="111">
        <f t="shared" si="0"/>
        <v>5</v>
      </c>
      <c r="E60" s="116">
        <v>5</v>
      </c>
      <c r="F60" s="440"/>
      <c r="G60" s="440"/>
      <c r="H60" s="440"/>
      <c r="I60" s="440"/>
      <c r="J60" s="440"/>
      <c r="K60" s="440"/>
      <c r="L60" s="596"/>
    </row>
    <row r="61" spans="1:12" s="105" customFormat="1" x14ac:dyDescent="0.25">
      <c r="A61" s="440">
        <v>55</v>
      </c>
      <c r="B61" s="114" t="s">
        <v>123</v>
      </c>
      <c r="C61" s="115" t="s">
        <v>124</v>
      </c>
      <c r="D61" s="111">
        <f t="shared" si="0"/>
        <v>0</v>
      </c>
      <c r="E61" s="116">
        <v>0</v>
      </c>
      <c r="F61" s="440"/>
      <c r="G61" s="440"/>
      <c r="H61" s="440"/>
      <c r="I61" s="440"/>
      <c r="J61" s="440"/>
      <c r="K61" s="440"/>
      <c r="L61" s="596"/>
    </row>
    <row r="62" spans="1:12" s="105" customFormat="1" x14ac:dyDescent="0.25">
      <c r="A62" s="440">
        <v>56</v>
      </c>
      <c r="B62" s="114">
        <v>29179</v>
      </c>
      <c r="C62" s="115" t="s">
        <v>126</v>
      </c>
      <c r="D62" s="111">
        <f t="shared" si="0"/>
        <v>0</v>
      </c>
      <c r="E62" s="116">
        <v>0</v>
      </c>
      <c r="F62" s="440"/>
      <c r="G62" s="440"/>
      <c r="H62" s="440"/>
      <c r="I62" s="440"/>
      <c r="J62" s="440"/>
      <c r="K62" s="440">
        <v>360</v>
      </c>
      <c r="L62" s="596"/>
    </row>
    <row r="63" spans="1:12" s="105" customFormat="1" ht="12" customHeight="1" x14ac:dyDescent="0.25">
      <c r="A63" s="440">
        <v>57</v>
      </c>
      <c r="B63" s="114" t="s">
        <v>127</v>
      </c>
      <c r="C63" s="115" t="s">
        <v>128</v>
      </c>
      <c r="D63" s="111">
        <f t="shared" si="0"/>
        <v>2130</v>
      </c>
      <c r="E63" s="116">
        <v>2130</v>
      </c>
      <c r="F63" s="440"/>
      <c r="G63" s="440"/>
      <c r="H63" s="440"/>
      <c r="I63" s="440"/>
      <c r="J63" s="440"/>
      <c r="K63" s="440"/>
      <c r="L63" s="596"/>
    </row>
    <row r="64" spans="1:12" s="105" customFormat="1" ht="12.75" customHeight="1" x14ac:dyDescent="0.25">
      <c r="A64" s="440">
        <v>58</v>
      </c>
      <c r="B64" s="114" t="s">
        <v>129</v>
      </c>
      <c r="C64" s="115" t="s">
        <v>459</v>
      </c>
      <c r="D64" s="111">
        <f t="shared" si="0"/>
        <v>1571</v>
      </c>
      <c r="E64" s="116">
        <v>1571</v>
      </c>
      <c r="F64" s="440"/>
      <c r="G64" s="440"/>
      <c r="H64" s="440"/>
      <c r="I64" s="440"/>
      <c r="J64" s="440"/>
      <c r="K64" s="440"/>
      <c r="L64" s="596"/>
    </row>
    <row r="65" spans="1:12" s="105" customFormat="1" ht="11.25" customHeight="1" x14ac:dyDescent="0.25">
      <c r="A65" s="440">
        <v>59</v>
      </c>
      <c r="B65" s="114" t="s">
        <v>131</v>
      </c>
      <c r="C65" s="115" t="s">
        <v>460</v>
      </c>
      <c r="D65" s="111">
        <f t="shared" si="0"/>
        <v>2385</v>
      </c>
      <c r="E65" s="116">
        <v>2385</v>
      </c>
      <c r="F65" s="440"/>
      <c r="G65" s="440"/>
      <c r="H65" s="440"/>
      <c r="I65" s="440"/>
      <c r="J65" s="440"/>
      <c r="K65" s="440"/>
      <c r="L65" s="596"/>
    </row>
    <row r="66" spans="1:12" s="105" customFormat="1" ht="11.25" customHeight="1" x14ac:dyDescent="0.25">
      <c r="A66" s="440">
        <v>60</v>
      </c>
      <c r="B66" s="109" t="s">
        <v>133</v>
      </c>
      <c r="C66" s="115" t="s">
        <v>299</v>
      </c>
      <c r="D66" s="111">
        <f t="shared" si="0"/>
        <v>2913</v>
      </c>
      <c r="E66" s="116">
        <v>2913</v>
      </c>
      <c r="F66" s="440"/>
      <c r="G66" s="440"/>
      <c r="H66" s="440"/>
      <c r="I66" s="440"/>
      <c r="J66" s="440"/>
      <c r="K66" s="440"/>
      <c r="L66" s="596"/>
    </row>
    <row r="67" spans="1:12" s="105" customFormat="1" ht="11.25" customHeight="1" x14ac:dyDescent="0.25">
      <c r="A67" s="440">
        <v>61</v>
      </c>
      <c r="B67" s="117" t="s">
        <v>135</v>
      </c>
      <c r="C67" s="115" t="s">
        <v>461</v>
      </c>
      <c r="D67" s="111">
        <f t="shared" si="0"/>
        <v>1263</v>
      </c>
      <c r="E67" s="116">
        <v>1263</v>
      </c>
      <c r="F67" s="440"/>
      <c r="G67" s="440"/>
      <c r="H67" s="440"/>
      <c r="I67" s="440"/>
      <c r="J67" s="440"/>
      <c r="K67" s="440"/>
      <c r="L67" s="596"/>
    </row>
    <row r="68" spans="1:12" s="105" customFormat="1" ht="28.5" customHeight="1" x14ac:dyDescent="0.25">
      <c r="A68" s="440">
        <v>62</v>
      </c>
      <c r="B68" s="109" t="s">
        <v>137</v>
      </c>
      <c r="C68" s="115" t="s">
        <v>639</v>
      </c>
      <c r="D68" s="111">
        <f t="shared" si="0"/>
        <v>0</v>
      </c>
      <c r="E68" s="116">
        <v>0</v>
      </c>
      <c r="F68" s="440"/>
      <c r="G68" s="440"/>
      <c r="H68" s="440"/>
      <c r="I68" s="440"/>
      <c r="J68" s="440"/>
      <c r="K68" s="440"/>
      <c r="L68" s="596"/>
    </row>
    <row r="69" spans="1:12" s="105" customFormat="1" ht="28.5" customHeight="1" x14ac:dyDescent="0.25">
      <c r="A69" s="440">
        <v>63</v>
      </c>
      <c r="B69" s="114" t="s">
        <v>139</v>
      </c>
      <c r="C69" s="115" t="s">
        <v>640</v>
      </c>
      <c r="D69" s="111">
        <f t="shared" si="0"/>
        <v>0</v>
      </c>
      <c r="E69" s="116">
        <v>0</v>
      </c>
      <c r="F69" s="440"/>
      <c r="G69" s="440"/>
      <c r="H69" s="440"/>
      <c r="I69" s="440"/>
      <c r="J69" s="440"/>
      <c r="K69" s="440"/>
      <c r="L69" s="596"/>
    </row>
    <row r="70" spans="1:12" s="105" customFormat="1" ht="11.25" customHeight="1" x14ac:dyDescent="0.25">
      <c r="A70" s="440">
        <v>64</v>
      </c>
      <c r="B70" s="109" t="s">
        <v>141</v>
      </c>
      <c r="C70" s="115" t="s">
        <v>456</v>
      </c>
      <c r="D70" s="111">
        <f t="shared" si="0"/>
        <v>3980</v>
      </c>
      <c r="E70" s="116">
        <v>3980</v>
      </c>
      <c r="F70" s="440"/>
      <c r="G70" s="440"/>
      <c r="H70" s="440"/>
      <c r="I70" s="440"/>
      <c r="J70" s="440"/>
      <c r="K70" s="440"/>
      <c r="L70" s="596"/>
    </row>
    <row r="71" spans="1:12" s="105" customFormat="1" ht="11.25" customHeight="1" x14ac:dyDescent="0.25">
      <c r="A71" s="440">
        <v>65</v>
      </c>
      <c r="B71" s="109" t="s">
        <v>143</v>
      </c>
      <c r="C71" s="115" t="s">
        <v>144</v>
      </c>
      <c r="D71" s="111">
        <f t="shared" ref="D71:D134" si="1">E71+J71</f>
        <v>2375</v>
      </c>
      <c r="E71" s="116">
        <v>2375</v>
      </c>
      <c r="F71" s="440"/>
      <c r="G71" s="440"/>
      <c r="H71" s="440"/>
      <c r="I71" s="440"/>
      <c r="J71" s="440"/>
      <c r="K71" s="440">
        <v>300</v>
      </c>
      <c r="L71" s="596"/>
    </row>
    <row r="72" spans="1:12" s="105" customFormat="1" x14ac:dyDescent="0.25">
      <c r="A72" s="440">
        <v>66</v>
      </c>
      <c r="B72" s="109" t="s">
        <v>145</v>
      </c>
      <c r="C72" s="115" t="s">
        <v>457</v>
      </c>
      <c r="D72" s="111">
        <f t="shared" si="1"/>
        <v>5695</v>
      </c>
      <c r="E72" s="116">
        <v>5695</v>
      </c>
      <c r="F72" s="440">
        <v>32</v>
      </c>
      <c r="G72" s="440"/>
      <c r="H72" s="440"/>
      <c r="I72" s="440"/>
      <c r="J72" s="440"/>
      <c r="K72" s="440"/>
      <c r="L72" s="596"/>
    </row>
    <row r="73" spans="1:12" s="105" customFormat="1" ht="24" x14ac:dyDescent="0.25">
      <c r="A73" s="440">
        <v>67</v>
      </c>
      <c r="B73" s="109" t="s">
        <v>147</v>
      </c>
      <c r="C73" s="115" t="s">
        <v>641</v>
      </c>
      <c r="D73" s="111">
        <f t="shared" si="1"/>
        <v>0</v>
      </c>
      <c r="E73" s="116">
        <v>0</v>
      </c>
      <c r="F73" s="440"/>
      <c r="G73" s="440"/>
      <c r="H73" s="440"/>
      <c r="I73" s="440"/>
      <c r="J73" s="440"/>
      <c r="K73" s="440"/>
      <c r="L73" s="596"/>
    </row>
    <row r="74" spans="1:12" s="105" customFormat="1" ht="24" x14ac:dyDescent="0.25">
      <c r="A74" s="440">
        <v>68</v>
      </c>
      <c r="B74" s="109" t="s">
        <v>149</v>
      </c>
      <c r="C74" s="115" t="s">
        <v>463</v>
      </c>
      <c r="D74" s="111">
        <f t="shared" si="1"/>
        <v>0</v>
      </c>
      <c r="E74" s="116">
        <v>0</v>
      </c>
      <c r="F74" s="440"/>
      <c r="G74" s="440"/>
      <c r="H74" s="440"/>
      <c r="I74" s="440"/>
      <c r="J74" s="440"/>
      <c r="K74" s="440"/>
      <c r="L74" s="596"/>
    </row>
    <row r="75" spans="1:12" s="105" customFormat="1" ht="24" x14ac:dyDescent="0.25">
      <c r="A75" s="440">
        <v>69</v>
      </c>
      <c r="B75" s="109" t="s">
        <v>151</v>
      </c>
      <c r="C75" s="115" t="s">
        <v>642</v>
      </c>
      <c r="D75" s="111">
        <f t="shared" si="1"/>
        <v>0</v>
      </c>
      <c r="E75" s="116">
        <v>0</v>
      </c>
      <c r="F75" s="440"/>
      <c r="G75" s="440"/>
      <c r="H75" s="440"/>
      <c r="I75" s="440"/>
      <c r="J75" s="440"/>
      <c r="K75" s="440"/>
      <c r="L75" s="596"/>
    </row>
    <row r="76" spans="1:12" s="105" customFormat="1" ht="24" x14ac:dyDescent="0.25">
      <c r="A76" s="440">
        <v>70</v>
      </c>
      <c r="B76" s="109" t="s">
        <v>153</v>
      </c>
      <c r="C76" s="115" t="s">
        <v>643</v>
      </c>
      <c r="D76" s="111">
        <f t="shared" si="1"/>
        <v>0</v>
      </c>
      <c r="E76" s="116">
        <v>0</v>
      </c>
      <c r="F76" s="440"/>
      <c r="G76" s="440"/>
      <c r="H76" s="440"/>
      <c r="I76" s="440"/>
      <c r="J76" s="440"/>
      <c r="K76" s="440"/>
      <c r="L76" s="596"/>
    </row>
    <row r="77" spans="1:12" s="105" customFormat="1" ht="24" x14ac:dyDescent="0.25">
      <c r="A77" s="440">
        <v>71</v>
      </c>
      <c r="B77" s="114" t="s">
        <v>155</v>
      </c>
      <c r="C77" s="115" t="s">
        <v>644</v>
      </c>
      <c r="D77" s="111">
        <f t="shared" si="1"/>
        <v>0</v>
      </c>
      <c r="E77" s="116">
        <v>0</v>
      </c>
      <c r="F77" s="440"/>
      <c r="G77" s="440"/>
      <c r="H77" s="440"/>
      <c r="I77" s="440"/>
      <c r="J77" s="440"/>
      <c r="K77" s="440"/>
      <c r="L77" s="596"/>
    </row>
    <row r="78" spans="1:12" s="105" customFormat="1" ht="24" x14ac:dyDescent="0.25">
      <c r="A78" s="440">
        <v>72</v>
      </c>
      <c r="B78" s="109" t="s">
        <v>157</v>
      </c>
      <c r="C78" s="112" t="s">
        <v>645</v>
      </c>
      <c r="D78" s="111">
        <f t="shared" si="1"/>
        <v>0</v>
      </c>
      <c r="E78" s="113">
        <v>0</v>
      </c>
      <c r="F78" s="440"/>
      <c r="G78" s="440"/>
      <c r="H78" s="440"/>
      <c r="I78" s="440"/>
      <c r="J78" s="440"/>
      <c r="K78" s="440"/>
      <c r="L78" s="596"/>
    </row>
    <row r="79" spans="1:12" s="105" customFormat="1" ht="24" x14ac:dyDescent="0.25">
      <c r="A79" s="440">
        <v>73</v>
      </c>
      <c r="B79" s="114" t="s">
        <v>159</v>
      </c>
      <c r="C79" s="115" t="s">
        <v>646</v>
      </c>
      <c r="D79" s="111">
        <f t="shared" si="1"/>
        <v>0</v>
      </c>
      <c r="E79" s="116">
        <v>0</v>
      </c>
      <c r="F79" s="440"/>
      <c r="G79" s="440"/>
      <c r="H79" s="440"/>
      <c r="I79" s="440"/>
      <c r="J79" s="440"/>
      <c r="K79" s="440"/>
      <c r="L79" s="596"/>
    </row>
    <row r="80" spans="1:12" s="105" customFormat="1" x14ac:dyDescent="0.25">
      <c r="A80" s="440">
        <v>74</v>
      </c>
      <c r="B80" s="109" t="s">
        <v>161</v>
      </c>
      <c r="C80" s="115" t="s">
        <v>162</v>
      </c>
      <c r="D80" s="111">
        <f t="shared" si="1"/>
        <v>4344</v>
      </c>
      <c r="E80" s="116">
        <v>4344</v>
      </c>
      <c r="F80" s="440"/>
      <c r="G80" s="440"/>
      <c r="H80" s="440"/>
      <c r="I80" s="440"/>
      <c r="J80" s="440"/>
      <c r="K80" s="440"/>
      <c r="L80" s="596"/>
    </row>
    <row r="81" spans="1:12" s="105" customFormat="1" x14ac:dyDescent="0.25">
      <c r="A81" s="440">
        <v>75</v>
      </c>
      <c r="B81" s="114" t="s">
        <v>163</v>
      </c>
      <c r="C81" s="115" t="s">
        <v>458</v>
      </c>
      <c r="D81" s="111">
        <f t="shared" si="1"/>
        <v>7669</v>
      </c>
      <c r="E81" s="116">
        <v>7669</v>
      </c>
      <c r="F81" s="440"/>
      <c r="G81" s="440"/>
      <c r="H81" s="440"/>
      <c r="I81" s="440"/>
      <c r="J81" s="440"/>
      <c r="K81" s="440">
        <v>400</v>
      </c>
      <c r="L81" s="596"/>
    </row>
    <row r="82" spans="1:12" s="105" customFormat="1" x14ac:dyDescent="0.25">
      <c r="A82" s="440">
        <v>76</v>
      </c>
      <c r="B82" s="114" t="s">
        <v>165</v>
      </c>
      <c r="C82" s="115" t="s">
        <v>166</v>
      </c>
      <c r="D82" s="111">
        <f t="shared" si="1"/>
        <v>5213</v>
      </c>
      <c r="E82" s="116">
        <v>5213</v>
      </c>
      <c r="F82" s="440"/>
      <c r="G82" s="440"/>
      <c r="H82" s="440"/>
      <c r="I82" s="440"/>
      <c r="J82" s="440"/>
      <c r="K82" s="440">
        <v>186</v>
      </c>
      <c r="L82" s="596"/>
    </row>
    <row r="83" spans="1:12" s="105" customFormat="1" x14ac:dyDescent="0.25">
      <c r="A83" s="440">
        <v>77</v>
      </c>
      <c r="B83" s="126" t="s">
        <v>167</v>
      </c>
      <c r="C83" s="443" t="s">
        <v>168</v>
      </c>
      <c r="D83" s="111">
        <f t="shared" si="1"/>
        <v>1750</v>
      </c>
      <c r="E83" s="444">
        <v>1750</v>
      </c>
      <c r="F83" s="440"/>
      <c r="G83" s="440"/>
      <c r="H83" s="440"/>
      <c r="I83" s="440"/>
      <c r="J83" s="440"/>
      <c r="K83" s="440"/>
      <c r="L83" s="596"/>
    </row>
    <row r="84" spans="1:12" s="105" customFormat="1" x14ac:dyDescent="0.25">
      <c r="A84" s="440">
        <v>78</v>
      </c>
      <c r="B84" s="109" t="s">
        <v>169</v>
      </c>
      <c r="C84" s="115" t="s">
        <v>170</v>
      </c>
      <c r="D84" s="111">
        <f t="shared" si="1"/>
        <v>7653</v>
      </c>
      <c r="E84" s="116">
        <v>7653</v>
      </c>
      <c r="F84" s="440">
        <v>475</v>
      </c>
      <c r="G84" s="440"/>
      <c r="H84" s="440"/>
      <c r="I84" s="440"/>
      <c r="J84" s="440"/>
      <c r="K84" s="440">
        <v>480</v>
      </c>
      <c r="L84" s="596"/>
    </row>
    <row r="85" spans="1:12" s="105" customFormat="1" x14ac:dyDescent="0.25">
      <c r="A85" s="440">
        <v>79</v>
      </c>
      <c r="B85" s="109" t="s">
        <v>171</v>
      </c>
      <c r="C85" s="115" t="s">
        <v>172</v>
      </c>
      <c r="D85" s="111">
        <f t="shared" si="1"/>
        <v>1710</v>
      </c>
      <c r="E85" s="116">
        <v>1710</v>
      </c>
      <c r="F85" s="440"/>
      <c r="G85" s="440"/>
      <c r="H85" s="440"/>
      <c r="I85" s="440"/>
      <c r="J85" s="440"/>
      <c r="K85" s="440">
        <v>231</v>
      </c>
      <c r="L85" s="596"/>
    </row>
    <row r="86" spans="1:12" s="105" customFormat="1" x14ac:dyDescent="0.25">
      <c r="A86" s="440">
        <v>80</v>
      </c>
      <c r="B86" s="109" t="s">
        <v>173</v>
      </c>
      <c r="C86" s="115" t="s">
        <v>616</v>
      </c>
      <c r="D86" s="111">
        <f t="shared" si="1"/>
        <v>5676</v>
      </c>
      <c r="E86" s="116">
        <v>5676</v>
      </c>
      <c r="F86" s="440"/>
      <c r="G86" s="440"/>
      <c r="H86" s="440"/>
      <c r="I86" s="440"/>
      <c r="J86" s="440"/>
      <c r="K86" s="440"/>
      <c r="L86" s="596"/>
    </row>
    <row r="87" spans="1:12" s="105" customFormat="1" x14ac:dyDescent="0.25">
      <c r="A87" s="440">
        <v>81</v>
      </c>
      <c r="B87" s="109" t="s">
        <v>175</v>
      </c>
      <c r="C87" s="115" t="s">
        <v>746</v>
      </c>
      <c r="D87" s="111">
        <f t="shared" si="1"/>
        <v>677</v>
      </c>
      <c r="E87" s="116">
        <v>677</v>
      </c>
      <c r="F87" s="440"/>
      <c r="G87" s="440"/>
      <c r="H87" s="440"/>
      <c r="I87" s="440"/>
      <c r="J87" s="440"/>
      <c r="K87" s="440"/>
      <c r="L87" s="596"/>
    </row>
    <row r="88" spans="1:12" s="105" customFormat="1" x14ac:dyDescent="0.25">
      <c r="A88" s="440">
        <v>82</v>
      </c>
      <c r="B88" s="109" t="s">
        <v>177</v>
      </c>
      <c r="C88" s="115" t="s">
        <v>647</v>
      </c>
      <c r="D88" s="111">
        <f t="shared" si="1"/>
        <v>0</v>
      </c>
      <c r="E88" s="116">
        <v>0</v>
      </c>
      <c r="F88" s="440"/>
      <c r="G88" s="440"/>
      <c r="H88" s="440"/>
      <c r="I88" s="440"/>
      <c r="J88" s="440"/>
      <c r="K88" s="440"/>
      <c r="L88" s="596"/>
    </row>
    <row r="89" spans="1:12" s="105" customFormat="1" x14ac:dyDescent="0.25">
      <c r="A89" s="440">
        <v>83</v>
      </c>
      <c r="B89" s="109" t="s">
        <v>178</v>
      </c>
      <c r="C89" s="115" t="s">
        <v>324</v>
      </c>
      <c r="D89" s="111">
        <f t="shared" si="1"/>
        <v>5000</v>
      </c>
      <c r="E89" s="116">
        <v>5000</v>
      </c>
      <c r="F89" s="440"/>
      <c r="G89" s="440"/>
      <c r="H89" s="440"/>
      <c r="I89" s="440"/>
      <c r="J89" s="440"/>
      <c r="K89" s="440"/>
      <c r="L89" s="596"/>
    </row>
    <row r="90" spans="1:12" s="105" customFormat="1" ht="27" customHeight="1" x14ac:dyDescent="0.25">
      <c r="A90" s="440">
        <v>84</v>
      </c>
      <c r="B90" s="114" t="s">
        <v>181</v>
      </c>
      <c r="C90" s="115" t="s">
        <v>182</v>
      </c>
      <c r="D90" s="111">
        <f t="shared" si="1"/>
        <v>0</v>
      </c>
      <c r="E90" s="116">
        <v>0</v>
      </c>
      <c r="F90" s="440"/>
      <c r="G90" s="440"/>
      <c r="H90" s="440"/>
      <c r="I90" s="440"/>
      <c r="J90" s="440"/>
      <c r="K90" s="440"/>
      <c r="L90" s="596"/>
    </row>
    <row r="91" spans="1:12" s="105" customFormat="1" x14ac:dyDescent="0.25">
      <c r="A91" s="440">
        <v>85</v>
      </c>
      <c r="B91" s="109" t="s">
        <v>183</v>
      </c>
      <c r="C91" s="115" t="s">
        <v>184</v>
      </c>
      <c r="D91" s="111">
        <f t="shared" si="1"/>
        <v>95</v>
      </c>
      <c r="E91" s="116">
        <v>95</v>
      </c>
      <c r="F91" s="440"/>
      <c r="G91" s="440"/>
      <c r="H91" s="440"/>
      <c r="I91" s="440"/>
      <c r="J91" s="440"/>
      <c r="K91" s="440"/>
      <c r="L91" s="596"/>
    </row>
    <row r="92" spans="1:12" s="105" customFormat="1" x14ac:dyDescent="0.25">
      <c r="A92" s="440">
        <v>86</v>
      </c>
      <c r="B92" s="114" t="s">
        <v>185</v>
      </c>
      <c r="C92" s="115" t="s">
        <v>186</v>
      </c>
      <c r="D92" s="111">
        <f t="shared" si="1"/>
        <v>1171</v>
      </c>
      <c r="E92" s="116">
        <v>1171</v>
      </c>
      <c r="F92" s="440"/>
      <c r="G92" s="440"/>
      <c r="H92" s="440"/>
      <c r="I92" s="440"/>
      <c r="J92" s="440"/>
      <c r="K92" s="440">
        <v>400</v>
      </c>
      <c r="L92" s="596"/>
    </row>
    <row r="93" spans="1:12" s="105" customFormat="1" x14ac:dyDescent="0.25">
      <c r="A93" s="440">
        <v>87</v>
      </c>
      <c r="B93" s="117" t="s">
        <v>187</v>
      </c>
      <c r="C93" s="118" t="s">
        <v>188</v>
      </c>
      <c r="D93" s="111">
        <f t="shared" si="1"/>
        <v>897</v>
      </c>
      <c r="E93" s="119">
        <v>897</v>
      </c>
      <c r="F93" s="440"/>
      <c r="G93" s="440"/>
      <c r="H93" s="440"/>
      <c r="I93" s="440"/>
      <c r="J93" s="440"/>
      <c r="K93" s="440"/>
      <c r="L93" s="596"/>
    </row>
    <row r="94" spans="1:12" s="105" customFormat="1" x14ac:dyDescent="0.25">
      <c r="A94" s="440">
        <v>88</v>
      </c>
      <c r="B94" s="109" t="s">
        <v>189</v>
      </c>
      <c r="C94" s="115" t="s">
        <v>190</v>
      </c>
      <c r="D94" s="111">
        <f t="shared" si="1"/>
        <v>912</v>
      </c>
      <c r="E94" s="116">
        <v>912</v>
      </c>
      <c r="F94" s="440"/>
      <c r="G94" s="440"/>
      <c r="H94" s="440"/>
      <c r="I94" s="440"/>
      <c r="J94" s="440"/>
      <c r="K94" s="440"/>
      <c r="L94" s="596"/>
    </row>
    <row r="95" spans="1:12" s="105" customFormat="1" x14ac:dyDescent="0.25">
      <c r="A95" s="440">
        <v>89</v>
      </c>
      <c r="B95" s="109" t="s">
        <v>191</v>
      </c>
      <c r="C95" s="115" t="s">
        <v>192</v>
      </c>
      <c r="D95" s="111">
        <f t="shared" si="1"/>
        <v>2561</v>
      </c>
      <c r="E95" s="116">
        <v>2561</v>
      </c>
      <c r="F95" s="440"/>
      <c r="G95" s="440"/>
      <c r="H95" s="440"/>
      <c r="I95" s="440"/>
      <c r="J95" s="440"/>
      <c r="K95" s="440"/>
      <c r="L95" s="596"/>
    </row>
    <row r="96" spans="1:12" s="105" customFormat="1" ht="13.5" customHeight="1" x14ac:dyDescent="0.25">
      <c r="A96" s="440">
        <v>90</v>
      </c>
      <c r="B96" s="117" t="s">
        <v>193</v>
      </c>
      <c r="C96" s="118" t="s">
        <v>194</v>
      </c>
      <c r="D96" s="111">
        <f t="shared" si="1"/>
        <v>1080</v>
      </c>
      <c r="E96" s="119">
        <v>1080</v>
      </c>
      <c r="F96" s="440"/>
      <c r="G96" s="440"/>
      <c r="H96" s="440"/>
      <c r="I96" s="440"/>
      <c r="J96" s="440"/>
      <c r="K96" s="440"/>
      <c r="L96" s="596"/>
    </row>
    <row r="97" spans="1:12" s="105" customFormat="1" ht="14.25" customHeight="1" x14ac:dyDescent="0.25">
      <c r="A97" s="440">
        <v>91</v>
      </c>
      <c r="B97" s="109" t="s">
        <v>195</v>
      </c>
      <c r="C97" s="115" t="s">
        <v>196</v>
      </c>
      <c r="D97" s="111">
        <f t="shared" si="1"/>
        <v>1334</v>
      </c>
      <c r="E97" s="116">
        <v>1334</v>
      </c>
      <c r="F97" s="440"/>
      <c r="G97" s="440"/>
      <c r="H97" s="440"/>
      <c r="I97" s="440"/>
      <c r="J97" s="440"/>
      <c r="K97" s="440"/>
      <c r="L97" s="596"/>
    </row>
    <row r="98" spans="1:12" s="105" customFormat="1" x14ac:dyDescent="0.25">
      <c r="A98" s="440">
        <v>92</v>
      </c>
      <c r="B98" s="117" t="s">
        <v>197</v>
      </c>
      <c r="C98" s="118" t="s">
        <v>198</v>
      </c>
      <c r="D98" s="111">
        <f t="shared" si="1"/>
        <v>3045</v>
      </c>
      <c r="E98" s="119">
        <v>3045</v>
      </c>
      <c r="F98" s="440"/>
      <c r="G98" s="440"/>
      <c r="H98" s="440"/>
      <c r="I98" s="440"/>
      <c r="J98" s="440"/>
      <c r="K98" s="440"/>
      <c r="L98" s="596"/>
    </row>
    <row r="99" spans="1:12" s="105" customFormat="1" x14ac:dyDescent="0.25">
      <c r="A99" s="440">
        <v>93</v>
      </c>
      <c r="B99" s="109" t="s">
        <v>199</v>
      </c>
      <c r="C99" s="115" t="s">
        <v>200</v>
      </c>
      <c r="D99" s="111">
        <f t="shared" si="1"/>
        <v>2400</v>
      </c>
      <c r="E99" s="116">
        <v>2400</v>
      </c>
      <c r="F99" s="440"/>
      <c r="G99" s="440"/>
      <c r="H99" s="440"/>
      <c r="I99" s="440"/>
      <c r="J99" s="440"/>
      <c r="K99" s="440"/>
      <c r="L99" s="596"/>
    </row>
    <row r="100" spans="1:12" s="105" customFormat="1" ht="12" customHeight="1" x14ac:dyDescent="0.25">
      <c r="A100" s="440">
        <v>94</v>
      </c>
      <c r="B100" s="114" t="s">
        <v>201</v>
      </c>
      <c r="C100" s="115" t="s">
        <v>202</v>
      </c>
      <c r="D100" s="111">
        <f t="shared" si="1"/>
        <v>832</v>
      </c>
      <c r="E100" s="116">
        <v>832</v>
      </c>
      <c r="F100" s="440"/>
      <c r="G100" s="440"/>
      <c r="H100" s="440"/>
      <c r="I100" s="440"/>
      <c r="J100" s="440"/>
      <c r="K100" s="440"/>
      <c r="L100" s="596"/>
    </row>
    <row r="101" spans="1:12" s="105" customFormat="1" x14ac:dyDescent="0.25">
      <c r="A101" s="440">
        <v>95</v>
      </c>
      <c r="B101" s="109" t="s">
        <v>203</v>
      </c>
      <c r="C101" s="112" t="s">
        <v>204</v>
      </c>
      <c r="D101" s="111">
        <f t="shared" si="1"/>
        <v>1282</v>
      </c>
      <c r="E101" s="113">
        <v>1282</v>
      </c>
      <c r="F101" s="440"/>
      <c r="G101" s="440"/>
      <c r="H101" s="440"/>
      <c r="I101" s="440"/>
      <c r="J101" s="440"/>
      <c r="K101" s="440"/>
      <c r="L101" s="596"/>
    </row>
    <row r="102" spans="1:12" s="105" customFormat="1" x14ac:dyDescent="0.25">
      <c r="A102" s="440">
        <v>96</v>
      </c>
      <c r="B102" s="109" t="s">
        <v>205</v>
      </c>
      <c r="C102" s="118" t="s">
        <v>206</v>
      </c>
      <c r="D102" s="111">
        <f t="shared" si="1"/>
        <v>1250</v>
      </c>
      <c r="E102" s="119">
        <v>1250</v>
      </c>
      <c r="F102" s="440"/>
      <c r="G102" s="440"/>
      <c r="H102" s="440"/>
      <c r="I102" s="440"/>
      <c r="J102" s="440"/>
      <c r="K102" s="440"/>
      <c r="L102" s="596"/>
    </row>
    <row r="103" spans="1:12" s="105" customFormat="1" x14ac:dyDescent="0.25">
      <c r="A103" s="440">
        <v>97</v>
      </c>
      <c r="B103" s="114" t="s">
        <v>207</v>
      </c>
      <c r="C103" s="115" t="s">
        <v>208</v>
      </c>
      <c r="D103" s="111">
        <f t="shared" si="1"/>
        <v>1479</v>
      </c>
      <c r="E103" s="116">
        <v>1479</v>
      </c>
      <c r="F103" s="440">
        <v>7</v>
      </c>
      <c r="G103" s="440"/>
      <c r="H103" s="440">
        <v>7</v>
      </c>
      <c r="I103" s="440"/>
      <c r="J103" s="440"/>
      <c r="K103" s="440"/>
      <c r="L103" s="596"/>
    </row>
    <row r="104" spans="1:12" s="105" customFormat="1" x14ac:dyDescent="0.25">
      <c r="A104" s="440">
        <v>98</v>
      </c>
      <c r="B104" s="109" t="s">
        <v>209</v>
      </c>
      <c r="C104" s="445" t="s">
        <v>210</v>
      </c>
      <c r="D104" s="111">
        <f t="shared" si="1"/>
        <v>970</v>
      </c>
      <c r="E104" s="446">
        <v>970</v>
      </c>
      <c r="F104" s="440"/>
      <c r="G104" s="440"/>
      <c r="H104" s="440"/>
      <c r="I104" s="440"/>
      <c r="J104" s="440"/>
      <c r="K104" s="440"/>
      <c r="L104" s="596"/>
    </row>
    <row r="105" spans="1:12" s="105" customFormat="1" x14ac:dyDescent="0.25">
      <c r="A105" s="440">
        <v>99</v>
      </c>
      <c r="B105" s="114" t="s">
        <v>211</v>
      </c>
      <c r="C105" s="115" t="s">
        <v>212</v>
      </c>
      <c r="D105" s="111">
        <f t="shared" si="1"/>
        <v>1395</v>
      </c>
      <c r="E105" s="116">
        <v>1395</v>
      </c>
      <c r="F105" s="440"/>
      <c r="G105" s="440"/>
      <c r="H105" s="440">
        <v>0</v>
      </c>
      <c r="I105" s="440"/>
      <c r="J105" s="440"/>
      <c r="K105" s="440"/>
      <c r="L105" s="596"/>
    </row>
    <row r="106" spans="1:12" s="105" customFormat="1" x14ac:dyDescent="0.25">
      <c r="A106" s="440">
        <v>100</v>
      </c>
      <c r="B106" s="114" t="s">
        <v>213</v>
      </c>
      <c r="C106" s="115" t="s">
        <v>214</v>
      </c>
      <c r="D106" s="111">
        <f t="shared" si="1"/>
        <v>2443</v>
      </c>
      <c r="E106" s="116">
        <v>2443</v>
      </c>
      <c r="F106" s="440"/>
      <c r="G106" s="440"/>
      <c r="H106" s="440">
        <v>0</v>
      </c>
      <c r="I106" s="440">
        <v>0</v>
      </c>
      <c r="J106" s="440"/>
      <c r="K106" s="440"/>
      <c r="L106" s="596"/>
    </row>
    <row r="107" spans="1:12" s="105" customFormat="1" x14ac:dyDescent="0.25">
      <c r="A107" s="440">
        <v>101</v>
      </c>
      <c r="B107" s="109" t="s">
        <v>215</v>
      </c>
      <c r="C107" s="118" t="s">
        <v>216</v>
      </c>
      <c r="D107" s="111">
        <f t="shared" si="1"/>
        <v>1111</v>
      </c>
      <c r="E107" s="119">
        <v>1111</v>
      </c>
      <c r="F107" s="440"/>
      <c r="G107" s="440"/>
      <c r="H107" s="440"/>
      <c r="I107" s="440"/>
      <c r="J107" s="440"/>
      <c r="K107" s="440"/>
      <c r="L107" s="596"/>
    </row>
    <row r="108" spans="1:12" s="105" customFormat="1" x14ac:dyDescent="0.25">
      <c r="A108" s="440">
        <v>102</v>
      </c>
      <c r="B108" s="109" t="s">
        <v>217</v>
      </c>
      <c r="C108" s="112" t="s">
        <v>218</v>
      </c>
      <c r="D108" s="111">
        <f t="shared" si="1"/>
        <v>0</v>
      </c>
      <c r="E108" s="113">
        <v>0</v>
      </c>
      <c r="F108" s="440"/>
      <c r="G108" s="440"/>
      <c r="H108" s="440"/>
      <c r="I108" s="440"/>
      <c r="J108" s="440"/>
      <c r="K108" s="440"/>
      <c r="L108" s="596"/>
    </row>
    <row r="109" spans="1:12" s="105" customFormat="1" x14ac:dyDescent="0.25">
      <c r="A109" s="440">
        <v>103</v>
      </c>
      <c r="B109" s="109" t="s">
        <v>219</v>
      </c>
      <c r="C109" s="112" t="s">
        <v>220</v>
      </c>
      <c r="D109" s="111">
        <f t="shared" si="1"/>
        <v>690</v>
      </c>
      <c r="E109" s="113">
        <v>690</v>
      </c>
      <c r="F109" s="440"/>
      <c r="G109" s="440">
        <v>690</v>
      </c>
      <c r="H109" s="440"/>
      <c r="I109" s="440"/>
      <c r="J109" s="440"/>
      <c r="K109" s="440"/>
      <c r="L109" s="596"/>
    </row>
    <row r="110" spans="1:12" s="105" customFormat="1" x14ac:dyDescent="0.25">
      <c r="A110" s="440">
        <v>104</v>
      </c>
      <c r="B110" s="109" t="s">
        <v>221</v>
      </c>
      <c r="C110" s="112" t="s">
        <v>222</v>
      </c>
      <c r="D110" s="111">
        <f t="shared" si="1"/>
        <v>0</v>
      </c>
      <c r="E110" s="440">
        <v>0</v>
      </c>
      <c r="F110" s="440"/>
      <c r="G110" s="440"/>
      <c r="H110" s="440"/>
      <c r="I110" s="440"/>
      <c r="J110" s="440"/>
      <c r="K110" s="440"/>
      <c r="L110" s="596"/>
    </row>
    <row r="111" spans="1:12" s="105" customFormat="1" x14ac:dyDescent="0.25">
      <c r="A111" s="440">
        <v>105</v>
      </c>
      <c r="B111" s="114" t="s">
        <v>223</v>
      </c>
      <c r="C111" s="115" t="s">
        <v>224</v>
      </c>
      <c r="D111" s="111">
        <f t="shared" si="1"/>
        <v>5</v>
      </c>
      <c r="E111" s="116">
        <v>5</v>
      </c>
      <c r="F111" s="440"/>
      <c r="G111" s="440"/>
      <c r="H111" s="440"/>
      <c r="I111" s="440"/>
      <c r="J111" s="440"/>
      <c r="K111" s="440"/>
      <c r="L111" s="596"/>
    </row>
    <row r="112" spans="1:12" s="105" customFormat="1" x14ac:dyDescent="0.25">
      <c r="A112" s="440">
        <v>106</v>
      </c>
      <c r="B112" s="117" t="s">
        <v>225</v>
      </c>
      <c r="C112" s="118" t="s">
        <v>226</v>
      </c>
      <c r="D112" s="111">
        <f t="shared" si="1"/>
        <v>5</v>
      </c>
      <c r="E112" s="119">
        <v>5</v>
      </c>
      <c r="F112" s="440"/>
      <c r="G112" s="440"/>
      <c r="H112" s="440"/>
      <c r="I112" s="440"/>
      <c r="J112" s="440"/>
      <c r="K112" s="440"/>
      <c r="L112" s="596"/>
    </row>
    <row r="113" spans="1:12" s="105" customFormat="1" ht="24" customHeight="1" x14ac:dyDescent="0.25">
      <c r="A113" s="440">
        <v>107</v>
      </c>
      <c r="B113" s="109" t="s">
        <v>227</v>
      </c>
      <c r="C113" s="112" t="s">
        <v>228</v>
      </c>
      <c r="D113" s="111">
        <f t="shared" si="1"/>
        <v>5</v>
      </c>
      <c r="E113" s="113">
        <v>5</v>
      </c>
      <c r="F113" s="440"/>
      <c r="G113" s="440"/>
      <c r="H113" s="440"/>
      <c r="I113" s="440"/>
      <c r="J113" s="440"/>
      <c r="K113" s="440"/>
      <c r="L113" s="596"/>
    </row>
    <row r="114" spans="1:12" s="105" customFormat="1" x14ac:dyDescent="0.25">
      <c r="A114" s="440">
        <v>108</v>
      </c>
      <c r="B114" s="109" t="s">
        <v>229</v>
      </c>
      <c r="C114" s="112" t="s">
        <v>230</v>
      </c>
      <c r="D114" s="111">
        <f t="shared" si="1"/>
        <v>0</v>
      </c>
      <c r="E114" s="440">
        <v>0</v>
      </c>
      <c r="F114" s="440"/>
      <c r="G114" s="440"/>
      <c r="H114" s="440"/>
      <c r="I114" s="440"/>
      <c r="J114" s="440"/>
      <c r="K114" s="440"/>
      <c r="L114" s="596"/>
    </row>
    <row r="115" spans="1:12" s="105" customFormat="1" x14ac:dyDescent="0.25">
      <c r="A115" s="440">
        <v>109</v>
      </c>
      <c r="B115" s="114" t="s">
        <v>231</v>
      </c>
      <c r="C115" s="115" t="s">
        <v>232</v>
      </c>
      <c r="D115" s="111">
        <f t="shared" si="1"/>
        <v>476</v>
      </c>
      <c r="E115" s="116">
        <v>476</v>
      </c>
      <c r="F115" s="440"/>
      <c r="G115" s="440"/>
      <c r="H115" s="440"/>
      <c r="I115" s="440">
        <v>476</v>
      </c>
      <c r="J115" s="440"/>
      <c r="K115" s="440"/>
      <c r="L115" s="596"/>
    </row>
    <row r="116" spans="1:12" s="105" customFormat="1" ht="12" customHeight="1" x14ac:dyDescent="0.25">
      <c r="A116" s="440">
        <v>110</v>
      </c>
      <c r="B116" s="114" t="s">
        <v>233</v>
      </c>
      <c r="C116" s="115" t="s">
        <v>234</v>
      </c>
      <c r="D116" s="111">
        <f t="shared" si="1"/>
        <v>0</v>
      </c>
      <c r="E116" s="440">
        <v>0</v>
      </c>
      <c r="F116" s="440"/>
      <c r="G116" s="440"/>
      <c r="H116" s="440"/>
      <c r="I116" s="440"/>
      <c r="J116" s="440"/>
      <c r="K116" s="440"/>
      <c r="L116" s="596"/>
    </row>
    <row r="117" spans="1:12" s="105" customFormat="1" x14ac:dyDescent="0.25">
      <c r="A117" s="440">
        <v>111</v>
      </c>
      <c r="B117" s="127" t="s">
        <v>235</v>
      </c>
      <c r="C117" s="112" t="s">
        <v>236</v>
      </c>
      <c r="D117" s="111">
        <f t="shared" si="1"/>
        <v>0</v>
      </c>
      <c r="E117" s="440">
        <v>0</v>
      </c>
      <c r="F117" s="440"/>
      <c r="G117" s="440"/>
      <c r="H117" s="440"/>
      <c r="I117" s="440"/>
      <c r="J117" s="440"/>
      <c r="K117" s="440"/>
      <c r="L117" s="596"/>
    </row>
    <row r="118" spans="1:12" s="105" customFormat="1" x14ac:dyDescent="0.25">
      <c r="A118" s="440">
        <v>112</v>
      </c>
      <c r="B118" s="109" t="s">
        <v>237</v>
      </c>
      <c r="C118" s="112" t="s">
        <v>238</v>
      </c>
      <c r="D118" s="111">
        <f t="shared" si="1"/>
        <v>412</v>
      </c>
      <c r="E118" s="113">
        <v>412</v>
      </c>
      <c r="F118" s="440">
        <v>61</v>
      </c>
      <c r="G118" s="440">
        <v>351</v>
      </c>
      <c r="H118" s="440"/>
      <c r="I118" s="440"/>
      <c r="J118" s="440"/>
      <c r="K118" s="440"/>
      <c r="L118" s="596"/>
    </row>
    <row r="119" spans="1:12" s="105" customFormat="1" x14ac:dyDescent="0.25">
      <c r="A119" s="440">
        <v>113</v>
      </c>
      <c r="B119" s="109" t="s">
        <v>239</v>
      </c>
      <c r="C119" s="115" t="s">
        <v>240</v>
      </c>
      <c r="D119" s="111">
        <f t="shared" si="1"/>
        <v>0</v>
      </c>
      <c r="E119" s="440">
        <v>0</v>
      </c>
      <c r="F119" s="440"/>
      <c r="G119" s="440"/>
      <c r="H119" s="440"/>
      <c r="I119" s="440"/>
      <c r="J119" s="440"/>
      <c r="K119" s="440"/>
      <c r="L119" s="596"/>
    </row>
    <row r="120" spans="1:12" s="105" customFormat="1" x14ac:dyDescent="0.25">
      <c r="A120" s="440">
        <v>114</v>
      </c>
      <c r="B120" s="109" t="s">
        <v>241</v>
      </c>
      <c r="C120" s="112" t="s">
        <v>242</v>
      </c>
      <c r="D120" s="111">
        <f t="shared" si="1"/>
        <v>134</v>
      </c>
      <c r="E120" s="113">
        <v>134</v>
      </c>
      <c r="F120" s="440"/>
      <c r="G120" s="440">
        <v>134</v>
      </c>
      <c r="H120" s="440"/>
      <c r="I120" s="440"/>
      <c r="J120" s="440"/>
      <c r="K120" s="440"/>
      <c r="L120" s="596"/>
    </row>
    <row r="121" spans="1:12" s="105" customFormat="1" x14ac:dyDescent="0.25">
      <c r="A121" s="440">
        <v>115</v>
      </c>
      <c r="B121" s="114" t="s">
        <v>243</v>
      </c>
      <c r="C121" s="128" t="s">
        <v>385</v>
      </c>
      <c r="D121" s="111">
        <f t="shared" si="1"/>
        <v>8</v>
      </c>
      <c r="E121" s="116">
        <v>8</v>
      </c>
      <c r="F121" s="440"/>
      <c r="G121" s="440"/>
      <c r="H121" s="440"/>
      <c r="I121" s="440"/>
      <c r="J121" s="440"/>
      <c r="K121" s="440"/>
      <c r="L121" s="596"/>
    </row>
    <row r="122" spans="1:12" s="105" customFormat="1" x14ac:dyDescent="0.25">
      <c r="A122" s="440">
        <v>116</v>
      </c>
      <c r="B122" s="114" t="s">
        <v>244</v>
      </c>
      <c r="C122" s="115" t="s">
        <v>648</v>
      </c>
      <c r="D122" s="111">
        <f t="shared" si="1"/>
        <v>5</v>
      </c>
      <c r="E122" s="116">
        <v>5</v>
      </c>
      <c r="F122" s="440"/>
      <c r="G122" s="440"/>
      <c r="H122" s="440"/>
      <c r="I122" s="440"/>
      <c r="J122" s="440"/>
      <c r="K122" s="440"/>
      <c r="L122" s="596"/>
    </row>
    <row r="123" spans="1:12" s="105" customFormat="1" x14ac:dyDescent="0.25">
      <c r="A123" s="440">
        <v>117</v>
      </c>
      <c r="B123" s="114" t="s">
        <v>246</v>
      </c>
      <c r="C123" s="115" t="s">
        <v>247</v>
      </c>
      <c r="D123" s="111">
        <f t="shared" si="1"/>
        <v>0</v>
      </c>
      <c r="E123" s="440">
        <v>0</v>
      </c>
      <c r="F123" s="440"/>
      <c r="G123" s="440"/>
      <c r="H123" s="440"/>
      <c r="I123" s="440"/>
      <c r="J123" s="440"/>
      <c r="K123" s="440"/>
      <c r="L123" s="596"/>
    </row>
    <row r="124" spans="1:12" s="105" customFormat="1" x14ac:dyDescent="0.25">
      <c r="A124" s="440">
        <v>118</v>
      </c>
      <c r="B124" s="114" t="s">
        <v>248</v>
      </c>
      <c r="C124" s="115" t="s">
        <v>249</v>
      </c>
      <c r="D124" s="111">
        <f t="shared" si="1"/>
        <v>0</v>
      </c>
      <c r="E124" s="440">
        <v>0</v>
      </c>
      <c r="F124" s="440"/>
      <c r="G124" s="440"/>
      <c r="H124" s="440"/>
      <c r="I124" s="440"/>
      <c r="J124" s="440"/>
      <c r="K124" s="440"/>
      <c r="L124" s="596"/>
    </row>
    <row r="125" spans="1:12" s="105" customFormat="1" ht="12.75" customHeight="1" x14ac:dyDescent="0.25">
      <c r="A125" s="440">
        <v>119</v>
      </c>
      <c r="B125" s="114" t="s">
        <v>250</v>
      </c>
      <c r="C125" s="115" t="s">
        <v>251</v>
      </c>
      <c r="D125" s="111">
        <f t="shared" si="1"/>
        <v>0</v>
      </c>
      <c r="E125" s="440">
        <v>0</v>
      </c>
      <c r="F125" s="440"/>
      <c r="G125" s="440"/>
      <c r="H125" s="440"/>
      <c r="I125" s="440"/>
      <c r="J125" s="440"/>
      <c r="K125" s="440"/>
      <c r="L125" s="596"/>
    </row>
    <row r="126" spans="1:12" s="105" customFormat="1" x14ac:dyDescent="0.25">
      <c r="A126" s="440">
        <v>120</v>
      </c>
      <c r="B126" s="129" t="s">
        <v>252</v>
      </c>
      <c r="C126" s="130" t="s">
        <v>253</v>
      </c>
      <c r="D126" s="111">
        <f t="shared" si="1"/>
        <v>332</v>
      </c>
      <c r="E126" s="131">
        <v>332</v>
      </c>
      <c r="F126" s="440"/>
      <c r="G126" s="440">
        <v>332</v>
      </c>
      <c r="H126" s="440"/>
      <c r="I126" s="440"/>
      <c r="J126" s="440"/>
      <c r="K126" s="440"/>
      <c r="L126" s="596"/>
    </row>
    <row r="127" spans="1:12" s="105" customFormat="1" x14ac:dyDescent="0.25">
      <c r="A127" s="440">
        <v>121</v>
      </c>
      <c r="B127" s="109" t="s">
        <v>254</v>
      </c>
      <c r="C127" s="112" t="s">
        <v>255</v>
      </c>
      <c r="D127" s="111">
        <f t="shared" si="1"/>
        <v>0</v>
      </c>
      <c r="E127" s="440">
        <v>0</v>
      </c>
      <c r="F127" s="440"/>
      <c r="G127" s="440"/>
      <c r="H127" s="440"/>
      <c r="I127" s="440"/>
      <c r="J127" s="440"/>
      <c r="K127" s="440"/>
      <c r="L127" s="596"/>
    </row>
    <row r="128" spans="1:12" s="105" customFormat="1" x14ac:dyDescent="0.25">
      <c r="A128" s="440">
        <v>122</v>
      </c>
      <c r="B128" s="114" t="s">
        <v>256</v>
      </c>
      <c r="C128" s="115" t="s">
        <v>257</v>
      </c>
      <c r="D128" s="111">
        <f t="shared" si="1"/>
        <v>4</v>
      </c>
      <c r="E128" s="116">
        <v>4</v>
      </c>
      <c r="F128" s="440"/>
      <c r="G128" s="440"/>
      <c r="H128" s="440"/>
      <c r="I128" s="440"/>
      <c r="J128" s="440"/>
      <c r="K128" s="440"/>
      <c r="L128" s="596"/>
    </row>
    <row r="129" spans="1:12" s="105" customFormat="1" ht="14.25" customHeight="1" x14ac:dyDescent="0.25">
      <c r="A129" s="440">
        <v>123</v>
      </c>
      <c r="B129" s="109" t="s">
        <v>258</v>
      </c>
      <c r="C129" s="115" t="s">
        <v>259</v>
      </c>
      <c r="D129" s="111">
        <f t="shared" si="1"/>
        <v>1298</v>
      </c>
      <c r="E129" s="116">
        <v>1298</v>
      </c>
      <c r="F129" s="440"/>
      <c r="G129" s="440"/>
      <c r="H129" s="440"/>
      <c r="I129" s="440">
        <v>150</v>
      </c>
      <c r="J129" s="440"/>
      <c r="K129" s="440"/>
      <c r="L129" s="596"/>
    </row>
    <row r="130" spans="1:12" s="105" customFormat="1" x14ac:dyDescent="0.25">
      <c r="A130" s="440">
        <v>124</v>
      </c>
      <c r="B130" s="114" t="s">
        <v>260</v>
      </c>
      <c r="C130" s="115" t="s">
        <v>261</v>
      </c>
      <c r="D130" s="111">
        <f t="shared" si="1"/>
        <v>36477</v>
      </c>
      <c r="E130" s="116">
        <v>36387</v>
      </c>
      <c r="F130" s="440">
        <v>36387</v>
      </c>
      <c r="G130" s="440"/>
      <c r="H130" s="440"/>
      <c r="I130" s="440"/>
      <c r="J130" s="440">
        <v>90</v>
      </c>
      <c r="K130" s="440"/>
      <c r="L130" s="596"/>
    </row>
    <row r="131" spans="1:12" s="105" customFormat="1" ht="13.5" customHeight="1" x14ac:dyDescent="0.25">
      <c r="A131" s="440">
        <v>125</v>
      </c>
      <c r="B131" s="114" t="s">
        <v>262</v>
      </c>
      <c r="C131" s="115" t="s">
        <v>263</v>
      </c>
      <c r="D131" s="111">
        <f t="shared" si="1"/>
        <v>350</v>
      </c>
      <c r="E131" s="116">
        <v>350</v>
      </c>
      <c r="F131" s="440"/>
      <c r="G131" s="440"/>
      <c r="H131" s="440"/>
      <c r="I131" s="440"/>
      <c r="J131" s="440"/>
      <c r="K131" s="440"/>
      <c r="L131" s="596"/>
    </row>
    <row r="132" spans="1:12" s="105" customFormat="1" x14ac:dyDescent="0.25">
      <c r="A132" s="440">
        <v>126</v>
      </c>
      <c r="B132" s="109" t="s">
        <v>264</v>
      </c>
      <c r="C132" s="115" t="s">
        <v>265</v>
      </c>
      <c r="D132" s="111">
        <f t="shared" si="1"/>
        <v>3225</v>
      </c>
      <c r="E132" s="116">
        <v>3225</v>
      </c>
      <c r="F132" s="440">
        <v>140</v>
      </c>
      <c r="G132" s="440"/>
      <c r="H132" s="440"/>
      <c r="I132" s="440"/>
      <c r="J132" s="440"/>
      <c r="K132" s="440">
        <v>400</v>
      </c>
      <c r="L132" s="596"/>
    </row>
    <row r="133" spans="1:12" s="105" customFormat="1" x14ac:dyDescent="0.25">
      <c r="A133" s="440">
        <v>127</v>
      </c>
      <c r="B133" s="114" t="s">
        <v>266</v>
      </c>
      <c r="C133" s="115" t="s">
        <v>267</v>
      </c>
      <c r="D133" s="111">
        <f t="shared" si="1"/>
        <v>2160</v>
      </c>
      <c r="E133" s="116">
        <v>2160</v>
      </c>
      <c r="F133" s="440"/>
      <c r="G133" s="440"/>
      <c r="H133" s="440"/>
      <c r="I133" s="440"/>
      <c r="J133" s="440"/>
      <c r="K133" s="440"/>
      <c r="L133" s="596"/>
    </row>
    <row r="134" spans="1:12" s="105" customFormat="1" ht="12.75" customHeight="1" x14ac:dyDescent="0.25">
      <c r="A134" s="440">
        <v>128</v>
      </c>
      <c r="B134" s="109" t="s">
        <v>268</v>
      </c>
      <c r="C134" s="112" t="s">
        <v>269</v>
      </c>
      <c r="D134" s="111">
        <f t="shared" si="1"/>
        <v>2460</v>
      </c>
      <c r="E134" s="113">
        <v>2460</v>
      </c>
      <c r="F134" s="440"/>
      <c r="G134" s="440"/>
      <c r="H134" s="440"/>
      <c r="I134" s="440"/>
      <c r="J134" s="440"/>
      <c r="K134" s="440"/>
      <c r="L134" s="596"/>
    </row>
    <row r="135" spans="1:12" s="105" customFormat="1" x14ac:dyDescent="0.25">
      <c r="A135" s="440">
        <v>129</v>
      </c>
      <c r="B135" s="109" t="s">
        <v>270</v>
      </c>
      <c r="C135" s="112" t="s">
        <v>271</v>
      </c>
      <c r="D135" s="111">
        <f>E135+J135</f>
        <v>1035</v>
      </c>
      <c r="E135" s="113">
        <v>1035</v>
      </c>
      <c r="F135" s="440"/>
      <c r="G135" s="440">
        <v>666</v>
      </c>
      <c r="H135" s="440"/>
      <c r="I135" s="440"/>
      <c r="J135" s="440"/>
      <c r="K135" s="440"/>
      <c r="L135" s="596"/>
    </row>
    <row r="136" spans="1:12" s="105" customFormat="1" x14ac:dyDescent="0.25">
      <c r="A136" s="440">
        <v>130</v>
      </c>
      <c r="B136" s="114" t="s">
        <v>272</v>
      </c>
      <c r="C136" s="115" t="s">
        <v>273</v>
      </c>
      <c r="D136" s="111">
        <f t="shared" ref="D136:D141" si="2">E136+J136</f>
        <v>0</v>
      </c>
      <c r="E136" s="116">
        <v>0</v>
      </c>
      <c r="F136" s="440"/>
      <c r="G136" s="440"/>
      <c r="H136" s="440"/>
      <c r="I136" s="440"/>
      <c r="J136" s="440"/>
      <c r="K136" s="440">
        <v>2500</v>
      </c>
      <c r="L136" s="596"/>
    </row>
    <row r="137" spans="1:12" s="105" customFormat="1" x14ac:dyDescent="0.25">
      <c r="A137" s="440">
        <v>131</v>
      </c>
      <c r="B137" s="114" t="s">
        <v>274</v>
      </c>
      <c r="C137" s="115" t="s">
        <v>275</v>
      </c>
      <c r="D137" s="111">
        <f t="shared" si="2"/>
        <v>713</v>
      </c>
      <c r="E137" s="116">
        <v>713</v>
      </c>
      <c r="F137" s="440"/>
      <c r="G137" s="440"/>
      <c r="H137" s="440"/>
      <c r="I137" s="440"/>
      <c r="J137" s="440"/>
      <c r="K137" s="440">
        <v>2000</v>
      </c>
      <c r="L137" s="596"/>
    </row>
    <row r="138" spans="1:12" s="105" customFormat="1" ht="13.5" customHeight="1" x14ac:dyDescent="0.25">
      <c r="A138" s="440">
        <v>132</v>
      </c>
      <c r="B138" s="114" t="s">
        <v>276</v>
      </c>
      <c r="C138" s="115" t="s">
        <v>277</v>
      </c>
      <c r="D138" s="111">
        <f t="shared" si="2"/>
        <v>2960</v>
      </c>
      <c r="E138" s="116">
        <v>2960</v>
      </c>
      <c r="F138" s="440"/>
      <c r="G138" s="447"/>
      <c r="H138" s="440"/>
      <c r="I138" s="440"/>
      <c r="J138" s="440"/>
      <c r="K138" s="440"/>
      <c r="L138" s="596"/>
    </row>
    <row r="139" spans="1:12" s="105" customFormat="1" x14ac:dyDescent="0.25">
      <c r="A139" s="440">
        <v>133</v>
      </c>
      <c r="B139" s="114" t="s">
        <v>278</v>
      </c>
      <c r="C139" s="115" t="s">
        <v>279</v>
      </c>
      <c r="D139" s="111">
        <f t="shared" si="2"/>
        <v>5372</v>
      </c>
      <c r="E139" s="116">
        <v>5372</v>
      </c>
      <c r="F139" s="440"/>
      <c r="G139" s="440"/>
      <c r="H139" s="440"/>
      <c r="I139" s="440"/>
      <c r="J139" s="440"/>
      <c r="K139" s="440">
        <v>364</v>
      </c>
      <c r="L139" s="596"/>
    </row>
    <row r="140" spans="1:12" s="105" customFormat="1" x14ac:dyDescent="0.25">
      <c r="A140" s="440">
        <v>134</v>
      </c>
      <c r="B140" s="114" t="s">
        <v>280</v>
      </c>
      <c r="C140" s="115" t="s">
        <v>281</v>
      </c>
      <c r="D140" s="111">
        <f t="shared" si="2"/>
        <v>156</v>
      </c>
      <c r="E140" s="116">
        <v>156</v>
      </c>
      <c r="F140" s="440"/>
      <c r="G140" s="440"/>
      <c r="H140" s="440"/>
      <c r="I140" s="440"/>
      <c r="J140" s="440"/>
      <c r="K140" s="440"/>
      <c r="L140" s="596"/>
    </row>
    <row r="141" spans="1:12" s="105" customFormat="1" x14ac:dyDescent="0.25">
      <c r="A141" s="440">
        <v>135</v>
      </c>
      <c r="B141" s="109" t="s">
        <v>282</v>
      </c>
      <c r="C141" s="112" t="s">
        <v>283</v>
      </c>
      <c r="D141" s="111">
        <f t="shared" si="2"/>
        <v>0</v>
      </c>
      <c r="E141" s="440">
        <v>0</v>
      </c>
      <c r="F141" s="440"/>
      <c r="G141" s="440"/>
      <c r="H141" s="440"/>
      <c r="I141" s="440"/>
      <c r="J141" s="440"/>
      <c r="K141" s="440"/>
      <c r="L141" s="596"/>
    </row>
    <row r="142" spans="1:12" s="105" customFormat="1" ht="13.5" customHeight="1" x14ac:dyDescent="0.25">
      <c r="A142" s="440">
        <v>136</v>
      </c>
      <c r="B142" s="114" t="s">
        <v>284</v>
      </c>
      <c r="C142" s="115" t="s">
        <v>285</v>
      </c>
      <c r="D142" s="111">
        <f>E142+J142+L142</f>
        <v>1954</v>
      </c>
      <c r="E142" s="116">
        <v>1000</v>
      </c>
      <c r="F142" s="440">
        <v>1000</v>
      </c>
      <c r="G142" s="440"/>
      <c r="H142" s="440"/>
      <c r="I142" s="440"/>
      <c r="J142" s="440">
        <v>90</v>
      </c>
      <c r="K142" s="440"/>
      <c r="L142" s="579">
        <v>864</v>
      </c>
    </row>
    <row r="143" spans="1:12" s="133" customFormat="1" ht="12.75" x14ac:dyDescent="0.25">
      <c r="A143" s="448"/>
      <c r="B143" s="449"/>
      <c r="C143" s="450" t="s">
        <v>15</v>
      </c>
      <c r="D143" s="132">
        <f t="shared" ref="D143:K143" si="3">SUM(D7:D142)</f>
        <v>263254</v>
      </c>
      <c r="E143" s="132">
        <f t="shared" si="3"/>
        <v>262210</v>
      </c>
      <c r="F143" s="132">
        <f t="shared" si="3"/>
        <v>38102</v>
      </c>
      <c r="G143" s="132">
        <f t="shared" si="3"/>
        <v>2173</v>
      </c>
      <c r="H143" s="132">
        <f t="shared" si="3"/>
        <v>148</v>
      </c>
      <c r="I143" s="132">
        <f t="shared" si="3"/>
        <v>726</v>
      </c>
      <c r="J143" s="132">
        <f t="shared" si="3"/>
        <v>180</v>
      </c>
      <c r="K143" s="132">
        <f t="shared" si="3"/>
        <v>10186</v>
      </c>
      <c r="L143" s="132">
        <f t="shared" ref="L143" si="4">SUM(L7:L142)</f>
        <v>864</v>
      </c>
    </row>
    <row r="144" spans="1:12" s="133" customFormat="1" ht="21.75" customHeight="1" x14ac:dyDescent="0.25">
      <c r="A144" s="448"/>
      <c r="B144" s="448"/>
      <c r="C144" s="451" t="s">
        <v>14</v>
      </c>
      <c r="D144" s="134">
        <v>3383</v>
      </c>
      <c r="E144" s="134">
        <v>3373</v>
      </c>
      <c r="F144" s="132">
        <v>2865</v>
      </c>
      <c r="G144" s="132">
        <v>20</v>
      </c>
      <c r="H144" s="132"/>
      <c r="I144" s="132"/>
      <c r="J144" s="132"/>
      <c r="K144" s="132"/>
      <c r="L144" s="132"/>
    </row>
    <row r="145" spans="1:12" s="133" customFormat="1" x14ac:dyDescent="0.25">
      <c r="A145" s="1015" t="s">
        <v>6</v>
      </c>
      <c r="B145" s="1015"/>
      <c r="C145" s="1015"/>
      <c r="D145" s="132">
        <f>D143+D144</f>
        <v>266637</v>
      </c>
      <c r="E145" s="132">
        <f t="shared" ref="E145:K145" si="5">E143+E144</f>
        <v>265583</v>
      </c>
      <c r="F145" s="132">
        <f t="shared" si="5"/>
        <v>40967</v>
      </c>
      <c r="G145" s="132">
        <f t="shared" si="5"/>
        <v>2193</v>
      </c>
      <c r="H145" s="132">
        <f t="shared" si="5"/>
        <v>148</v>
      </c>
      <c r="I145" s="132">
        <f t="shared" si="5"/>
        <v>726</v>
      </c>
      <c r="J145" s="132">
        <f t="shared" si="5"/>
        <v>180</v>
      </c>
      <c r="K145" s="132">
        <f t="shared" si="5"/>
        <v>10186</v>
      </c>
      <c r="L145" s="132">
        <f t="shared" ref="L145" si="6">L143+L144</f>
        <v>864</v>
      </c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E27"/>
  <sheetViews>
    <sheetView workbookViewId="0">
      <pane ySplit="5" topLeftCell="A6" activePane="bottomLeft" state="frozen"/>
      <selection pane="bottomLeft" activeCell="C2" sqref="C2:C3"/>
    </sheetView>
  </sheetViews>
  <sheetFormatPr defaultRowHeight="12.75" x14ac:dyDescent="0.25"/>
  <cols>
    <col min="1" max="1" width="3.5703125" style="338" customWidth="1"/>
    <col min="2" max="2" width="11.5703125" style="338" customWidth="1"/>
    <col min="3" max="3" width="37.85546875" style="347" customWidth="1"/>
    <col min="4" max="5" width="25" style="338" customWidth="1"/>
    <col min="6" max="16384" width="9.140625" style="338"/>
  </cols>
  <sheetData>
    <row r="1" spans="1:5" ht="39.75" customHeight="1" x14ac:dyDescent="0.25">
      <c r="A1" s="1471" t="s">
        <v>761</v>
      </c>
      <c r="B1" s="1471"/>
      <c r="C1" s="1471"/>
      <c r="D1" s="1471"/>
      <c r="E1" s="1471"/>
    </row>
    <row r="2" spans="1:5" ht="12.75" customHeight="1" x14ac:dyDescent="0.25">
      <c r="A2" s="1472" t="s">
        <v>0</v>
      </c>
      <c r="B2" s="1472" t="s">
        <v>302</v>
      </c>
      <c r="C2" s="1473" t="s">
        <v>292</v>
      </c>
      <c r="D2" s="1371" t="s">
        <v>760</v>
      </c>
      <c r="E2" s="1371" t="s">
        <v>770</v>
      </c>
    </row>
    <row r="3" spans="1:5" ht="96.75" customHeight="1" x14ac:dyDescent="0.25">
      <c r="A3" s="1472"/>
      <c r="B3" s="1472"/>
      <c r="C3" s="1472"/>
      <c r="D3" s="1371"/>
      <c r="E3" s="1371"/>
    </row>
    <row r="4" spans="1:5" ht="19.5" customHeight="1" x14ac:dyDescent="0.25">
      <c r="A4" s="339"/>
      <c r="B4" s="339"/>
      <c r="C4" s="340" t="s">
        <v>6</v>
      </c>
      <c r="D4" s="341">
        <f>D6+D5</f>
        <v>159001</v>
      </c>
      <c r="E4" s="341">
        <f>E6+E5</f>
        <v>159001</v>
      </c>
    </row>
    <row r="5" spans="1:5" ht="19.5" customHeight="1" x14ac:dyDescent="0.25">
      <c r="A5" s="339"/>
      <c r="B5" s="339"/>
      <c r="C5" s="340" t="s">
        <v>14</v>
      </c>
      <c r="D5" s="342">
        <v>0</v>
      </c>
      <c r="E5" s="342">
        <v>0</v>
      </c>
    </row>
    <row r="6" spans="1:5" ht="19.5" customHeight="1" x14ac:dyDescent="0.25">
      <c r="A6" s="339"/>
      <c r="B6" s="339"/>
      <c r="C6" s="340" t="s">
        <v>15</v>
      </c>
      <c r="D6" s="341">
        <f>SUM(D7:D25)</f>
        <v>159001</v>
      </c>
      <c r="E6" s="341">
        <f>SUM(E7:E25)</f>
        <v>159001</v>
      </c>
    </row>
    <row r="7" spans="1:5" ht="19.5" customHeight="1" x14ac:dyDescent="0.25">
      <c r="A7" s="339">
        <v>1</v>
      </c>
      <c r="B7" s="339" t="s">
        <v>26</v>
      </c>
      <c r="C7" s="343" t="s">
        <v>27</v>
      </c>
      <c r="D7" s="344">
        <v>10894</v>
      </c>
      <c r="E7" s="344">
        <v>10894</v>
      </c>
    </row>
    <row r="8" spans="1:5" ht="19.5" customHeight="1" x14ac:dyDescent="0.25">
      <c r="A8" s="339">
        <v>2</v>
      </c>
      <c r="B8" s="339" t="s">
        <v>28</v>
      </c>
      <c r="C8" s="343" t="s">
        <v>29</v>
      </c>
      <c r="D8" s="344">
        <v>4566</v>
      </c>
      <c r="E8" s="344">
        <v>4566</v>
      </c>
    </row>
    <row r="9" spans="1:5" ht="19.5" customHeight="1" x14ac:dyDescent="0.25">
      <c r="A9" s="339">
        <v>3</v>
      </c>
      <c r="B9" s="339" t="s">
        <v>50</v>
      </c>
      <c r="C9" s="343" t="s">
        <v>51</v>
      </c>
      <c r="D9" s="344">
        <v>9650</v>
      </c>
      <c r="E9" s="344">
        <v>9650</v>
      </c>
    </row>
    <row r="10" spans="1:5" ht="19.5" customHeight="1" x14ac:dyDescent="0.25">
      <c r="A10" s="339">
        <v>4</v>
      </c>
      <c r="B10" s="339" t="s">
        <v>58</v>
      </c>
      <c r="C10" s="343" t="s">
        <v>59</v>
      </c>
      <c r="D10" s="344">
        <v>6201</v>
      </c>
      <c r="E10" s="344">
        <v>6201</v>
      </c>
    </row>
    <row r="11" spans="1:5" ht="19.5" customHeight="1" x14ac:dyDescent="0.25">
      <c r="A11" s="550">
        <v>5</v>
      </c>
      <c r="B11" s="550" t="s">
        <v>66</v>
      </c>
      <c r="C11" s="343" t="s">
        <v>67</v>
      </c>
      <c r="D11" s="344">
        <v>11831</v>
      </c>
      <c r="E11" s="344">
        <v>11831</v>
      </c>
    </row>
    <row r="12" spans="1:5" ht="19.5" customHeight="1" x14ac:dyDescent="0.25">
      <c r="A12" s="550">
        <v>6</v>
      </c>
      <c r="B12" s="339" t="s">
        <v>68</v>
      </c>
      <c r="C12" s="343" t="s">
        <v>69</v>
      </c>
      <c r="D12" s="344">
        <v>194</v>
      </c>
      <c r="E12" s="344">
        <v>194</v>
      </c>
    </row>
    <row r="13" spans="1:5" ht="19.5" customHeight="1" x14ac:dyDescent="0.25">
      <c r="A13" s="550">
        <v>7</v>
      </c>
      <c r="B13" s="339" t="s">
        <v>77</v>
      </c>
      <c r="C13" s="343" t="s">
        <v>762</v>
      </c>
      <c r="D13" s="344">
        <v>9254</v>
      </c>
      <c r="E13" s="344">
        <v>9254</v>
      </c>
    </row>
    <row r="14" spans="1:5" ht="19.5" customHeight="1" x14ac:dyDescent="0.25">
      <c r="A14" s="550">
        <v>8</v>
      </c>
      <c r="B14" s="339" t="s">
        <v>79</v>
      </c>
      <c r="C14" s="343" t="s">
        <v>80</v>
      </c>
      <c r="D14" s="344">
        <v>4831</v>
      </c>
      <c r="E14" s="344">
        <v>4831</v>
      </c>
    </row>
    <row r="15" spans="1:5" ht="19.5" customHeight="1" x14ac:dyDescent="0.25">
      <c r="A15" s="550">
        <v>9</v>
      </c>
      <c r="B15" s="339" t="s">
        <v>97</v>
      </c>
      <c r="C15" s="343" t="s">
        <v>98</v>
      </c>
      <c r="D15" s="344">
        <v>678</v>
      </c>
      <c r="E15" s="344">
        <v>678</v>
      </c>
    </row>
    <row r="16" spans="1:5" ht="19.5" customHeight="1" x14ac:dyDescent="0.25">
      <c r="A16" s="550">
        <v>10</v>
      </c>
      <c r="B16" s="339" t="s">
        <v>99</v>
      </c>
      <c r="C16" s="343" t="s">
        <v>100</v>
      </c>
      <c r="D16" s="344">
        <v>15926</v>
      </c>
      <c r="E16" s="344">
        <v>15926</v>
      </c>
    </row>
    <row r="17" spans="1:5" ht="19.5" customHeight="1" x14ac:dyDescent="0.25">
      <c r="A17" s="550">
        <v>11</v>
      </c>
      <c r="B17" s="339" t="s">
        <v>169</v>
      </c>
      <c r="C17" s="343" t="s">
        <v>170</v>
      </c>
      <c r="D17" s="344">
        <v>19506</v>
      </c>
      <c r="E17" s="344">
        <v>19506</v>
      </c>
    </row>
    <row r="18" spans="1:5" ht="19.5" customHeight="1" x14ac:dyDescent="0.25">
      <c r="A18" s="550">
        <v>12</v>
      </c>
      <c r="B18" s="339" t="s">
        <v>178</v>
      </c>
      <c r="C18" s="343" t="s">
        <v>324</v>
      </c>
      <c r="D18" s="344">
        <v>261</v>
      </c>
      <c r="E18" s="344">
        <v>261</v>
      </c>
    </row>
    <row r="19" spans="1:5" ht="19.5" customHeight="1" x14ac:dyDescent="0.25">
      <c r="A19" s="550">
        <v>13</v>
      </c>
      <c r="B19" s="339" t="s">
        <v>258</v>
      </c>
      <c r="C19" s="343" t="s">
        <v>675</v>
      </c>
      <c r="D19" s="344">
        <v>5998</v>
      </c>
      <c r="E19" s="344">
        <v>5998</v>
      </c>
    </row>
    <row r="20" spans="1:5" ht="19.5" customHeight="1" x14ac:dyDescent="0.25">
      <c r="A20" s="550">
        <v>14</v>
      </c>
      <c r="B20" s="339" t="s">
        <v>260</v>
      </c>
      <c r="C20" s="343" t="s">
        <v>261</v>
      </c>
      <c r="D20" s="344">
        <v>7698</v>
      </c>
      <c r="E20" s="344">
        <v>7698</v>
      </c>
    </row>
    <row r="21" spans="1:5" ht="19.5" customHeight="1" x14ac:dyDescent="0.25">
      <c r="A21" s="550">
        <v>15</v>
      </c>
      <c r="B21" s="339" t="s">
        <v>266</v>
      </c>
      <c r="C21" s="343" t="s">
        <v>702</v>
      </c>
      <c r="D21" s="344">
        <v>9487</v>
      </c>
      <c r="E21" s="344">
        <v>9487</v>
      </c>
    </row>
    <row r="22" spans="1:5" ht="19.5" customHeight="1" x14ac:dyDescent="0.25">
      <c r="A22" s="550">
        <v>16</v>
      </c>
      <c r="B22" s="339" t="s">
        <v>270</v>
      </c>
      <c r="C22" s="343" t="s">
        <v>271</v>
      </c>
      <c r="D22" s="344">
        <v>12931</v>
      </c>
      <c r="E22" s="344">
        <v>12931</v>
      </c>
    </row>
    <row r="23" spans="1:5" ht="19.5" customHeight="1" x14ac:dyDescent="0.25">
      <c r="A23" s="550">
        <v>17</v>
      </c>
      <c r="B23" s="339" t="s">
        <v>276</v>
      </c>
      <c r="C23" s="343" t="s">
        <v>277</v>
      </c>
      <c r="D23" s="344">
        <v>5692</v>
      </c>
      <c r="E23" s="344">
        <v>5692</v>
      </c>
    </row>
    <row r="24" spans="1:5" ht="19.5" customHeight="1" x14ac:dyDescent="0.25">
      <c r="A24" s="550">
        <v>18</v>
      </c>
      <c r="B24" s="339" t="s">
        <v>278</v>
      </c>
      <c r="C24" s="343" t="s">
        <v>279</v>
      </c>
      <c r="D24" s="344">
        <v>6608</v>
      </c>
      <c r="E24" s="344">
        <v>6608</v>
      </c>
    </row>
    <row r="25" spans="1:5" ht="19.5" customHeight="1" x14ac:dyDescent="0.25">
      <c r="A25" s="550">
        <v>19</v>
      </c>
      <c r="B25" s="339" t="s">
        <v>280</v>
      </c>
      <c r="C25" s="343" t="s">
        <v>281</v>
      </c>
      <c r="D25" s="344">
        <v>16795</v>
      </c>
      <c r="E25" s="344">
        <v>16795</v>
      </c>
    </row>
    <row r="26" spans="1:5" x14ac:dyDescent="0.25">
      <c r="C26" s="345"/>
      <c r="D26" s="346"/>
      <c r="E26" s="347"/>
    </row>
    <row r="27" spans="1:5" x14ac:dyDescent="0.25">
      <c r="C27" s="345"/>
      <c r="D27" s="346"/>
      <c r="E27" s="347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2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O34" sqref="O34"/>
    </sheetView>
  </sheetViews>
  <sheetFormatPr defaultRowHeight="12" x14ac:dyDescent="0.25"/>
  <cols>
    <col min="1" max="1" width="4.7109375" style="44" customWidth="1"/>
    <col min="2" max="2" width="9.28515625" style="44" customWidth="1"/>
    <col min="3" max="3" width="30.7109375" style="31" customWidth="1"/>
    <col min="4" max="4" width="0.140625" style="45" customWidth="1"/>
    <col min="5" max="5" width="9.42578125" style="55" customWidth="1"/>
    <col min="6" max="6" width="11.28515625" style="55" customWidth="1"/>
    <col min="7" max="7" width="11.7109375" style="55" customWidth="1"/>
    <col min="8" max="8" width="9.7109375" style="55" customWidth="1"/>
    <col min="9" max="9" width="12.42578125" style="55" customWidth="1"/>
    <col min="10" max="10" width="10.140625" style="65" customWidth="1"/>
    <col min="11" max="11" width="9.7109375" style="65" customWidth="1"/>
    <col min="12" max="12" width="11.28515625" style="65" customWidth="1"/>
    <col min="13" max="13" width="10.140625" style="66" customWidth="1"/>
    <col min="14" max="14" width="14.7109375" style="47" customWidth="1"/>
    <col min="15" max="15" width="11.28515625" style="47" customWidth="1"/>
    <col min="16" max="16384" width="9.140625" style="47"/>
  </cols>
  <sheetData>
    <row r="1" spans="1:15" x14ac:dyDescent="0.25">
      <c r="E1" s="46"/>
      <c r="F1" s="46"/>
      <c r="G1" s="46"/>
      <c r="H1" s="46"/>
      <c r="I1" s="46"/>
      <c r="J1" s="46"/>
      <c r="K1" s="46"/>
      <c r="L1" s="46"/>
      <c r="M1" s="46"/>
    </row>
    <row r="2" spans="1:15" ht="15.75" customHeight="1" x14ac:dyDescent="0.25">
      <c r="C2" s="1476" t="s">
        <v>809</v>
      </c>
      <c r="D2" s="1476"/>
      <c r="E2" s="1476"/>
      <c r="F2" s="1476"/>
      <c r="G2" s="1476"/>
      <c r="H2" s="1476"/>
      <c r="I2" s="1476"/>
      <c r="J2" s="1476"/>
      <c r="K2" s="1476"/>
      <c r="L2" s="1476"/>
      <c r="M2" s="1476"/>
    </row>
    <row r="3" spans="1:15" x14ac:dyDescent="0.25">
      <c r="C3" s="48"/>
      <c r="D3" s="48"/>
      <c r="E3" s="49"/>
      <c r="F3" s="49"/>
      <c r="G3" s="49"/>
      <c r="H3" s="49"/>
      <c r="I3" s="49"/>
      <c r="J3" s="50"/>
      <c r="K3" s="50"/>
      <c r="L3" s="50"/>
      <c r="M3" s="51"/>
    </row>
    <row r="4" spans="1:15" s="52" customFormat="1" ht="15.75" customHeight="1" x14ac:dyDescent="0.25">
      <c r="A4" s="1477" t="s">
        <v>0</v>
      </c>
      <c r="B4" s="1477" t="s">
        <v>302</v>
      </c>
      <c r="C4" s="1478" t="s">
        <v>292</v>
      </c>
      <c r="D4" s="1477" t="s">
        <v>435</v>
      </c>
      <c r="E4" s="1479" t="s">
        <v>436</v>
      </c>
      <c r="F4" s="1479"/>
      <c r="G4" s="1479"/>
      <c r="H4" s="1479"/>
      <c r="I4" s="1479"/>
      <c r="J4" s="1479"/>
      <c r="K4" s="1479"/>
      <c r="L4" s="1479"/>
      <c r="M4" s="1479"/>
    </row>
    <row r="5" spans="1:15" ht="11.25" customHeight="1" x14ac:dyDescent="0.25">
      <c r="A5" s="1477"/>
      <c r="B5" s="1477"/>
      <c r="C5" s="1478"/>
      <c r="D5" s="1477"/>
      <c r="E5" s="1479"/>
      <c r="F5" s="1479"/>
      <c r="G5" s="1479"/>
      <c r="H5" s="1479"/>
      <c r="I5" s="1479"/>
      <c r="J5" s="1479"/>
      <c r="K5" s="1479"/>
      <c r="L5" s="1479"/>
      <c r="M5" s="1479"/>
    </row>
    <row r="6" spans="1:15" ht="25.5" customHeight="1" x14ac:dyDescent="0.25">
      <c r="A6" s="1477"/>
      <c r="B6" s="1477"/>
      <c r="C6" s="1478"/>
      <c r="D6" s="1477"/>
      <c r="E6" s="1475" t="s">
        <v>437</v>
      </c>
      <c r="F6" s="1475" t="s">
        <v>807</v>
      </c>
      <c r="G6" s="1475" t="s">
        <v>438</v>
      </c>
      <c r="H6" s="1475" t="s">
        <v>807</v>
      </c>
      <c r="I6" s="1475" t="s">
        <v>439</v>
      </c>
      <c r="J6" s="1475" t="s">
        <v>440</v>
      </c>
      <c r="K6" s="1475" t="s">
        <v>807</v>
      </c>
      <c r="L6" s="1475" t="s">
        <v>441</v>
      </c>
      <c r="M6" s="1475" t="s">
        <v>442</v>
      </c>
    </row>
    <row r="7" spans="1:15" ht="55.5" customHeight="1" x14ac:dyDescent="0.25">
      <c r="A7" s="1477"/>
      <c r="B7" s="1477"/>
      <c r="C7" s="1478"/>
      <c r="D7" s="1477"/>
      <c r="E7" s="1475"/>
      <c r="F7" s="1475"/>
      <c r="G7" s="1475"/>
      <c r="H7" s="1475"/>
      <c r="I7" s="1475"/>
      <c r="J7" s="1475"/>
      <c r="K7" s="1475"/>
      <c r="L7" s="1475"/>
      <c r="M7" s="1475"/>
    </row>
    <row r="8" spans="1:15" s="52" customFormat="1" x14ac:dyDescent="0.25">
      <c r="A8" s="1474" t="s">
        <v>443</v>
      </c>
      <c r="B8" s="1474"/>
      <c r="C8" s="1474"/>
      <c r="D8" s="53"/>
      <c r="E8" s="54">
        <v>1135691</v>
      </c>
      <c r="F8" s="54">
        <v>1526</v>
      </c>
      <c r="G8" s="54">
        <v>1039967</v>
      </c>
      <c r="H8" s="54">
        <v>1291</v>
      </c>
      <c r="I8" s="54">
        <v>571</v>
      </c>
      <c r="J8" s="54">
        <v>59221</v>
      </c>
      <c r="K8" s="54">
        <v>113</v>
      </c>
      <c r="L8" s="54">
        <v>29</v>
      </c>
      <c r="M8" s="54">
        <v>19286</v>
      </c>
      <c r="N8" s="649"/>
      <c r="O8" s="55"/>
    </row>
    <row r="9" spans="1:15" s="60" customFormat="1" ht="11.25" customHeight="1" x14ac:dyDescent="0.25">
      <c r="A9" s="56"/>
      <c r="B9" s="56"/>
      <c r="C9" s="57" t="s">
        <v>14</v>
      </c>
      <c r="D9" s="58"/>
      <c r="E9" s="59">
        <v>16617</v>
      </c>
      <c r="F9" s="59">
        <v>122</v>
      </c>
      <c r="G9" s="59"/>
      <c r="H9" s="59"/>
      <c r="I9" s="59"/>
      <c r="J9" s="59"/>
      <c r="K9" s="59"/>
      <c r="L9" s="59"/>
      <c r="M9" s="59"/>
      <c r="O9" s="55"/>
    </row>
    <row r="10" spans="1:15" s="60" customFormat="1" ht="11.25" customHeight="1" x14ac:dyDescent="0.25">
      <c r="A10" s="56"/>
      <c r="B10" s="56"/>
      <c r="C10" s="57" t="s">
        <v>444</v>
      </c>
      <c r="D10" s="58"/>
      <c r="E10" s="59"/>
      <c r="F10" s="59"/>
      <c r="G10" s="59"/>
      <c r="H10" s="59"/>
      <c r="I10" s="57"/>
      <c r="J10" s="57"/>
      <c r="K10" s="57"/>
      <c r="L10" s="57"/>
      <c r="M10" s="57"/>
      <c r="O10" s="55"/>
    </row>
    <row r="11" spans="1:15" s="60" customFormat="1" ht="11.25" customHeight="1" x14ac:dyDescent="0.25">
      <c r="A11" s="56"/>
      <c r="B11" s="56"/>
      <c r="C11" s="57" t="s">
        <v>445</v>
      </c>
      <c r="D11" s="58"/>
      <c r="E11" s="57"/>
      <c r="F11" s="57"/>
      <c r="G11" s="57"/>
      <c r="H11" s="57"/>
      <c r="I11" s="57"/>
      <c r="J11" s="57"/>
      <c r="K11" s="57"/>
      <c r="L11" s="57"/>
      <c r="M11" s="57"/>
      <c r="O11" s="55"/>
    </row>
    <row r="12" spans="1:15" s="52" customFormat="1" x14ac:dyDescent="0.25">
      <c r="A12" s="1474" t="s">
        <v>15</v>
      </c>
      <c r="B12" s="1474"/>
      <c r="C12" s="1474"/>
      <c r="D12" s="54"/>
      <c r="E12" s="54">
        <v>1119074</v>
      </c>
      <c r="F12" s="54">
        <v>1404</v>
      </c>
      <c r="G12" s="54">
        <v>1039967</v>
      </c>
      <c r="H12" s="54">
        <v>1291</v>
      </c>
      <c r="I12" s="54">
        <v>571</v>
      </c>
      <c r="J12" s="54">
        <v>59221</v>
      </c>
      <c r="K12" s="54">
        <v>113</v>
      </c>
      <c r="L12" s="54">
        <v>29</v>
      </c>
      <c r="M12" s="54">
        <v>19286</v>
      </c>
      <c r="O12" s="55"/>
    </row>
    <row r="13" spans="1:15" s="64" customFormat="1" x14ac:dyDescent="0.25">
      <c r="A13" s="61">
        <v>1</v>
      </c>
      <c r="B13" s="29" t="s">
        <v>20</v>
      </c>
      <c r="C13" s="30" t="s">
        <v>21</v>
      </c>
      <c r="D13" s="62">
        <v>0.85</v>
      </c>
      <c r="E13" s="59">
        <v>44257</v>
      </c>
      <c r="F13" s="59">
        <v>52</v>
      </c>
      <c r="G13" s="63">
        <v>44204</v>
      </c>
      <c r="H13" s="63">
        <v>52</v>
      </c>
      <c r="I13" s="63">
        <v>53</v>
      </c>
      <c r="J13" s="59"/>
      <c r="K13" s="59"/>
      <c r="L13" s="59"/>
      <c r="M13" s="59"/>
      <c r="N13" s="55"/>
      <c r="O13" s="55"/>
    </row>
    <row r="14" spans="1:15" s="64" customFormat="1" x14ac:dyDescent="0.25">
      <c r="A14" s="61">
        <v>2</v>
      </c>
      <c r="B14" s="29" t="s">
        <v>26</v>
      </c>
      <c r="C14" s="30" t="s">
        <v>27</v>
      </c>
      <c r="D14" s="62">
        <v>0.85</v>
      </c>
      <c r="E14" s="59">
        <v>92736</v>
      </c>
      <c r="F14" s="59">
        <v>2</v>
      </c>
      <c r="G14" s="63">
        <v>92327</v>
      </c>
      <c r="H14" s="63">
        <v>2</v>
      </c>
      <c r="I14" s="63">
        <v>74</v>
      </c>
      <c r="J14" s="63">
        <v>333</v>
      </c>
      <c r="K14" s="63"/>
      <c r="L14" s="63">
        <v>2</v>
      </c>
      <c r="M14" s="59"/>
      <c r="N14" s="55"/>
      <c r="O14" s="55"/>
    </row>
    <row r="15" spans="1:15" s="64" customFormat="1" x14ac:dyDescent="0.25">
      <c r="A15" s="61">
        <v>3</v>
      </c>
      <c r="B15" s="29" t="s">
        <v>50</v>
      </c>
      <c r="C15" s="30" t="s">
        <v>51</v>
      </c>
      <c r="D15" s="62">
        <v>0.85</v>
      </c>
      <c r="E15" s="59">
        <v>64128</v>
      </c>
      <c r="F15" s="59">
        <v>17</v>
      </c>
      <c r="G15" s="63">
        <v>64067</v>
      </c>
      <c r="H15" s="63">
        <v>17</v>
      </c>
      <c r="I15" s="63">
        <v>61</v>
      </c>
      <c r="J15" s="59"/>
      <c r="K15" s="59"/>
      <c r="L15" s="59"/>
      <c r="M15" s="59"/>
      <c r="N15" s="55"/>
      <c r="O15" s="55"/>
    </row>
    <row r="16" spans="1:15" s="64" customFormat="1" x14ac:dyDescent="0.25">
      <c r="A16" s="61">
        <v>4</v>
      </c>
      <c r="B16" s="26" t="s">
        <v>58</v>
      </c>
      <c r="C16" s="27" t="s">
        <v>59</v>
      </c>
      <c r="D16" s="62">
        <v>0.85</v>
      </c>
      <c r="E16" s="59">
        <v>43668</v>
      </c>
      <c r="F16" s="59">
        <v>17</v>
      </c>
      <c r="G16" s="59">
        <v>43626</v>
      </c>
      <c r="H16" s="59">
        <v>17</v>
      </c>
      <c r="I16" s="59">
        <v>42</v>
      </c>
      <c r="J16" s="59"/>
      <c r="K16" s="59"/>
      <c r="L16" s="59"/>
      <c r="M16" s="59"/>
      <c r="N16" s="55"/>
      <c r="O16" s="55"/>
    </row>
    <row r="17" spans="1:15" s="64" customFormat="1" x14ac:dyDescent="0.25">
      <c r="A17" s="61">
        <v>5</v>
      </c>
      <c r="B17" s="29" t="s">
        <v>60</v>
      </c>
      <c r="C17" s="30" t="s">
        <v>61</v>
      </c>
      <c r="D17" s="62">
        <v>0.85</v>
      </c>
      <c r="E17" s="59">
        <v>3834</v>
      </c>
      <c r="F17" s="59">
        <v>0</v>
      </c>
      <c r="G17" s="63">
        <v>1387</v>
      </c>
      <c r="H17" s="63"/>
      <c r="I17" s="63">
        <v>3</v>
      </c>
      <c r="J17" s="63">
        <v>2444</v>
      </c>
      <c r="K17" s="63"/>
      <c r="L17" s="63">
        <v>0</v>
      </c>
      <c r="M17" s="59"/>
      <c r="N17" s="55"/>
      <c r="O17" s="55"/>
    </row>
    <row r="18" spans="1:15" s="64" customFormat="1" ht="24" x14ac:dyDescent="0.25">
      <c r="A18" s="61">
        <v>6</v>
      </c>
      <c r="B18" s="26" t="s">
        <v>74</v>
      </c>
      <c r="C18" s="27" t="s">
        <v>377</v>
      </c>
      <c r="D18" s="62">
        <v>0.85</v>
      </c>
      <c r="E18" s="59">
        <v>186881</v>
      </c>
      <c r="F18" s="59">
        <v>219</v>
      </c>
      <c r="G18" s="63">
        <v>177009</v>
      </c>
      <c r="H18" s="63">
        <v>208</v>
      </c>
      <c r="I18" s="63">
        <v>98</v>
      </c>
      <c r="J18" s="63">
        <v>9765</v>
      </c>
      <c r="K18" s="63">
        <v>11</v>
      </c>
      <c r="L18" s="63">
        <v>9</v>
      </c>
      <c r="M18" s="59"/>
      <c r="N18" s="55"/>
      <c r="O18" s="55"/>
    </row>
    <row r="19" spans="1:15" s="64" customFormat="1" x14ac:dyDescent="0.25">
      <c r="A19" s="61">
        <v>7</v>
      </c>
      <c r="B19" s="28" t="s">
        <v>77</v>
      </c>
      <c r="C19" s="27" t="s">
        <v>78</v>
      </c>
      <c r="D19" s="62">
        <v>0.85</v>
      </c>
      <c r="E19" s="59">
        <v>65110</v>
      </c>
      <c r="F19" s="59">
        <v>115</v>
      </c>
      <c r="G19" s="63">
        <v>65065</v>
      </c>
      <c r="H19" s="63">
        <v>115</v>
      </c>
      <c r="I19" s="63">
        <v>45</v>
      </c>
      <c r="J19" s="59"/>
      <c r="K19" s="59"/>
      <c r="L19" s="59"/>
      <c r="M19" s="59"/>
      <c r="N19" s="55"/>
      <c r="O19" s="55"/>
    </row>
    <row r="20" spans="1:15" s="64" customFormat="1" x14ac:dyDescent="0.25">
      <c r="A20" s="61">
        <v>8</v>
      </c>
      <c r="B20" s="29" t="s">
        <v>99</v>
      </c>
      <c r="C20" s="30" t="s">
        <v>100</v>
      </c>
      <c r="D20" s="62">
        <v>0.85</v>
      </c>
      <c r="E20" s="59">
        <v>112073</v>
      </c>
      <c r="F20" s="59">
        <v>317</v>
      </c>
      <c r="G20" s="63">
        <v>111196</v>
      </c>
      <c r="H20" s="63">
        <v>317</v>
      </c>
      <c r="I20" s="63">
        <v>101</v>
      </c>
      <c r="J20" s="63">
        <v>775</v>
      </c>
      <c r="K20" s="63"/>
      <c r="L20" s="59">
        <v>1</v>
      </c>
      <c r="M20" s="59"/>
      <c r="N20" s="55"/>
      <c r="O20" s="55"/>
    </row>
    <row r="21" spans="1:15" s="64" customFormat="1" x14ac:dyDescent="0.25">
      <c r="A21" s="61">
        <v>9</v>
      </c>
      <c r="B21" s="28" t="s">
        <v>177</v>
      </c>
      <c r="C21" s="32" t="s">
        <v>446</v>
      </c>
      <c r="D21" s="62">
        <v>0.9</v>
      </c>
      <c r="E21" s="59">
        <v>476430</v>
      </c>
      <c r="F21" s="59">
        <v>645</v>
      </c>
      <c r="G21" s="59">
        <v>411147</v>
      </c>
      <c r="H21" s="59">
        <v>543</v>
      </c>
      <c r="I21" s="59">
        <v>76</v>
      </c>
      <c r="J21" s="59">
        <v>45904</v>
      </c>
      <c r="K21" s="59">
        <v>102</v>
      </c>
      <c r="L21" s="59">
        <v>17</v>
      </c>
      <c r="M21" s="59">
        <v>19286</v>
      </c>
      <c r="N21" s="55"/>
      <c r="O21" s="55"/>
    </row>
    <row r="22" spans="1:15" s="64" customFormat="1" x14ac:dyDescent="0.25">
      <c r="A22" s="61">
        <v>10</v>
      </c>
      <c r="B22" s="28" t="s">
        <v>207</v>
      </c>
      <c r="C22" s="27" t="s">
        <v>208</v>
      </c>
      <c r="D22" s="62">
        <v>0.91</v>
      </c>
      <c r="E22" s="59">
        <v>29957</v>
      </c>
      <c r="F22" s="59">
        <v>20</v>
      </c>
      <c r="G22" s="63">
        <v>29939</v>
      </c>
      <c r="H22" s="63">
        <v>20</v>
      </c>
      <c r="I22" s="63">
        <v>18</v>
      </c>
      <c r="J22" s="59"/>
      <c r="K22" s="59"/>
      <c r="L22" s="59"/>
      <c r="M22" s="59"/>
      <c r="N22" s="55"/>
      <c r="O22" s="55"/>
    </row>
    <row r="25" spans="1:15" x14ac:dyDescent="0.25">
      <c r="E25" s="636"/>
    </row>
    <row r="26" spans="1:15" x14ac:dyDescent="0.25">
      <c r="E26" s="637"/>
    </row>
  </sheetData>
  <mergeCells count="17">
    <mergeCell ref="M6:M7"/>
    <mergeCell ref="A8:C8"/>
    <mergeCell ref="C2:M2"/>
    <mergeCell ref="A4:A7"/>
    <mergeCell ref="B4:B7"/>
    <mergeCell ref="C4:C7"/>
    <mergeCell ref="D4:D7"/>
    <mergeCell ref="E4:M5"/>
    <mergeCell ref="E6:E7"/>
    <mergeCell ref="F6:F7"/>
    <mergeCell ref="G6:G7"/>
    <mergeCell ref="H6:H7"/>
    <mergeCell ref="A12:C12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51" customWidth="1"/>
    <col min="2" max="4" width="22.28515625" style="137" customWidth="1"/>
    <col min="5" max="16384" width="9.140625" style="137"/>
  </cols>
  <sheetData>
    <row r="1" spans="1:4" ht="59.25" customHeight="1" x14ac:dyDescent="0.25">
      <c r="A1" s="1021" t="s">
        <v>649</v>
      </c>
      <c r="B1" s="1021"/>
      <c r="C1" s="1021"/>
      <c r="D1" s="1021"/>
    </row>
    <row r="2" spans="1:4" ht="18.75" customHeight="1" x14ac:dyDescent="0.25">
      <c r="A2" s="138"/>
      <c r="B2" s="138"/>
      <c r="C2" s="138"/>
    </row>
    <row r="3" spans="1:4" s="141" customFormat="1" ht="45" customHeight="1" x14ac:dyDescent="0.25">
      <c r="A3" s="139" t="s">
        <v>396</v>
      </c>
      <c r="B3" s="139" t="s">
        <v>398</v>
      </c>
      <c r="C3" s="140" t="s">
        <v>285</v>
      </c>
      <c r="D3" s="140" t="s">
        <v>15</v>
      </c>
    </row>
    <row r="4" spans="1:4" s="141" customFormat="1" ht="18.75" customHeight="1" x14ac:dyDescent="0.25">
      <c r="A4" s="142" t="s">
        <v>424</v>
      </c>
      <c r="B4" s="142"/>
      <c r="C4" s="143"/>
      <c r="D4" s="144"/>
    </row>
    <row r="5" spans="1:4" s="141" customFormat="1" ht="14.25" customHeight="1" x14ac:dyDescent="0.25">
      <c r="A5" s="142">
        <v>22</v>
      </c>
      <c r="B5" s="143"/>
      <c r="C5" s="145">
        <v>50</v>
      </c>
      <c r="D5" s="146">
        <f>B5+C5</f>
        <v>50</v>
      </c>
    </row>
    <row r="6" spans="1:4" s="141" customFormat="1" ht="14.25" customHeight="1" x14ac:dyDescent="0.25">
      <c r="A6" s="142">
        <v>23</v>
      </c>
      <c r="B6" s="143">
        <v>40</v>
      </c>
      <c r="C6" s="145">
        <v>40</v>
      </c>
      <c r="D6" s="146">
        <f>B6+C6</f>
        <v>80</v>
      </c>
    </row>
    <row r="7" spans="1:4" s="141" customFormat="1" ht="14.25" customHeight="1" x14ac:dyDescent="0.25">
      <c r="A7" s="142">
        <v>24</v>
      </c>
      <c r="B7" s="143">
        <v>50</v>
      </c>
      <c r="C7" s="145"/>
      <c r="D7" s="146">
        <f>B7+C7</f>
        <v>50</v>
      </c>
    </row>
    <row r="8" spans="1:4" s="141" customFormat="1" ht="18.75" customHeight="1" x14ac:dyDescent="0.25">
      <c r="A8" s="147" t="s">
        <v>6</v>
      </c>
      <c r="B8" s="148">
        <f>SUM(B5:B7)</f>
        <v>90</v>
      </c>
      <c r="C8" s="148">
        <f t="shared" ref="C8:D8" si="0">SUM(C5:C7)</f>
        <v>90</v>
      </c>
      <c r="D8" s="148">
        <f t="shared" si="0"/>
        <v>180</v>
      </c>
    </row>
    <row r="9" spans="1:4" s="150" customFormat="1" ht="15.75" x14ac:dyDescent="0.25">
      <c r="A9" s="149"/>
    </row>
    <row r="10" spans="1:4" s="150" customFormat="1" ht="15.75" x14ac:dyDescent="0.25">
      <c r="A10" s="149"/>
    </row>
    <row r="11" spans="1:4" s="150" customFormat="1" ht="15.75" x14ac:dyDescent="0.25">
      <c r="A11" s="149"/>
    </row>
    <row r="12" spans="1:4" s="150" customFormat="1" ht="15.75" x14ac:dyDescent="0.25">
      <c r="A12" s="149"/>
    </row>
    <row r="13" spans="1:4" s="150" customFormat="1" ht="15.75" x14ac:dyDescent="0.25">
      <c r="A13" s="149"/>
    </row>
    <row r="14" spans="1:4" s="150" customFormat="1" ht="15.75" x14ac:dyDescent="0.25">
      <c r="A14" s="149"/>
    </row>
    <row r="15" spans="1:4" s="150" customFormat="1" ht="15.75" x14ac:dyDescent="0.25">
      <c r="A15" s="149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152"/>
  <sheetViews>
    <sheetView zoomScale="90" zoomScaleNormal="90" workbookViewId="0">
      <pane xSplit="3" ySplit="10" topLeftCell="D80" activePane="bottomRight" state="frozen"/>
      <selection pane="topRight" activeCell="D1" sqref="D1"/>
      <selection pane="bottomLeft" activeCell="A12" sqref="A12"/>
      <selection pane="bottomRight" activeCell="A9" sqref="A9:C9"/>
    </sheetView>
  </sheetViews>
  <sheetFormatPr defaultRowHeight="12" x14ac:dyDescent="0.2"/>
  <cols>
    <col min="1" max="1" width="7.28515625" style="922" customWidth="1"/>
    <col min="2" max="2" width="9.140625" style="922"/>
    <col min="3" max="3" width="23.5703125" style="922" customWidth="1"/>
    <col min="4" max="4" width="11.42578125" style="922" customWidth="1"/>
    <col min="5" max="5" width="10.85546875" style="922" customWidth="1"/>
    <col min="6" max="6" width="14.5703125" style="922" customWidth="1"/>
    <col min="7" max="10" width="9.140625" style="922"/>
    <col min="11" max="11" width="11.7109375" style="922" customWidth="1"/>
    <col min="12" max="12" width="14" style="922" customWidth="1"/>
    <col min="13" max="13" width="13.140625" style="922" customWidth="1"/>
    <col min="14" max="14" width="15.85546875" style="922" customWidth="1"/>
    <col min="15" max="15" width="11.5703125" style="922" customWidth="1"/>
    <col min="16" max="16" width="13.42578125" style="922" customWidth="1"/>
    <col min="17" max="17" width="14" style="922" customWidth="1"/>
    <col min="18" max="18" width="15.7109375" style="922" customWidth="1"/>
    <col min="19" max="19" width="17.5703125" style="922" customWidth="1"/>
    <col min="20" max="20" width="9.140625" style="922"/>
    <col min="21" max="22" width="0" style="922" hidden="1" customWidth="1"/>
    <col min="23" max="23" width="13.140625" style="922" hidden="1" customWidth="1"/>
    <col min="24" max="33" width="0" style="922" hidden="1" customWidth="1"/>
    <col min="34" max="34" width="16" style="922" customWidth="1"/>
    <col min="35" max="35" width="11.7109375" style="922" bestFit="1" customWidth="1"/>
    <col min="36" max="16384" width="9.140625" style="922"/>
  </cols>
  <sheetData>
    <row r="1" spans="1:37" ht="15.75" customHeight="1" x14ac:dyDescent="0.2">
      <c r="A1" s="1022" t="s">
        <v>333</v>
      </c>
      <c r="B1" s="1022"/>
      <c r="C1" s="1022"/>
      <c r="D1" s="1022"/>
      <c r="E1" s="1022"/>
      <c r="F1" s="1022"/>
      <c r="G1" s="1022"/>
      <c r="H1" s="1022"/>
      <c r="I1" s="1022"/>
      <c r="J1" s="1022"/>
      <c r="K1" s="1022"/>
      <c r="L1" s="1022"/>
      <c r="M1" s="1022"/>
      <c r="N1" s="1022"/>
      <c r="O1" s="1022"/>
      <c r="P1" s="1022"/>
      <c r="Q1" s="1022"/>
      <c r="R1" s="1022"/>
      <c r="S1" s="1022"/>
    </row>
    <row r="2" spans="1:37" ht="12" customHeight="1" x14ac:dyDescent="0.2">
      <c r="A2" s="1023" t="s">
        <v>0</v>
      </c>
      <c r="B2" s="1024" t="s">
        <v>1</v>
      </c>
      <c r="C2" s="1023" t="s">
        <v>2</v>
      </c>
      <c r="D2" s="1023" t="s">
        <v>289</v>
      </c>
      <c r="E2" s="1023"/>
      <c r="F2" s="1023"/>
      <c r="G2" s="1023"/>
      <c r="H2" s="1023"/>
      <c r="I2" s="1023"/>
      <c r="J2" s="1023"/>
      <c r="K2" s="1023"/>
      <c r="L2" s="1023"/>
      <c r="M2" s="1023"/>
      <c r="N2" s="1023"/>
      <c r="O2" s="1023"/>
      <c r="P2" s="1023"/>
      <c r="Q2" s="1023"/>
      <c r="R2" s="1023"/>
      <c r="S2" s="1027" t="s">
        <v>763</v>
      </c>
    </row>
    <row r="3" spans="1:37" ht="12" customHeight="1" x14ac:dyDescent="0.2">
      <c r="A3" s="1023"/>
      <c r="B3" s="1025"/>
      <c r="C3" s="1023"/>
      <c r="D3" s="1030" t="s">
        <v>3</v>
      </c>
      <c r="E3" s="1023" t="s">
        <v>290</v>
      </c>
      <c r="F3" s="1023"/>
      <c r="G3" s="1023"/>
      <c r="H3" s="1023"/>
      <c r="I3" s="1023"/>
      <c r="J3" s="1023"/>
      <c r="K3" s="1023"/>
      <c r="L3" s="1023"/>
      <c r="M3" s="1023"/>
      <c r="N3" s="1023"/>
      <c r="O3" s="1023"/>
      <c r="P3" s="1023"/>
      <c r="Q3" s="1023"/>
      <c r="R3" s="1023"/>
      <c r="S3" s="1028"/>
    </row>
    <row r="4" spans="1:37" ht="36.75" customHeight="1" x14ac:dyDescent="0.2">
      <c r="A4" s="1023"/>
      <c r="B4" s="1025"/>
      <c r="C4" s="1023"/>
      <c r="D4" s="1030"/>
      <c r="E4" s="1032" t="s">
        <v>286</v>
      </c>
      <c r="F4" s="1033"/>
      <c r="G4" s="1033"/>
      <c r="H4" s="1031" t="s">
        <v>287</v>
      </c>
      <c r="I4" s="1031"/>
      <c r="J4" s="1031"/>
      <c r="K4" s="1023" t="s">
        <v>5</v>
      </c>
      <c r="L4" s="1023"/>
      <c r="M4" s="1023"/>
      <c r="N4" s="1023"/>
      <c r="O4" s="1023"/>
      <c r="P4" s="1023"/>
      <c r="Q4" s="1023"/>
      <c r="R4" s="1023"/>
      <c r="S4" s="1028"/>
    </row>
    <row r="5" spans="1:37" ht="12" customHeight="1" x14ac:dyDescent="0.2">
      <c r="A5" s="1023"/>
      <c r="B5" s="1025"/>
      <c r="C5" s="1023"/>
      <c r="D5" s="1030"/>
      <c r="E5" s="1023" t="s">
        <v>6</v>
      </c>
      <c r="F5" s="1034" t="s">
        <v>4</v>
      </c>
      <c r="G5" s="1035"/>
      <c r="H5" s="1023" t="s">
        <v>6</v>
      </c>
      <c r="I5" s="1034" t="s">
        <v>7</v>
      </c>
      <c r="J5" s="1035"/>
      <c r="K5" s="1031" t="s">
        <v>6</v>
      </c>
      <c r="L5" s="1036" t="s">
        <v>4</v>
      </c>
      <c r="M5" s="1036"/>
      <c r="N5" s="1036"/>
      <c r="O5" s="1036"/>
      <c r="P5" s="1036"/>
      <c r="Q5" s="1036"/>
      <c r="R5" s="1036"/>
      <c r="S5" s="1028"/>
    </row>
    <row r="6" spans="1:37" ht="120" x14ac:dyDescent="0.2">
      <c r="A6" s="1023"/>
      <c r="B6" s="1026"/>
      <c r="C6" s="1023"/>
      <c r="D6" s="1031"/>
      <c r="E6" s="1023"/>
      <c r="F6" s="923" t="s">
        <v>8</v>
      </c>
      <c r="G6" s="924" t="s">
        <v>9</v>
      </c>
      <c r="H6" s="1023"/>
      <c r="I6" s="924" t="s">
        <v>10</v>
      </c>
      <c r="J6" s="924" t="s">
        <v>11</v>
      </c>
      <c r="K6" s="1023"/>
      <c r="L6" s="925" t="s">
        <v>386</v>
      </c>
      <c r="M6" s="925" t="s">
        <v>288</v>
      </c>
      <c r="N6" s="925" t="s">
        <v>764</v>
      </c>
      <c r="O6" s="925" t="s">
        <v>12</v>
      </c>
      <c r="P6" s="925" t="s">
        <v>765</v>
      </c>
      <c r="Q6" s="925" t="s">
        <v>13</v>
      </c>
      <c r="R6" s="926" t="s">
        <v>821</v>
      </c>
      <c r="S6" s="1029"/>
    </row>
    <row r="7" spans="1:37" s="930" customFormat="1" ht="11.25" x14ac:dyDescent="0.2">
      <c r="A7" s="927">
        <v>1</v>
      </c>
      <c r="B7" s="927">
        <v>2</v>
      </c>
      <c r="C7" s="927">
        <v>3</v>
      </c>
      <c r="D7" s="928">
        <v>4</v>
      </c>
      <c r="E7" s="928">
        <v>5</v>
      </c>
      <c r="F7" s="928">
        <v>6</v>
      </c>
      <c r="G7" s="928">
        <v>7</v>
      </c>
      <c r="H7" s="928">
        <v>8</v>
      </c>
      <c r="I7" s="928">
        <v>9</v>
      </c>
      <c r="J7" s="928">
        <v>10</v>
      </c>
      <c r="K7" s="927">
        <v>11</v>
      </c>
      <c r="L7" s="929">
        <v>12</v>
      </c>
      <c r="M7" s="929">
        <v>13</v>
      </c>
      <c r="N7" s="929">
        <v>14</v>
      </c>
      <c r="O7" s="929">
        <v>15</v>
      </c>
      <c r="P7" s="929">
        <v>16</v>
      </c>
      <c r="Q7" s="929">
        <v>17</v>
      </c>
      <c r="R7" s="929">
        <v>18</v>
      </c>
      <c r="S7" s="929">
        <v>19</v>
      </c>
    </row>
    <row r="8" spans="1:37" s="930" customFormat="1" x14ac:dyDescent="0.2">
      <c r="A8" s="1037" t="s">
        <v>6</v>
      </c>
      <c r="B8" s="1037"/>
      <c r="C8" s="1037"/>
      <c r="D8" s="931">
        <f>E8+H8+K8</f>
        <v>10692203</v>
      </c>
      <c r="E8" s="931">
        <f t="shared" ref="E8:E9" si="0">F8+G8</f>
        <v>1040097</v>
      </c>
      <c r="F8" s="931">
        <f>F9+F10</f>
        <v>197342</v>
      </c>
      <c r="G8" s="931">
        <f>G9+G10</f>
        <v>842755</v>
      </c>
      <c r="H8" s="931">
        <f>I8+J8</f>
        <v>1297871</v>
      </c>
      <c r="I8" s="931">
        <f>I9+I10</f>
        <v>1287725</v>
      </c>
      <c r="J8" s="931">
        <f>J9+J10</f>
        <v>10146</v>
      </c>
      <c r="K8" s="932">
        <f t="shared" ref="K8" si="1">SUM(L8:R8)</f>
        <v>8354235</v>
      </c>
      <c r="L8" s="933">
        <f t="shared" ref="L8:S8" si="2">L9+L10</f>
        <v>325794</v>
      </c>
      <c r="M8" s="933">
        <f t="shared" si="2"/>
        <v>37710</v>
      </c>
      <c r="N8" s="933">
        <f t="shared" si="2"/>
        <v>1321258</v>
      </c>
      <c r="O8" s="933">
        <f t="shared" si="2"/>
        <v>3674942</v>
      </c>
      <c r="P8" s="933">
        <f t="shared" si="2"/>
        <v>572528</v>
      </c>
      <c r="Q8" s="933">
        <f t="shared" si="2"/>
        <v>2373428</v>
      </c>
      <c r="R8" s="933">
        <f t="shared" si="2"/>
        <v>48575</v>
      </c>
      <c r="S8" s="933">
        <f t="shared" si="2"/>
        <v>1025004</v>
      </c>
      <c r="T8" s="934"/>
      <c r="AI8" s="935"/>
      <c r="AJ8" s="936"/>
    </row>
    <row r="9" spans="1:37" s="930" customFormat="1" ht="12" customHeight="1" x14ac:dyDescent="0.2">
      <c r="A9" s="1038" t="s">
        <v>14</v>
      </c>
      <c r="B9" s="1039"/>
      <c r="C9" s="1040"/>
      <c r="D9" s="928">
        <f>E9+K9</f>
        <v>105918</v>
      </c>
      <c r="E9" s="928">
        <f t="shared" si="0"/>
        <v>0</v>
      </c>
      <c r="F9" s="928">
        <v>0</v>
      </c>
      <c r="G9" s="928">
        <v>0</v>
      </c>
      <c r="H9" s="928">
        <v>0</v>
      </c>
      <c r="I9" s="928">
        <v>0</v>
      </c>
      <c r="J9" s="928">
        <v>0</v>
      </c>
      <c r="K9" s="927">
        <f>SUM(L9:R9)</f>
        <v>105918</v>
      </c>
      <c r="L9" s="937">
        <v>0</v>
      </c>
      <c r="M9" s="937">
        <v>0</v>
      </c>
      <c r="N9" s="937">
        <v>0</v>
      </c>
      <c r="O9" s="937">
        <v>105918</v>
      </c>
      <c r="P9" s="937">
        <v>0</v>
      </c>
      <c r="Q9" s="937">
        <v>0</v>
      </c>
      <c r="R9" s="937">
        <v>0</v>
      </c>
      <c r="S9" s="937">
        <v>8</v>
      </c>
      <c r="T9" s="934"/>
      <c r="AI9" s="935"/>
      <c r="AJ9" s="936"/>
    </row>
    <row r="10" spans="1:37" s="930" customFormat="1" ht="12" customHeight="1" x14ac:dyDescent="0.2">
      <c r="A10" s="1041" t="s">
        <v>15</v>
      </c>
      <c r="B10" s="1042"/>
      <c r="C10" s="1043"/>
      <c r="D10" s="931">
        <f>E10+H10+K10</f>
        <v>10586285</v>
      </c>
      <c r="E10" s="931">
        <f>F10+G10</f>
        <v>1040097</v>
      </c>
      <c r="F10" s="931">
        <f>SUM(F11:F148)</f>
        <v>197342</v>
      </c>
      <c r="G10" s="931">
        <f>SUM(G11:G148)</f>
        <v>842755</v>
      </c>
      <c r="H10" s="931">
        <f>I10+J10</f>
        <v>1297871</v>
      </c>
      <c r="I10" s="931">
        <f>SUM(I11:I148)</f>
        <v>1287725</v>
      </c>
      <c r="J10" s="931">
        <f>SUM(J11:J148)</f>
        <v>10146</v>
      </c>
      <c r="K10" s="932">
        <f t="shared" ref="K10:K74" si="3">SUM(L10:R10)</f>
        <v>8248317</v>
      </c>
      <c r="L10" s="933">
        <f t="shared" ref="L10:S10" si="4">SUM(L11:L148)</f>
        <v>325794</v>
      </c>
      <c r="M10" s="933">
        <f t="shared" si="4"/>
        <v>37710</v>
      </c>
      <c r="N10" s="933">
        <f t="shared" si="4"/>
        <v>1321258</v>
      </c>
      <c r="O10" s="933">
        <f t="shared" si="4"/>
        <v>3569024</v>
      </c>
      <c r="P10" s="933">
        <f t="shared" si="4"/>
        <v>572528</v>
      </c>
      <c r="Q10" s="933">
        <f t="shared" si="4"/>
        <v>2373428</v>
      </c>
      <c r="R10" s="933">
        <f t="shared" si="4"/>
        <v>48575</v>
      </c>
      <c r="S10" s="933">
        <f t="shared" si="4"/>
        <v>1024996</v>
      </c>
      <c r="T10" s="934"/>
      <c r="AJ10" s="936"/>
      <c r="AK10" s="936"/>
    </row>
    <row r="11" spans="1:37" x14ac:dyDescent="0.2">
      <c r="A11" s="719">
        <v>1</v>
      </c>
      <c r="B11" s="120" t="s">
        <v>16</v>
      </c>
      <c r="C11" s="720" t="s">
        <v>17</v>
      </c>
      <c r="D11" s="938">
        <f t="shared" ref="D11:D82" si="5">E11+H11+K11</f>
        <v>43416</v>
      </c>
      <c r="E11" s="938">
        <f>F11+G11</f>
        <v>5057</v>
      </c>
      <c r="F11" s="938">
        <v>927</v>
      </c>
      <c r="G11" s="938">
        <v>4130</v>
      </c>
      <c r="H11" s="928">
        <f t="shared" ref="H11:H76" si="6">I11+J11</f>
        <v>6108</v>
      </c>
      <c r="I11" s="938">
        <v>6048</v>
      </c>
      <c r="J11" s="938">
        <v>60</v>
      </c>
      <c r="K11" s="938">
        <f t="shared" si="3"/>
        <v>32251</v>
      </c>
      <c r="L11" s="939">
        <v>1530</v>
      </c>
      <c r="M11" s="939">
        <v>519</v>
      </c>
      <c r="N11" s="939">
        <v>10620</v>
      </c>
      <c r="O11" s="939">
        <v>13010</v>
      </c>
      <c r="P11" s="939">
        <v>0</v>
      </c>
      <c r="Q11" s="939">
        <v>6570</v>
      </c>
      <c r="R11" s="939">
        <v>2</v>
      </c>
      <c r="S11" s="939">
        <v>8935</v>
      </c>
      <c r="T11" s="934"/>
      <c r="V11" s="940"/>
      <c r="X11" s="930"/>
      <c r="Y11" s="930"/>
      <c r="AH11" s="930"/>
      <c r="AI11" s="935"/>
      <c r="AJ11" s="936"/>
      <c r="AK11" s="940"/>
    </row>
    <row r="12" spans="1:37" x14ac:dyDescent="0.2">
      <c r="A12" s="719">
        <v>2</v>
      </c>
      <c r="B12" s="721" t="s">
        <v>18</v>
      </c>
      <c r="C12" s="720" t="s">
        <v>19</v>
      </c>
      <c r="D12" s="938">
        <f t="shared" si="5"/>
        <v>45095</v>
      </c>
      <c r="E12" s="938">
        <f t="shared" ref="E12:E83" si="7">F12+G12</f>
        <v>4629</v>
      </c>
      <c r="F12" s="938">
        <v>964</v>
      </c>
      <c r="G12" s="938">
        <v>3665</v>
      </c>
      <c r="H12" s="928">
        <f t="shared" si="6"/>
        <v>6429</v>
      </c>
      <c r="I12" s="938">
        <v>6293</v>
      </c>
      <c r="J12" s="938">
        <v>136</v>
      </c>
      <c r="K12" s="938">
        <f t="shared" si="3"/>
        <v>34037</v>
      </c>
      <c r="L12" s="939">
        <v>1592</v>
      </c>
      <c r="M12" s="939">
        <v>153</v>
      </c>
      <c r="N12" s="939">
        <v>7720</v>
      </c>
      <c r="O12" s="939">
        <v>17345</v>
      </c>
      <c r="P12" s="939">
        <v>2852</v>
      </c>
      <c r="Q12" s="939">
        <v>3933</v>
      </c>
      <c r="R12" s="939">
        <v>442</v>
      </c>
      <c r="S12" s="939">
        <v>5618</v>
      </c>
      <c r="T12" s="934"/>
      <c r="V12" s="940"/>
      <c r="X12" s="930"/>
      <c r="Y12" s="930"/>
      <c r="AH12" s="930"/>
      <c r="AI12" s="935"/>
      <c r="AJ12" s="936"/>
      <c r="AK12" s="940"/>
    </row>
    <row r="13" spans="1:37" x14ac:dyDescent="0.2">
      <c r="A13" s="719">
        <v>3</v>
      </c>
      <c r="B13" s="722" t="s">
        <v>20</v>
      </c>
      <c r="C13" s="121" t="s">
        <v>21</v>
      </c>
      <c r="D13" s="938">
        <f t="shared" si="5"/>
        <v>144917</v>
      </c>
      <c r="E13" s="938">
        <f t="shared" si="7"/>
        <v>14903</v>
      </c>
      <c r="F13" s="938">
        <v>2798</v>
      </c>
      <c r="G13" s="938">
        <v>12105</v>
      </c>
      <c r="H13" s="928">
        <f t="shared" si="6"/>
        <v>18787</v>
      </c>
      <c r="I13" s="938">
        <v>18256</v>
      </c>
      <c r="J13" s="938">
        <v>531</v>
      </c>
      <c r="K13" s="938">
        <f t="shared" si="3"/>
        <v>111227</v>
      </c>
      <c r="L13" s="939">
        <v>4619</v>
      </c>
      <c r="M13" s="939">
        <v>366</v>
      </c>
      <c r="N13" s="939">
        <v>21542</v>
      </c>
      <c r="O13" s="939">
        <v>30185</v>
      </c>
      <c r="P13" s="939">
        <v>24850</v>
      </c>
      <c r="Q13" s="939">
        <v>28814</v>
      </c>
      <c r="R13" s="939">
        <v>851</v>
      </c>
      <c r="S13" s="939">
        <v>14933</v>
      </c>
      <c r="T13" s="934"/>
      <c r="V13" s="940"/>
      <c r="X13" s="930"/>
      <c r="Y13" s="930"/>
      <c r="AH13" s="930"/>
      <c r="AI13" s="935"/>
      <c r="AJ13" s="936"/>
      <c r="AK13" s="940"/>
    </row>
    <row r="14" spans="1:37" x14ac:dyDescent="0.2">
      <c r="A14" s="719">
        <v>4</v>
      </c>
      <c r="B14" s="120" t="s">
        <v>22</v>
      </c>
      <c r="C14" s="720" t="s">
        <v>23</v>
      </c>
      <c r="D14" s="938">
        <f t="shared" si="5"/>
        <v>46555</v>
      </c>
      <c r="E14" s="938">
        <f t="shared" si="7"/>
        <v>4528</v>
      </c>
      <c r="F14" s="938">
        <v>1074</v>
      </c>
      <c r="G14" s="938">
        <v>3454</v>
      </c>
      <c r="H14" s="928">
        <f t="shared" si="6"/>
        <v>7073</v>
      </c>
      <c r="I14" s="938">
        <v>7008</v>
      </c>
      <c r="J14" s="938">
        <v>65</v>
      </c>
      <c r="K14" s="938">
        <f t="shared" si="3"/>
        <v>34954</v>
      </c>
      <c r="L14" s="939">
        <v>1773</v>
      </c>
      <c r="M14" s="939">
        <v>231</v>
      </c>
      <c r="N14" s="939">
        <v>4048</v>
      </c>
      <c r="O14" s="939">
        <v>17791</v>
      </c>
      <c r="P14" s="939">
        <v>2387</v>
      </c>
      <c r="Q14" s="939">
        <v>8721</v>
      </c>
      <c r="R14" s="939">
        <v>3</v>
      </c>
      <c r="S14" s="939">
        <v>5064</v>
      </c>
      <c r="T14" s="934"/>
      <c r="V14" s="940"/>
      <c r="X14" s="930"/>
      <c r="Y14" s="930"/>
      <c r="AH14" s="930"/>
      <c r="AI14" s="935"/>
      <c r="AJ14" s="936"/>
      <c r="AK14" s="940"/>
    </row>
    <row r="15" spans="1:37" ht="24" x14ac:dyDescent="0.2">
      <c r="A15" s="719">
        <v>5</v>
      </c>
      <c r="B15" s="120" t="s">
        <v>24</v>
      </c>
      <c r="C15" s="720" t="s">
        <v>25</v>
      </c>
      <c r="D15" s="938">
        <f t="shared" si="5"/>
        <v>51622</v>
      </c>
      <c r="E15" s="938">
        <f t="shared" si="7"/>
        <v>5845</v>
      </c>
      <c r="F15" s="938">
        <v>1114</v>
      </c>
      <c r="G15" s="938">
        <v>4731</v>
      </c>
      <c r="H15" s="928">
        <f t="shared" si="6"/>
        <v>7346</v>
      </c>
      <c r="I15" s="938">
        <v>7270</v>
      </c>
      <c r="J15" s="938">
        <v>76</v>
      </c>
      <c r="K15" s="938">
        <f t="shared" si="3"/>
        <v>38431</v>
      </c>
      <c r="L15" s="939">
        <v>1839</v>
      </c>
      <c r="M15" s="939">
        <v>99</v>
      </c>
      <c r="N15" s="939">
        <v>9267</v>
      </c>
      <c r="O15" s="939">
        <v>12411</v>
      </c>
      <c r="P15" s="939">
        <v>6201</v>
      </c>
      <c r="Q15" s="939">
        <v>8613</v>
      </c>
      <c r="R15" s="939">
        <v>1</v>
      </c>
      <c r="S15" s="939">
        <v>5698</v>
      </c>
      <c r="T15" s="934"/>
      <c r="V15" s="940"/>
      <c r="X15" s="930"/>
      <c r="Y15" s="930"/>
      <c r="AH15" s="930"/>
      <c r="AI15" s="935"/>
      <c r="AJ15" s="936"/>
      <c r="AK15" s="940"/>
    </row>
    <row r="16" spans="1:37" x14ac:dyDescent="0.2">
      <c r="A16" s="719">
        <v>6</v>
      </c>
      <c r="B16" s="722" t="s">
        <v>26</v>
      </c>
      <c r="C16" s="121" t="s">
        <v>27</v>
      </c>
      <c r="D16" s="938">
        <f t="shared" si="5"/>
        <v>383496</v>
      </c>
      <c r="E16" s="938">
        <f t="shared" si="7"/>
        <v>38313</v>
      </c>
      <c r="F16" s="938">
        <v>7635</v>
      </c>
      <c r="G16" s="938">
        <v>30678</v>
      </c>
      <c r="H16" s="928">
        <f t="shared" si="6"/>
        <v>50004</v>
      </c>
      <c r="I16" s="938">
        <v>49820</v>
      </c>
      <c r="J16" s="938">
        <v>184</v>
      </c>
      <c r="K16" s="938">
        <f t="shared" si="3"/>
        <v>295179</v>
      </c>
      <c r="L16" s="939">
        <v>12604</v>
      </c>
      <c r="M16" s="939">
        <v>696</v>
      </c>
      <c r="N16" s="939">
        <v>52911</v>
      </c>
      <c r="O16" s="939">
        <v>108096</v>
      </c>
      <c r="P16" s="939">
        <v>3660</v>
      </c>
      <c r="Q16" s="939">
        <v>114657</v>
      </c>
      <c r="R16" s="939">
        <v>2555</v>
      </c>
      <c r="S16" s="939">
        <v>46860</v>
      </c>
      <c r="T16" s="934"/>
      <c r="V16" s="940"/>
      <c r="X16" s="930"/>
      <c r="Y16" s="930"/>
      <c r="AH16" s="930"/>
      <c r="AI16" s="935"/>
      <c r="AJ16" s="936"/>
      <c r="AK16" s="940"/>
    </row>
    <row r="17" spans="1:37" x14ac:dyDescent="0.2">
      <c r="A17" s="719">
        <v>7</v>
      </c>
      <c r="B17" s="723" t="s">
        <v>28</v>
      </c>
      <c r="C17" s="128" t="s">
        <v>29</v>
      </c>
      <c r="D17" s="938">
        <f t="shared" si="5"/>
        <v>142991</v>
      </c>
      <c r="E17" s="938">
        <f t="shared" si="7"/>
        <v>14189</v>
      </c>
      <c r="F17" s="938">
        <v>2863</v>
      </c>
      <c r="G17" s="938">
        <v>11326</v>
      </c>
      <c r="H17" s="928">
        <f t="shared" si="6"/>
        <v>18829</v>
      </c>
      <c r="I17" s="938">
        <v>18681</v>
      </c>
      <c r="J17" s="938">
        <v>148</v>
      </c>
      <c r="K17" s="938">
        <f t="shared" si="3"/>
        <v>109973</v>
      </c>
      <c r="L17" s="939">
        <v>4726</v>
      </c>
      <c r="M17" s="939">
        <v>333</v>
      </c>
      <c r="N17" s="939">
        <v>18159</v>
      </c>
      <c r="O17" s="939">
        <v>26768</v>
      </c>
      <c r="P17" s="939">
        <v>7165</v>
      </c>
      <c r="Q17" s="939">
        <v>51712</v>
      </c>
      <c r="R17" s="939">
        <v>1110</v>
      </c>
      <c r="S17" s="939">
        <v>15539</v>
      </c>
      <c r="T17" s="934"/>
      <c r="V17" s="940"/>
      <c r="X17" s="930"/>
      <c r="Y17" s="930"/>
      <c r="AH17" s="930"/>
      <c r="AI17" s="935"/>
      <c r="AJ17" s="936"/>
      <c r="AK17" s="940"/>
    </row>
    <row r="18" spans="1:37" x14ac:dyDescent="0.2">
      <c r="A18" s="719">
        <v>8</v>
      </c>
      <c r="B18" s="722" t="s">
        <v>30</v>
      </c>
      <c r="C18" s="121" t="s">
        <v>31</v>
      </c>
      <c r="D18" s="938">
        <f t="shared" si="5"/>
        <v>57998</v>
      </c>
      <c r="E18" s="938">
        <f t="shared" si="7"/>
        <v>5857</v>
      </c>
      <c r="F18" s="938">
        <v>1198</v>
      </c>
      <c r="G18" s="938">
        <v>4659</v>
      </c>
      <c r="H18" s="928">
        <f t="shared" si="6"/>
        <v>7976</v>
      </c>
      <c r="I18" s="938">
        <v>7817</v>
      </c>
      <c r="J18" s="938">
        <v>159</v>
      </c>
      <c r="K18" s="938">
        <f t="shared" si="3"/>
        <v>44165</v>
      </c>
      <c r="L18" s="939">
        <v>1978</v>
      </c>
      <c r="M18" s="939">
        <v>90</v>
      </c>
      <c r="N18" s="939">
        <v>5436</v>
      </c>
      <c r="O18" s="939">
        <v>15021</v>
      </c>
      <c r="P18" s="939">
        <v>6000</v>
      </c>
      <c r="Q18" s="939">
        <v>15639</v>
      </c>
      <c r="R18" s="939">
        <v>1</v>
      </c>
      <c r="S18" s="939">
        <v>6227</v>
      </c>
      <c r="T18" s="934"/>
      <c r="V18" s="940"/>
      <c r="X18" s="930"/>
      <c r="Y18" s="930"/>
      <c r="AH18" s="930"/>
      <c r="AI18" s="935"/>
      <c r="AJ18" s="936"/>
      <c r="AK18" s="940"/>
    </row>
    <row r="19" spans="1:37" x14ac:dyDescent="0.2">
      <c r="A19" s="719">
        <v>9</v>
      </c>
      <c r="B19" s="722" t="s">
        <v>32</v>
      </c>
      <c r="C19" s="121" t="s">
        <v>33</v>
      </c>
      <c r="D19" s="938">
        <f t="shared" si="5"/>
        <v>49454</v>
      </c>
      <c r="E19" s="938">
        <f t="shared" si="7"/>
        <v>5416</v>
      </c>
      <c r="F19" s="938">
        <v>1054</v>
      </c>
      <c r="G19" s="938">
        <v>4362</v>
      </c>
      <c r="H19" s="928">
        <f t="shared" si="6"/>
        <v>6919</v>
      </c>
      <c r="I19" s="938">
        <v>6881</v>
      </c>
      <c r="J19" s="938">
        <v>38</v>
      </c>
      <c r="K19" s="938">
        <f t="shared" si="3"/>
        <v>37119</v>
      </c>
      <c r="L19" s="939">
        <v>1741</v>
      </c>
      <c r="M19" s="939">
        <v>417</v>
      </c>
      <c r="N19" s="939">
        <v>7593</v>
      </c>
      <c r="O19" s="939">
        <v>15202</v>
      </c>
      <c r="P19" s="939">
        <v>0</v>
      </c>
      <c r="Q19" s="939">
        <v>12163</v>
      </c>
      <c r="R19" s="939">
        <v>3</v>
      </c>
      <c r="S19" s="939">
        <v>7377</v>
      </c>
      <c r="T19" s="934"/>
      <c r="V19" s="940"/>
      <c r="X19" s="930"/>
      <c r="Y19" s="930"/>
      <c r="AH19" s="930"/>
      <c r="AI19" s="935"/>
      <c r="AJ19" s="936"/>
      <c r="AK19" s="940"/>
    </row>
    <row r="20" spans="1:37" x14ac:dyDescent="0.2">
      <c r="A20" s="719">
        <v>10</v>
      </c>
      <c r="B20" s="722" t="s">
        <v>34</v>
      </c>
      <c r="C20" s="121" t="s">
        <v>35</v>
      </c>
      <c r="D20" s="938">
        <f t="shared" si="5"/>
        <v>61272</v>
      </c>
      <c r="E20" s="938">
        <f t="shared" si="7"/>
        <v>6001</v>
      </c>
      <c r="F20" s="938">
        <v>1388</v>
      </c>
      <c r="G20" s="938">
        <v>4613</v>
      </c>
      <c r="H20" s="928">
        <f t="shared" si="6"/>
        <v>9117</v>
      </c>
      <c r="I20" s="938">
        <v>9057</v>
      </c>
      <c r="J20" s="938">
        <v>60</v>
      </c>
      <c r="K20" s="938">
        <f t="shared" si="3"/>
        <v>46154</v>
      </c>
      <c r="L20" s="939">
        <v>2291</v>
      </c>
      <c r="M20" s="939">
        <v>75</v>
      </c>
      <c r="N20" s="939">
        <v>11957</v>
      </c>
      <c r="O20" s="939">
        <v>16996</v>
      </c>
      <c r="P20" s="939">
        <v>5206</v>
      </c>
      <c r="Q20" s="939">
        <v>9626</v>
      </c>
      <c r="R20" s="939">
        <v>3</v>
      </c>
      <c r="S20" s="939">
        <v>9011</v>
      </c>
      <c r="T20" s="934"/>
      <c r="V20" s="940"/>
      <c r="X20" s="930"/>
      <c r="Y20" s="930"/>
      <c r="AH20" s="930"/>
      <c r="AI20" s="935"/>
      <c r="AJ20" s="936"/>
      <c r="AK20" s="940"/>
    </row>
    <row r="21" spans="1:37" x14ac:dyDescent="0.2">
      <c r="A21" s="719">
        <v>11</v>
      </c>
      <c r="B21" s="722" t="s">
        <v>36</v>
      </c>
      <c r="C21" s="121" t="s">
        <v>37</v>
      </c>
      <c r="D21" s="938">
        <f t="shared" si="5"/>
        <v>50763</v>
      </c>
      <c r="E21" s="938">
        <f t="shared" si="7"/>
        <v>6212</v>
      </c>
      <c r="F21" s="938">
        <v>1079</v>
      </c>
      <c r="G21" s="938">
        <v>5133</v>
      </c>
      <c r="H21" s="928">
        <f t="shared" si="6"/>
        <v>7123</v>
      </c>
      <c r="I21" s="938">
        <v>7038</v>
      </c>
      <c r="J21" s="938">
        <v>85</v>
      </c>
      <c r="K21" s="938">
        <f t="shared" si="3"/>
        <v>37428</v>
      </c>
      <c r="L21" s="939">
        <v>1781</v>
      </c>
      <c r="M21" s="939">
        <v>111</v>
      </c>
      <c r="N21" s="939">
        <v>9966</v>
      </c>
      <c r="O21" s="939">
        <v>8170</v>
      </c>
      <c r="P21" s="939">
        <v>11105</v>
      </c>
      <c r="Q21" s="939">
        <v>6293</v>
      </c>
      <c r="R21" s="939">
        <v>2</v>
      </c>
      <c r="S21" s="939">
        <v>8641</v>
      </c>
      <c r="T21" s="934"/>
      <c r="V21" s="940"/>
      <c r="X21" s="930"/>
      <c r="Y21" s="930"/>
      <c r="AH21" s="930"/>
      <c r="AI21" s="935"/>
      <c r="AJ21" s="936"/>
      <c r="AK21" s="940"/>
    </row>
    <row r="22" spans="1:37" x14ac:dyDescent="0.2">
      <c r="A22" s="719">
        <v>12</v>
      </c>
      <c r="B22" s="722" t="s">
        <v>38</v>
      </c>
      <c r="C22" s="121" t="s">
        <v>39</v>
      </c>
      <c r="D22" s="938">
        <f t="shared" si="5"/>
        <v>101247</v>
      </c>
      <c r="E22" s="938">
        <f t="shared" si="7"/>
        <v>11202</v>
      </c>
      <c r="F22" s="938">
        <v>2137</v>
      </c>
      <c r="G22" s="938">
        <v>9065</v>
      </c>
      <c r="H22" s="928">
        <f t="shared" si="6"/>
        <v>14120</v>
      </c>
      <c r="I22" s="938">
        <v>13942</v>
      </c>
      <c r="J22" s="938">
        <v>178</v>
      </c>
      <c r="K22" s="938">
        <f t="shared" si="3"/>
        <v>75925</v>
      </c>
      <c r="L22" s="939">
        <v>3527</v>
      </c>
      <c r="M22" s="939">
        <v>240</v>
      </c>
      <c r="N22" s="939">
        <v>16078</v>
      </c>
      <c r="O22" s="939">
        <v>27732</v>
      </c>
      <c r="P22" s="939">
        <v>2010</v>
      </c>
      <c r="Q22" s="939">
        <v>25572</v>
      </c>
      <c r="R22" s="939">
        <v>766</v>
      </c>
      <c r="S22" s="939">
        <v>14669</v>
      </c>
      <c r="T22" s="934"/>
      <c r="V22" s="940"/>
      <c r="X22" s="930"/>
      <c r="Y22" s="930"/>
      <c r="AH22" s="930"/>
      <c r="AI22" s="935"/>
      <c r="AJ22" s="936"/>
      <c r="AK22" s="940"/>
    </row>
    <row r="23" spans="1:37" ht="24" x14ac:dyDescent="0.2">
      <c r="A23" s="724">
        <v>13</v>
      </c>
      <c r="B23" s="722" t="s">
        <v>40</v>
      </c>
      <c r="C23" s="121" t="s">
        <v>41</v>
      </c>
      <c r="D23" s="938">
        <f t="shared" si="5"/>
        <v>0</v>
      </c>
      <c r="E23" s="938">
        <f t="shared" si="7"/>
        <v>0</v>
      </c>
      <c r="F23" s="938">
        <v>0</v>
      </c>
      <c r="G23" s="938">
        <v>0</v>
      </c>
      <c r="H23" s="928">
        <f t="shared" si="6"/>
        <v>0</v>
      </c>
      <c r="I23" s="938">
        <v>0</v>
      </c>
      <c r="J23" s="938">
        <v>0</v>
      </c>
      <c r="K23" s="938">
        <f t="shared" si="3"/>
        <v>0</v>
      </c>
      <c r="L23" s="939">
        <v>0</v>
      </c>
      <c r="M23" s="939">
        <v>0</v>
      </c>
      <c r="N23" s="939">
        <v>0</v>
      </c>
      <c r="O23" s="939">
        <v>0</v>
      </c>
      <c r="P23" s="939">
        <v>0</v>
      </c>
      <c r="Q23" s="939">
        <v>0</v>
      </c>
      <c r="R23" s="939">
        <v>0</v>
      </c>
      <c r="S23" s="939">
        <v>0</v>
      </c>
      <c r="T23" s="934"/>
      <c r="V23" s="940"/>
      <c r="X23" s="930"/>
      <c r="Y23" s="930"/>
      <c r="AH23" s="930"/>
      <c r="AI23" s="935"/>
      <c r="AJ23" s="936"/>
      <c r="AK23" s="940"/>
    </row>
    <row r="24" spans="1:37" ht="24" x14ac:dyDescent="0.2">
      <c r="A24" s="719">
        <v>14</v>
      </c>
      <c r="B24" s="120" t="s">
        <v>42</v>
      </c>
      <c r="C24" s="121" t="s">
        <v>43</v>
      </c>
      <c r="D24" s="938">
        <f t="shared" si="5"/>
        <v>0</v>
      </c>
      <c r="E24" s="938">
        <f t="shared" si="7"/>
        <v>0</v>
      </c>
      <c r="F24" s="938">
        <v>0</v>
      </c>
      <c r="G24" s="938">
        <v>0</v>
      </c>
      <c r="H24" s="928">
        <f t="shared" si="6"/>
        <v>0</v>
      </c>
      <c r="I24" s="938">
        <v>0</v>
      </c>
      <c r="J24" s="938">
        <v>0</v>
      </c>
      <c r="K24" s="938">
        <f t="shared" si="3"/>
        <v>0</v>
      </c>
      <c r="L24" s="939">
        <v>0</v>
      </c>
      <c r="M24" s="939">
        <v>0</v>
      </c>
      <c r="N24" s="939">
        <v>0</v>
      </c>
      <c r="O24" s="939">
        <v>0</v>
      </c>
      <c r="P24" s="939">
        <v>0</v>
      </c>
      <c r="Q24" s="939">
        <v>0</v>
      </c>
      <c r="R24" s="939">
        <v>0</v>
      </c>
      <c r="S24" s="939">
        <v>0</v>
      </c>
      <c r="T24" s="934"/>
      <c r="V24" s="940"/>
      <c r="X24" s="930"/>
      <c r="Y24" s="930"/>
      <c r="AH24" s="930"/>
      <c r="AI24" s="935"/>
      <c r="AJ24" s="936"/>
      <c r="AK24" s="940"/>
    </row>
    <row r="25" spans="1:37" x14ac:dyDescent="0.2">
      <c r="A25" s="724">
        <v>15</v>
      </c>
      <c r="B25" s="722" t="s">
        <v>44</v>
      </c>
      <c r="C25" s="121" t="s">
        <v>45</v>
      </c>
      <c r="D25" s="938">
        <f t="shared" si="5"/>
        <v>66097</v>
      </c>
      <c r="E25" s="938">
        <f t="shared" si="7"/>
        <v>8181</v>
      </c>
      <c r="F25" s="938">
        <v>1353</v>
      </c>
      <c r="G25" s="938">
        <v>6828</v>
      </c>
      <c r="H25" s="928">
        <f t="shared" si="6"/>
        <v>8946</v>
      </c>
      <c r="I25" s="938">
        <v>8826</v>
      </c>
      <c r="J25" s="938">
        <v>120</v>
      </c>
      <c r="K25" s="938">
        <f t="shared" si="3"/>
        <v>48970</v>
      </c>
      <c r="L25" s="939">
        <v>2233</v>
      </c>
      <c r="M25" s="939">
        <v>261</v>
      </c>
      <c r="N25" s="939">
        <v>6313</v>
      </c>
      <c r="O25" s="939">
        <v>14284</v>
      </c>
      <c r="P25" s="939">
        <v>5107</v>
      </c>
      <c r="Q25" s="939">
        <v>20569</v>
      </c>
      <c r="R25" s="939">
        <v>203</v>
      </c>
      <c r="S25" s="939">
        <v>6357</v>
      </c>
      <c r="T25" s="934"/>
      <c r="V25" s="940"/>
      <c r="X25" s="930"/>
      <c r="Y25" s="930"/>
      <c r="AH25" s="930"/>
      <c r="AI25" s="935"/>
      <c r="AJ25" s="936"/>
      <c r="AK25" s="940"/>
    </row>
    <row r="26" spans="1:37" x14ac:dyDescent="0.2">
      <c r="A26" s="719">
        <v>16</v>
      </c>
      <c r="B26" s="722" t="s">
        <v>46</v>
      </c>
      <c r="C26" s="121" t="s">
        <v>47</v>
      </c>
      <c r="D26" s="938">
        <f t="shared" si="5"/>
        <v>99013</v>
      </c>
      <c r="E26" s="938">
        <f t="shared" si="7"/>
        <v>12339</v>
      </c>
      <c r="F26" s="938">
        <v>1923</v>
      </c>
      <c r="G26" s="938">
        <v>10416</v>
      </c>
      <c r="H26" s="928">
        <f t="shared" si="6"/>
        <v>12731</v>
      </c>
      <c r="I26" s="938">
        <v>12548</v>
      </c>
      <c r="J26" s="938">
        <v>183</v>
      </c>
      <c r="K26" s="938">
        <f t="shared" si="3"/>
        <v>73943</v>
      </c>
      <c r="L26" s="939">
        <v>3175</v>
      </c>
      <c r="M26" s="939">
        <v>198</v>
      </c>
      <c r="N26" s="939">
        <v>9605</v>
      </c>
      <c r="O26" s="939">
        <v>29235</v>
      </c>
      <c r="P26" s="939">
        <v>0</v>
      </c>
      <c r="Q26" s="939">
        <v>31723</v>
      </c>
      <c r="R26" s="939">
        <v>7</v>
      </c>
      <c r="S26" s="939">
        <v>6446</v>
      </c>
      <c r="T26" s="934"/>
      <c r="V26" s="940"/>
      <c r="X26" s="930"/>
      <c r="Y26" s="930"/>
      <c r="AH26" s="930"/>
      <c r="AI26" s="935"/>
      <c r="AJ26" s="936"/>
      <c r="AK26" s="940"/>
    </row>
    <row r="27" spans="1:37" x14ac:dyDescent="0.2">
      <c r="A27" s="724">
        <v>17</v>
      </c>
      <c r="B27" s="722" t="s">
        <v>48</v>
      </c>
      <c r="C27" s="121" t="s">
        <v>49</v>
      </c>
      <c r="D27" s="938">
        <f t="shared" si="5"/>
        <v>126855</v>
      </c>
      <c r="E27" s="938">
        <f t="shared" si="7"/>
        <v>15840</v>
      </c>
      <c r="F27" s="938">
        <v>2540</v>
      </c>
      <c r="G27" s="938">
        <v>13300</v>
      </c>
      <c r="H27" s="928">
        <f t="shared" si="6"/>
        <v>16684</v>
      </c>
      <c r="I27" s="938">
        <v>16573</v>
      </c>
      <c r="J27" s="938">
        <v>111</v>
      </c>
      <c r="K27" s="938">
        <f t="shared" si="3"/>
        <v>94331</v>
      </c>
      <c r="L27" s="939">
        <v>4193</v>
      </c>
      <c r="M27" s="939">
        <v>456</v>
      </c>
      <c r="N27" s="939">
        <v>9979</v>
      </c>
      <c r="O27" s="939">
        <v>37131</v>
      </c>
      <c r="P27" s="939">
        <v>8866</v>
      </c>
      <c r="Q27" s="939">
        <v>33698</v>
      </c>
      <c r="R27" s="939">
        <v>8</v>
      </c>
      <c r="S27" s="939">
        <v>7622</v>
      </c>
      <c r="T27" s="934"/>
      <c r="V27" s="940"/>
      <c r="X27" s="930"/>
      <c r="Y27" s="930"/>
      <c r="AH27" s="930"/>
      <c r="AI27" s="935"/>
      <c r="AJ27" s="936"/>
      <c r="AK27" s="940"/>
    </row>
    <row r="28" spans="1:37" x14ac:dyDescent="0.2">
      <c r="A28" s="719">
        <v>18</v>
      </c>
      <c r="B28" s="722" t="s">
        <v>50</v>
      </c>
      <c r="C28" s="121" t="s">
        <v>51</v>
      </c>
      <c r="D28" s="938">
        <f t="shared" si="5"/>
        <v>249382</v>
      </c>
      <c r="E28" s="938">
        <f t="shared" si="7"/>
        <v>25841</v>
      </c>
      <c r="F28" s="938">
        <v>4877</v>
      </c>
      <c r="G28" s="938">
        <v>20964</v>
      </c>
      <c r="H28" s="928">
        <f t="shared" si="6"/>
        <v>32445</v>
      </c>
      <c r="I28" s="938">
        <v>31825</v>
      </c>
      <c r="J28" s="938">
        <v>620</v>
      </c>
      <c r="K28" s="938">
        <f t="shared" si="3"/>
        <v>191096</v>
      </c>
      <c r="L28" s="939">
        <v>8052</v>
      </c>
      <c r="M28" s="939">
        <v>888</v>
      </c>
      <c r="N28" s="939">
        <v>22658</v>
      </c>
      <c r="O28" s="939">
        <v>42838</v>
      </c>
      <c r="P28" s="939">
        <v>52300</v>
      </c>
      <c r="Q28" s="939">
        <v>63363</v>
      </c>
      <c r="R28" s="939">
        <v>997</v>
      </c>
      <c r="S28" s="939">
        <v>13025</v>
      </c>
      <c r="T28" s="934"/>
      <c r="V28" s="940"/>
      <c r="X28" s="930"/>
      <c r="Y28" s="930"/>
      <c r="AH28" s="930"/>
      <c r="AI28" s="935"/>
      <c r="AJ28" s="936"/>
      <c r="AK28" s="940"/>
    </row>
    <row r="29" spans="1:37" x14ac:dyDescent="0.2">
      <c r="A29" s="724">
        <v>19</v>
      </c>
      <c r="B29" s="120" t="s">
        <v>52</v>
      </c>
      <c r="C29" s="720" t="s">
        <v>53</v>
      </c>
      <c r="D29" s="938">
        <f t="shared" si="5"/>
        <v>40799</v>
      </c>
      <c r="E29" s="938">
        <f t="shared" si="7"/>
        <v>5421</v>
      </c>
      <c r="F29" s="938">
        <v>779</v>
      </c>
      <c r="G29" s="938">
        <v>4642</v>
      </c>
      <c r="H29" s="928">
        <f t="shared" si="6"/>
        <v>5108</v>
      </c>
      <c r="I29" s="938">
        <v>5084</v>
      </c>
      <c r="J29" s="938">
        <v>24</v>
      </c>
      <c r="K29" s="938">
        <f t="shared" si="3"/>
        <v>30270</v>
      </c>
      <c r="L29" s="939">
        <v>1286</v>
      </c>
      <c r="M29" s="939">
        <v>255</v>
      </c>
      <c r="N29" s="939">
        <v>6972</v>
      </c>
      <c r="O29" s="939">
        <v>13370</v>
      </c>
      <c r="P29" s="939">
        <v>1600</v>
      </c>
      <c r="Q29" s="939">
        <v>6786</v>
      </c>
      <c r="R29" s="939">
        <v>1</v>
      </c>
      <c r="S29" s="939">
        <v>3339</v>
      </c>
      <c r="T29" s="934"/>
      <c r="V29" s="940"/>
      <c r="X29" s="930"/>
      <c r="Y29" s="930"/>
      <c r="AH29" s="930"/>
      <c r="AI29" s="935"/>
      <c r="AJ29" s="936"/>
      <c r="AK29" s="940"/>
    </row>
    <row r="30" spans="1:37" x14ac:dyDescent="0.2">
      <c r="A30" s="719">
        <v>20</v>
      </c>
      <c r="B30" s="120" t="s">
        <v>54</v>
      </c>
      <c r="C30" s="720" t="s">
        <v>55</v>
      </c>
      <c r="D30" s="938">
        <f t="shared" si="5"/>
        <v>31253</v>
      </c>
      <c r="E30" s="938">
        <f t="shared" si="7"/>
        <v>3583</v>
      </c>
      <c r="F30" s="938">
        <v>664</v>
      </c>
      <c r="G30" s="938">
        <v>2919</v>
      </c>
      <c r="H30" s="928">
        <f t="shared" si="6"/>
        <v>4475</v>
      </c>
      <c r="I30" s="938">
        <v>4330</v>
      </c>
      <c r="J30" s="938">
        <v>145</v>
      </c>
      <c r="K30" s="938">
        <f t="shared" si="3"/>
        <v>23195</v>
      </c>
      <c r="L30" s="939">
        <v>1095</v>
      </c>
      <c r="M30" s="939">
        <v>120</v>
      </c>
      <c r="N30" s="939">
        <v>5727</v>
      </c>
      <c r="O30" s="939">
        <v>7451</v>
      </c>
      <c r="P30" s="939">
        <v>0</v>
      </c>
      <c r="Q30" s="939">
        <v>8801</v>
      </c>
      <c r="R30" s="939">
        <v>1</v>
      </c>
      <c r="S30" s="939">
        <v>4550</v>
      </c>
      <c r="T30" s="934"/>
      <c r="V30" s="940"/>
      <c r="X30" s="930"/>
      <c r="Y30" s="930"/>
      <c r="AH30" s="930"/>
      <c r="AI30" s="935"/>
      <c r="AJ30" s="936"/>
      <c r="AK30" s="940"/>
    </row>
    <row r="31" spans="1:37" x14ac:dyDescent="0.2">
      <c r="A31" s="724">
        <v>21</v>
      </c>
      <c r="B31" s="120" t="s">
        <v>56</v>
      </c>
      <c r="C31" s="720" t="s">
        <v>57</v>
      </c>
      <c r="D31" s="938">
        <f t="shared" si="5"/>
        <v>164294</v>
      </c>
      <c r="E31" s="938">
        <f t="shared" si="7"/>
        <v>19544</v>
      </c>
      <c r="F31" s="938">
        <v>3374</v>
      </c>
      <c r="G31" s="938">
        <v>16170</v>
      </c>
      <c r="H31" s="928">
        <f t="shared" si="6"/>
        <v>22212</v>
      </c>
      <c r="I31" s="938">
        <v>22018</v>
      </c>
      <c r="J31" s="938">
        <v>194</v>
      </c>
      <c r="K31" s="938">
        <f t="shared" si="3"/>
        <v>122538</v>
      </c>
      <c r="L31" s="939">
        <v>5571</v>
      </c>
      <c r="M31" s="939">
        <v>429</v>
      </c>
      <c r="N31" s="939">
        <v>22456</v>
      </c>
      <c r="O31" s="939">
        <v>43741</v>
      </c>
      <c r="P31" s="939">
        <v>3033</v>
      </c>
      <c r="Q31" s="939">
        <v>46053</v>
      </c>
      <c r="R31" s="939">
        <v>1255</v>
      </c>
      <c r="S31" s="939">
        <v>17600</v>
      </c>
      <c r="T31" s="934"/>
      <c r="V31" s="940"/>
      <c r="X31" s="930"/>
      <c r="Y31" s="930"/>
      <c r="AH31" s="930"/>
      <c r="AI31" s="935"/>
      <c r="AJ31" s="936"/>
      <c r="AK31" s="940"/>
    </row>
    <row r="32" spans="1:37" x14ac:dyDescent="0.2">
      <c r="A32" s="719">
        <v>22</v>
      </c>
      <c r="B32" s="120" t="s">
        <v>58</v>
      </c>
      <c r="C32" s="720" t="s">
        <v>59</v>
      </c>
      <c r="D32" s="938">
        <f t="shared" si="5"/>
        <v>150463</v>
      </c>
      <c r="E32" s="938">
        <f t="shared" si="7"/>
        <v>16271</v>
      </c>
      <c r="F32" s="938">
        <v>2815</v>
      </c>
      <c r="G32" s="938">
        <v>13456</v>
      </c>
      <c r="H32" s="928">
        <f t="shared" si="6"/>
        <v>18528</v>
      </c>
      <c r="I32" s="938">
        <v>18368</v>
      </c>
      <c r="J32" s="938">
        <v>160</v>
      </c>
      <c r="K32" s="938">
        <f t="shared" si="3"/>
        <v>115664</v>
      </c>
      <c r="L32" s="939">
        <v>4647</v>
      </c>
      <c r="M32" s="939">
        <v>354</v>
      </c>
      <c r="N32" s="939">
        <v>14461</v>
      </c>
      <c r="O32" s="939">
        <v>50055</v>
      </c>
      <c r="P32" s="939">
        <v>2250</v>
      </c>
      <c r="Q32" s="939">
        <v>42982</v>
      </c>
      <c r="R32" s="939">
        <v>915</v>
      </c>
      <c r="S32" s="939">
        <v>17702</v>
      </c>
      <c r="T32" s="934"/>
      <c r="V32" s="940"/>
      <c r="X32" s="930"/>
      <c r="Y32" s="930"/>
      <c r="AH32" s="930"/>
      <c r="AI32" s="935"/>
      <c r="AJ32" s="936"/>
      <c r="AK32" s="940"/>
    </row>
    <row r="33" spans="1:37" ht="24" x14ac:dyDescent="0.2">
      <c r="A33" s="724">
        <v>23</v>
      </c>
      <c r="B33" s="722" t="s">
        <v>60</v>
      </c>
      <c r="C33" s="121" t="s">
        <v>61</v>
      </c>
      <c r="D33" s="938">
        <f t="shared" si="5"/>
        <v>35926</v>
      </c>
      <c r="E33" s="938">
        <f t="shared" si="7"/>
        <v>3158</v>
      </c>
      <c r="F33" s="938">
        <v>683</v>
      </c>
      <c r="G33" s="938">
        <v>2475</v>
      </c>
      <c r="H33" s="928">
        <f t="shared" si="6"/>
        <v>4502</v>
      </c>
      <c r="I33" s="938">
        <v>4459</v>
      </c>
      <c r="J33" s="938">
        <v>43</v>
      </c>
      <c r="K33" s="938">
        <f t="shared" si="3"/>
        <v>28266</v>
      </c>
      <c r="L33" s="939">
        <v>1128</v>
      </c>
      <c r="M33" s="939">
        <v>48</v>
      </c>
      <c r="N33" s="939">
        <v>4198</v>
      </c>
      <c r="O33" s="939">
        <v>14829</v>
      </c>
      <c r="P33" s="939">
        <v>1693</v>
      </c>
      <c r="Q33" s="939">
        <v>6367</v>
      </c>
      <c r="R33" s="939">
        <v>3</v>
      </c>
      <c r="S33" s="939">
        <v>2092</v>
      </c>
      <c r="T33" s="934"/>
      <c r="V33" s="940"/>
      <c r="X33" s="930"/>
      <c r="Y33" s="930"/>
      <c r="AH33" s="930"/>
      <c r="AI33" s="935"/>
      <c r="AJ33" s="936"/>
      <c r="AK33" s="940"/>
    </row>
    <row r="34" spans="1:37" x14ac:dyDescent="0.2">
      <c r="A34" s="719">
        <v>24</v>
      </c>
      <c r="B34" s="722" t="s">
        <v>62</v>
      </c>
      <c r="C34" s="121" t="s">
        <v>63</v>
      </c>
      <c r="D34" s="938">
        <f t="shared" si="5"/>
        <v>0</v>
      </c>
      <c r="E34" s="938">
        <f t="shared" si="7"/>
        <v>0</v>
      </c>
      <c r="F34" s="938">
        <v>0</v>
      </c>
      <c r="G34" s="938">
        <v>0</v>
      </c>
      <c r="H34" s="928">
        <f t="shared" si="6"/>
        <v>0</v>
      </c>
      <c r="I34" s="938">
        <v>0</v>
      </c>
      <c r="J34" s="938">
        <v>0</v>
      </c>
      <c r="K34" s="938">
        <f t="shared" si="3"/>
        <v>0</v>
      </c>
      <c r="L34" s="939">
        <v>0</v>
      </c>
      <c r="M34" s="939">
        <v>0</v>
      </c>
      <c r="N34" s="939">
        <v>0</v>
      </c>
      <c r="O34" s="939">
        <v>0</v>
      </c>
      <c r="P34" s="939">
        <v>0</v>
      </c>
      <c r="Q34" s="939">
        <v>0</v>
      </c>
      <c r="R34" s="939">
        <v>0</v>
      </c>
      <c r="S34" s="939">
        <v>0</v>
      </c>
      <c r="T34" s="934"/>
      <c r="V34" s="940"/>
      <c r="X34" s="930"/>
      <c r="Y34" s="930"/>
      <c r="AH34" s="930"/>
      <c r="AI34" s="935"/>
      <c r="AJ34" s="936"/>
      <c r="AK34" s="940"/>
    </row>
    <row r="35" spans="1:37" ht="24" x14ac:dyDescent="0.2">
      <c r="A35" s="724">
        <v>25</v>
      </c>
      <c r="B35" s="722" t="s">
        <v>64</v>
      </c>
      <c r="C35" s="121" t="s">
        <v>65</v>
      </c>
      <c r="D35" s="938">
        <f t="shared" si="5"/>
        <v>0</v>
      </c>
      <c r="E35" s="938">
        <f t="shared" si="7"/>
        <v>0</v>
      </c>
      <c r="F35" s="938">
        <v>0</v>
      </c>
      <c r="G35" s="938">
        <v>0</v>
      </c>
      <c r="H35" s="928">
        <f t="shared" si="6"/>
        <v>0</v>
      </c>
      <c r="I35" s="938">
        <v>0</v>
      </c>
      <c r="J35" s="938">
        <v>0</v>
      </c>
      <c r="K35" s="938">
        <f t="shared" si="3"/>
        <v>0</v>
      </c>
      <c r="L35" s="939">
        <v>0</v>
      </c>
      <c r="M35" s="939">
        <v>0</v>
      </c>
      <c r="N35" s="939">
        <v>0</v>
      </c>
      <c r="O35" s="939">
        <v>0</v>
      </c>
      <c r="P35" s="939">
        <v>0</v>
      </c>
      <c r="Q35" s="939">
        <v>0</v>
      </c>
      <c r="R35" s="939">
        <v>0</v>
      </c>
      <c r="S35" s="939">
        <v>0</v>
      </c>
      <c r="T35" s="934"/>
      <c r="V35" s="940"/>
      <c r="X35" s="930"/>
      <c r="Y35" s="930"/>
      <c r="AH35" s="930"/>
      <c r="AI35" s="935"/>
      <c r="AJ35" s="936"/>
      <c r="AK35" s="940"/>
    </row>
    <row r="36" spans="1:37" ht="24" x14ac:dyDescent="0.2">
      <c r="A36" s="719">
        <v>26</v>
      </c>
      <c r="B36" s="120" t="s">
        <v>66</v>
      </c>
      <c r="C36" s="128" t="s">
        <v>67</v>
      </c>
      <c r="D36" s="938">
        <f t="shared" si="5"/>
        <v>349809</v>
      </c>
      <c r="E36" s="938">
        <f t="shared" si="7"/>
        <v>25707</v>
      </c>
      <c r="F36" s="938">
        <v>11119</v>
      </c>
      <c r="G36" s="938">
        <v>14588</v>
      </c>
      <c r="H36" s="928">
        <f t="shared" si="6"/>
        <v>74626</v>
      </c>
      <c r="I36" s="938">
        <v>74567</v>
      </c>
      <c r="J36" s="938">
        <v>59</v>
      </c>
      <c r="K36" s="938">
        <f t="shared" si="3"/>
        <v>249476</v>
      </c>
      <c r="L36" s="939">
        <v>18342</v>
      </c>
      <c r="M36" s="939">
        <v>2602</v>
      </c>
      <c r="N36" s="939">
        <v>58776</v>
      </c>
      <c r="O36" s="939">
        <v>73777</v>
      </c>
      <c r="P36" s="939">
        <v>33289</v>
      </c>
      <c r="Q36" s="939">
        <v>58718</v>
      </c>
      <c r="R36" s="939">
        <v>3972</v>
      </c>
      <c r="S36" s="939">
        <v>43837</v>
      </c>
      <c r="T36" s="934"/>
      <c r="V36" s="940"/>
      <c r="X36" s="930"/>
      <c r="Y36" s="930"/>
      <c r="AH36" s="930"/>
      <c r="AI36" s="935"/>
      <c r="AJ36" s="936"/>
      <c r="AK36" s="940"/>
    </row>
    <row r="37" spans="1:37" ht="24" x14ac:dyDescent="0.2">
      <c r="A37" s="724">
        <v>27</v>
      </c>
      <c r="B37" s="722" t="s">
        <v>68</v>
      </c>
      <c r="C37" s="121" t="s">
        <v>69</v>
      </c>
      <c r="D37" s="938">
        <f t="shared" si="5"/>
        <v>147646</v>
      </c>
      <c r="E37" s="938">
        <f t="shared" si="7"/>
        <v>12915</v>
      </c>
      <c r="F37" s="938">
        <v>3142</v>
      </c>
      <c r="G37" s="938">
        <v>9773</v>
      </c>
      <c r="H37" s="928">
        <f t="shared" si="6"/>
        <v>18509</v>
      </c>
      <c r="I37" s="938">
        <v>18494</v>
      </c>
      <c r="J37" s="938">
        <v>15</v>
      </c>
      <c r="K37" s="938">
        <f t="shared" si="3"/>
        <v>116222</v>
      </c>
      <c r="L37" s="939">
        <v>5203</v>
      </c>
      <c r="M37" s="939">
        <v>143</v>
      </c>
      <c r="N37" s="939">
        <v>7824</v>
      </c>
      <c r="O37" s="939">
        <v>27262</v>
      </c>
      <c r="P37" s="939">
        <v>46307</v>
      </c>
      <c r="Q37" s="939">
        <v>29483</v>
      </c>
      <c r="R37" s="939">
        <v>0</v>
      </c>
      <c r="S37" s="939">
        <v>11602</v>
      </c>
      <c r="T37" s="934"/>
      <c r="V37" s="940"/>
      <c r="X37" s="930"/>
      <c r="Y37" s="930"/>
      <c r="AH37" s="930"/>
      <c r="AI37" s="935"/>
      <c r="AJ37" s="936"/>
      <c r="AK37" s="940"/>
    </row>
    <row r="38" spans="1:37" x14ac:dyDescent="0.2">
      <c r="A38" s="719">
        <v>28</v>
      </c>
      <c r="B38" s="722" t="s">
        <v>70</v>
      </c>
      <c r="C38" s="121" t="s">
        <v>71</v>
      </c>
      <c r="D38" s="938">
        <f t="shared" si="5"/>
        <v>214584</v>
      </c>
      <c r="E38" s="938">
        <f t="shared" si="7"/>
        <v>43540</v>
      </c>
      <c r="F38" s="938">
        <v>0</v>
      </c>
      <c r="G38" s="938">
        <v>43540</v>
      </c>
      <c r="H38" s="928">
        <f t="shared" si="6"/>
        <v>276</v>
      </c>
      <c r="I38" s="938">
        <v>0</v>
      </c>
      <c r="J38" s="938">
        <v>276</v>
      </c>
      <c r="K38" s="938">
        <f t="shared" si="3"/>
        <v>170768</v>
      </c>
      <c r="L38" s="939">
        <v>0</v>
      </c>
      <c r="M38" s="939">
        <v>0</v>
      </c>
      <c r="N38" s="939">
        <v>5463</v>
      </c>
      <c r="O38" s="939">
        <v>43113</v>
      </c>
      <c r="P38" s="939">
        <v>58000</v>
      </c>
      <c r="Q38" s="939">
        <v>64159</v>
      </c>
      <c r="R38" s="939">
        <v>33</v>
      </c>
      <c r="S38" s="939">
        <v>0</v>
      </c>
      <c r="T38" s="934"/>
      <c r="V38" s="940"/>
      <c r="X38" s="930"/>
      <c r="Y38" s="930"/>
      <c r="AH38" s="930"/>
      <c r="AI38" s="935"/>
      <c r="AJ38" s="936"/>
      <c r="AK38" s="940"/>
    </row>
    <row r="39" spans="1:37" x14ac:dyDescent="0.2">
      <c r="A39" s="724">
        <v>29</v>
      </c>
      <c r="B39" s="721" t="s">
        <v>72</v>
      </c>
      <c r="C39" s="128" t="s">
        <v>73</v>
      </c>
      <c r="D39" s="938">
        <f t="shared" si="5"/>
        <v>13320</v>
      </c>
      <c r="E39" s="938">
        <f t="shared" si="7"/>
        <v>0</v>
      </c>
      <c r="F39" s="938">
        <v>0</v>
      </c>
      <c r="G39" s="938">
        <v>0</v>
      </c>
      <c r="H39" s="928">
        <f t="shared" si="6"/>
        <v>0</v>
      </c>
      <c r="I39" s="938">
        <v>0</v>
      </c>
      <c r="J39" s="938">
        <v>0</v>
      </c>
      <c r="K39" s="938">
        <f t="shared" si="3"/>
        <v>13320</v>
      </c>
      <c r="L39" s="939">
        <v>0</v>
      </c>
      <c r="M39" s="939">
        <v>0</v>
      </c>
      <c r="N39" s="939">
        <v>0</v>
      </c>
      <c r="O39" s="939">
        <v>10270</v>
      </c>
      <c r="P39" s="939">
        <v>3050</v>
      </c>
      <c r="Q39" s="939">
        <v>0</v>
      </c>
      <c r="R39" s="939">
        <v>0</v>
      </c>
      <c r="S39" s="939">
        <v>0</v>
      </c>
      <c r="T39" s="934"/>
      <c r="V39" s="940"/>
      <c r="X39" s="930"/>
      <c r="Y39" s="930"/>
      <c r="AH39" s="930"/>
      <c r="AI39" s="935"/>
      <c r="AJ39" s="936"/>
      <c r="AK39" s="940"/>
    </row>
    <row r="40" spans="1:37" ht="24" x14ac:dyDescent="0.2">
      <c r="A40" s="719">
        <v>30</v>
      </c>
      <c r="B40" s="120" t="s">
        <v>74</v>
      </c>
      <c r="C40" s="720" t="s">
        <v>357</v>
      </c>
      <c r="D40" s="938">
        <f t="shared" si="5"/>
        <v>0</v>
      </c>
      <c r="E40" s="938">
        <f t="shared" si="7"/>
        <v>0</v>
      </c>
      <c r="F40" s="938">
        <v>0</v>
      </c>
      <c r="G40" s="938">
        <v>0</v>
      </c>
      <c r="H40" s="928">
        <f t="shared" si="6"/>
        <v>0</v>
      </c>
      <c r="I40" s="938">
        <v>0</v>
      </c>
      <c r="J40" s="938">
        <v>0</v>
      </c>
      <c r="K40" s="938">
        <f t="shared" si="3"/>
        <v>0</v>
      </c>
      <c r="L40" s="939">
        <v>0</v>
      </c>
      <c r="M40" s="939">
        <v>0</v>
      </c>
      <c r="N40" s="939">
        <v>0</v>
      </c>
      <c r="O40" s="939">
        <v>0</v>
      </c>
      <c r="P40" s="939">
        <v>0</v>
      </c>
      <c r="Q40" s="939">
        <v>0</v>
      </c>
      <c r="R40" s="939">
        <v>0</v>
      </c>
      <c r="S40" s="939">
        <v>0</v>
      </c>
      <c r="T40" s="934"/>
      <c r="V40" s="940"/>
      <c r="X40" s="930"/>
      <c r="Y40" s="930"/>
      <c r="AH40" s="930"/>
      <c r="AI40" s="935"/>
      <c r="AJ40" s="936"/>
      <c r="AK40" s="940"/>
    </row>
    <row r="41" spans="1:37" ht="24" x14ac:dyDescent="0.2">
      <c r="A41" s="724">
        <v>31</v>
      </c>
      <c r="B41" s="722" t="s">
        <v>75</v>
      </c>
      <c r="C41" s="121" t="s">
        <v>76</v>
      </c>
      <c r="D41" s="938">
        <f t="shared" si="5"/>
        <v>13394</v>
      </c>
      <c r="E41" s="938">
        <f t="shared" si="7"/>
        <v>554</v>
      </c>
      <c r="F41" s="938">
        <v>554</v>
      </c>
      <c r="G41" s="938">
        <v>0</v>
      </c>
      <c r="H41" s="928">
        <f t="shared" si="6"/>
        <v>3616</v>
      </c>
      <c r="I41" s="938">
        <v>3616</v>
      </c>
      <c r="J41" s="938">
        <v>0</v>
      </c>
      <c r="K41" s="938">
        <f t="shared" si="3"/>
        <v>9224</v>
      </c>
      <c r="L41" s="939">
        <v>915</v>
      </c>
      <c r="M41" s="939">
        <v>81</v>
      </c>
      <c r="N41" s="939">
        <v>1051</v>
      </c>
      <c r="O41" s="939">
        <v>5666</v>
      </c>
      <c r="P41" s="939">
        <v>300</v>
      </c>
      <c r="Q41" s="939">
        <v>1211</v>
      </c>
      <c r="R41" s="939">
        <v>0</v>
      </c>
      <c r="S41" s="939">
        <v>156</v>
      </c>
      <c r="T41" s="934"/>
      <c r="V41" s="940"/>
      <c r="X41" s="930"/>
      <c r="Y41" s="930"/>
      <c r="AH41" s="930"/>
      <c r="AI41" s="935"/>
      <c r="AJ41" s="936"/>
      <c r="AK41" s="940"/>
    </row>
    <row r="42" spans="1:37" x14ac:dyDescent="0.2">
      <c r="A42" s="719">
        <v>32</v>
      </c>
      <c r="B42" s="721" t="s">
        <v>77</v>
      </c>
      <c r="C42" s="720" t="s">
        <v>78</v>
      </c>
      <c r="D42" s="938">
        <f t="shared" si="5"/>
        <v>202332</v>
      </c>
      <c r="E42" s="938">
        <f t="shared" si="7"/>
        <v>19781</v>
      </c>
      <c r="F42" s="938">
        <v>4212</v>
      </c>
      <c r="G42" s="938">
        <v>15569</v>
      </c>
      <c r="H42" s="928">
        <f t="shared" si="6"/>
        <v>27782</v>
      </c>
      <c r="I42" s="938">
        <v>27487</v>
      </c>
      <c r="J42" s="938">
        <v>295</v>
      </c>
      <c r="K42" s="938">
        <f t="shared" si="3"/>
        <v>154769</v>
      </c>
      <c r="L42" s="939">
        <v>6954</v>
      </c>
      <c r="M42" s="939">
        <v>336</v>
      </c>
      <c r="N42" s="939">
        <v>21148</v>
      </c>
      <c r="O42" s="939">
        <v>48445</v>
      </c>
      <c r="P42" s="939">
        <v>12060</v>
      </c>
      <c r="Q42" s="939">
        <v>64975</v>
      </c>
      <c r="R42" s="939">
        <v>851</v>
      </c>
      <c r="S42" s="939">
        <v>18204</v>
      </c>
      <c r="T42" s="934"/>
      <c r="V42" s="940"/>
      <c r="X42" s="930"/>
      <c r="Y42" s="930"/>
      <c r="AH42" s="930"/>
      <c r="AI42" s="935"/>
      <c r="AJ42" s="936"/>
      <c r="AK42" s="940"/>
    </row>
    <row r="43" spans="1:37" x14ac:dyDescent="0.2">
      <c r="A43" s="724">
        <v>33</v>
      </c>
      <c r="B43" s="723" t="s">
        <v>79</v>
      </c>
      <c r="C43" s="128" t="s">
        <v>80</v>
      </c>
      <c r="D43" s="938">
        <f t="shared" si="5"/>
        <v>298340</v>
      </c>
      <c r="E43" s="938">
        <f t="shared" si="7"/>
        <v>32349</v>
      </c>
      <c r="F43" s="938">
        <v>5971</v>
      </c>
      <c r="G43" s="938">
        <v>26378</v>
      </c>
      <c r="H43" s="928">
        <f t="shared" si="6"/>
        <v>39254</v>
      </c>
      <c r="I43" s="938">
        <v>38964</v>
      </c>
      <c r="J43" s="938">
        <v>290</v>
      </c>
      <c r="K43" s="938">
        <f t="shared" si="3"/>
        <v>226737</v>
      </c>
      <c r="L43" s="939">
        <v>9858</v>
      </c>
      <c r="M43" s="939">
        <v>297</v>
      </c>
      <c r="N43" s="939">
        <v>44023</v>
      </c>
      <c r="O43" s="939">
        <v>78215</v>
      </c>
      <c r="P43" s="939">
        <v>22540</v>
      </c>
      <c r="Q43" s="939">
        <v>70079</v>
      </c>
      <c r="R43" s="939">
        <v>1725</v>
      </c>
      <c r="S43" s="939">
        <v>26101</v>
      </c>
      <c r="T43" s="934"/>
      <c r="V43" s="940"/>
      <c r="X43" s="930"/>
      <c r="Y43" s="930"/>
      <c r="AH43" s="930"/>
      <c r="AI43" s="935"/>
      <c r="AJ43" s="936"/>
      <c r="AK43" s="940"/>
    </row>
    <row r="44" spans="1:37" x14ac:dyDescent="0.2">
      <c r="A44" s="719">
        <v>34</v>
      </c>
      <c r="B44" s="721" t="s">
        <v>81</v>
      </c>
      <c r="C44" s="720" t="s">
        <v>82</v>
      </c>
      <c r="D44" s="938">
        <f t="shared" si="5"/>
        <v>56286</v>
      </c>
      <c r="E44" s="938">
        <f t="shared" si="7"/>
        <v>6523</v>
      </c>
      <c r="F44" s="938">
        <v>1184</v>
      </c>
      <c r="G44" s="938">
        <v>5339</v>
      </c>
      <c r="H44" s="928">
        <f t="shared" si="6"/>
        <v>7757</v>
      </c>
      <c r="I44" s="938">
        <v>7727</v>
      </c>
      <c r="J44" s="938">
        <v>30</v>
      </c>
      <c r="K44" s="938">
        <f t="shared" si="3"/>
        <v>42006</v>
      </c>
      <c r="L44" s="939">
        <v>1955</v>
      </c>
      <c r="M44" s="939">
        <v>183</v>
      </c>
      <c r="N44" s="939">
        <v>5060</v>
      </c>
      <c r="O44" s="939">
        <v>12837</v>
      </c>
      <c r="P44" s="939">
        <v>7025</v>
      </c>
      <c r="Q44" s="939">
        <v>14944</v>
      </c>
      <c r="R44" s="939">
        <v>2</v>
      </c>
      <c r="S44" s="939">
        <v>4276</v>
      </c>
      <c r="T44" s="934"/>
      <c r="V44" s="940"/>
      <c r="X44" s="930"/>
      <c r="Y44" s="930"/>
      <c r="AH44" s="930"/>
      <c r="AI44" s="935"/>
      <c r="AJ44" s="936"/>
      <c r="AK44" s="940"/>
    </row>
    <row r="45" spans="1:37" x14ac:dyDescent="0.2">
      <c r="A45" s="724">
        <v>35</v>
      </c>
      <c r="B45" s="722" t="s">
        <v>83</v>
      </c>
      <c r="C45" s="121" t="s">
        <v>84</v>
      </c>
      <c r="D45" s="938">
        <f t="shared" si="5"/>
        <v>199605</v>
      </c>
      <c r="E45" s="938">
        <f t="shared" si="7"/>
        <v>20748</v>
      </c>
      <c r="F45" s="938">
        <v>4048</v>
      </c>
      <c r="G45" s="938">
        <v>16700</v>
      </c>
      <c r="H45" s="928">
        <f t="shared" si="6"/>
        <v>26696</v>
      </c>
      <c r="I45" s="938">
        <v>26417</v>
      </c>
      <c r="J45" s="938">
        <v>279</v>
      </c>
      <c r="K45" s="938">
        <f t="shared" si="3"/>
        <v>152161</v>
      </c>
      <c r="L45" s="939">
        <v>6684</v>
      </c>
      <c r="M45" s="939">
        <v>318</v>
      </c>
      <c r="N45" s="939">
        <v>25961</v>
      </c>
      <c r="O45" s="939">
        <v>40622</v>
      </c>
      <c r="P45" s="939">
        <v>34180</v>
      </c>
      <c r="Q45" s="939">
        <v>43340</v>
      </c>
      <c r="R45" s="939">
        <v>1056</v>
      </c>
      <c r="S45" s="939">
        <v>16198</v>
      </c>
      <c r="T45" s="934"/>
      <c r="V45" s="940"/>
      <c r="X45" s="930"/>
      <c r="Y45" s="930"/>
      <c r="AH45" s="930"/>
      <c r="AI45" s="935"/>
      <c r="AJ45" s="936"/>
      <c r="AK45" s="940"/>
    </row>
    <row r="46" spans="1:37" ht="24" x14ac:dyDescent="0.2">
      <c r="A46" s="719">
        <v>36</v>
      </c>
      <c r="B46" s="721" t="s">
        <v>85</v>
      </c>
      <c r="C46" s="720" t="s">
        <v>86</v>
      </c>
      <c r="D46" s="938">
        <f t="shared" si="5"/>
        <v>74608</v>
      </c>
      <c r="E46" s="938">
        <f t="shared" si="7"/>
        <v>8720</v>
      </c>
      <c r="F46" s="938">
        <v>1546</v>
      </c>
      <c r="G46" s="938">
        <v>7174</v>
      </c>
      <c r="H46" s="928">
        <f t="shared" si="6"/>
        <v>10171</v>
      </c>
      <c r="I46" s="938">
        <v>10086</v>
      </c>
      <c r="J46" s="938">
        <v>85</v>
      </c>
      <c r="K46" s="938">
        <f t="shared" si="3"/>
        <v>55717</v>
      </c>
      <c r="L46" s="939">
        <v>2552</v>
      </c>
      <c r="M46" s="939">
        <v>480</v>
      </c>
      <c r="N46" s="939">
        <v>8655</v>
      </c>
      <c r="O46" s="939">
        <v>23286</v>
      </c>
      <c r="P46" s="939">
        <v>7791</v>
      </c>
      <c r="Q46" s="939">
        <v>11943</v>
      </c>
      <c r="R46" s="939">
        <v>1010</v>
      </c>
      <c r="S46" s="939">
        <v>6751</v>
      </c>
      <c r="T46" s="934"/>
      <c r="V46" s="940"/>
      <c r="X46" s="930"/>
      <c r="Y46" s="930"/>
      <c r="AH46" s="930"/>
      <c r="AI46" s="935"/>
      <c r="AJ46" s="936"/>
      <c r="AK46" s="940"/>
    </row>
    <row r="47" spans="1:37" x14ac:dyDescent="0.2">
      <c r="A47" s="724">
        <v>37</v>
      </c>
      <c r="B47" s="120" t="s">
        <v>87</v>
      </c>
      <c r="C47" s="720" t="s">
        <v>88</v>
      </c>
      <c r="D47" s="938">
        <f t="shared" si="5"/>
        <v>192311</v>
      </c>
      <c r="E47" s="938">
        <f t="shared" si="7"/>
        <v>21545</v>
      </c>
      <c r="F47" s="938">
        <v>4045</v>
      </c>
      <c r="G47" s="938">
        <v>17500</v>
      </c>
      <c r="H47" s="928">
        <f t="shared" si="6"/>
        <v>26698</v>
      </c>
      <c r="I47" s="938">
        <v>26395</v>
      </c>
      <c r="J47" s="938">
        <v>303</v>
      </c>
      <c r="K47" s="938">
        <f t="shared" si="3"/>
        <v>144068</v>
      </c>
      <c r="L47" s="939">
        <v>6678</v>
      </c>
      <c r="M47" s="939">
        <v>321</v>
      </c>
      <c r="N47" s="939">
        <v>22051</v>
      </c>
      <c r="O47" s="939">
        <v>65782</v>
      </c>
      <c r="P47" s="939">
        <v>6000</v>
      </c>
      <c r="Q47" s="939">
        <v>42021</v>
      </c>
      <c r="R47" s="939">
        <v>1215</v>
      </c>
      <c r="S47" s="939">
        <v>30682</v>
      </c>
      <c r="T47" s="934"/>
      <c r="V47" s="940"/>
      <c r="X47" s="930"/>
      <c r="Y47" s="930"/>
      <c r="AH47" s="930"/>
      <c r="AI47" s="935"/>
      <c r="AJ47" s="936"/>
      <c r="AK47" s="940"/>
    </row>
    <row r="48" spans="1:37" x14ac:dyDescent="0.2">
      <c r="A48" s="719">
        <v>38</v>
      </c>
      <c r="B48" s="725" t="s">
        <v>89</v>
      </c>
      <c r="C48" s="726" t="s">
        <v>90</v>
      </c>
      <c r="D48" s="938">
        <f t="shared" si="5"/>
        <v>66401</v>
      </c>
      <c r="E48" s="938">
        <f t="shared" si="7"/>
        <v>7260</v>
      </c>
      <c r="F48" s="938">
        <v>1420</v>
      </c>
      <c r="G48" s="938">
        <v>5840</v>
      </c>
      <c r="H48" s="928">
        <f t="shared" si="6"/>
        <v>9310</v>
      </c>
      <c r="I48" s="938">
        <v>9267</v>
      </c>
      <c r="J48" s="938">
        <v>43</v>
      </c>
      <c r="K48" s="938">
        <f t="shared" si="3"/>
        <v>49831</v>
      </c>
      <c r="L48" s="939">
        <v>2345</v>
      </c>
      <c r="M48" s="939">
        <v>93</v>
      </c>
      <c r="N48" s="939">
        <v>7860</v>
      </c>
      <c r="O48" s="939">
        <v>11721</v>
      </c>
      <c r="P48" s="939">
        <v>8350</v>
      </c>
      <c r="Q48" s="939">
        <v>19016</v>
      </c>
      <c r="R48" s="939">
        <v>446</v>
      </c>
      <c r="S48" s="939">
        <v>6892</v>
      </c>
      <c r="T48" s="934"/>
      <c r="V48" s="940"/>
      <c r="X48" s="930"/>
      <c r="Y48" s="930"/>
      <c r="AH48" s="930"/>
      <c r="AI48" s="935"/>
      <c r="AJ48" s="936"/>
      <c r="AK48" s="940"/>
    </row>
    <row r="49" spans="1:37" ht="24" x14ac:dyDescent="0.2">
      <c r="A49" s="724">
        <v>39</v>
      </c>
      <c r="B49" s="120" t="s">
        <v>91</v>
      </c>
      <c r="C49" s="720" t="s">
        <v>92</v>
      </c>
      <c r="D49" s="938">
        <f t="shared" si="5"/>
        <v>40305</v>
      </c>
      <c r="E49" s="938">
        <f t="shared" si="7"/>
        <v>3896</v>
      </c>
      <c r="F49" s="938">
        <v>917</v>
      </c>
      <c r="G49" s="938">
        <v>2979</v>
      </c>
      <c r="H49" s="928">
        <f t="shared" si="6"/>
        <v>6116</v>
      </c>
      <c r="I49" s="938">
        <v>5981</v>
      </c>
      <c r="J49" s="938">
        <v>135</v>
      </c>
      <c r="K49" s="938">
        <f t="shared" si="3"/>
        <v>30293</v>
      </c>
      <c r="L49" s="939">
        <v>1513</v>
      </c>
      <c r="M49" s="939">
        <v>141</v>
      </c>
      <c r="N49" s="939">
        <v>5072</v>
      </c>
      <c r="O49" s="939">
        <v>9052</v>
      </c>
      <c r="P49" s="939">
        <v>2400</v>
      </c>
      <c r="Q49" s="939">
        <v>12114</v>
      </c>
      <c r="R49" s="939">
        <v>1</v>
      </c>
      <c r="S49" s="939">
        <v>7075</v>
      </c>
      <c r="T49" s="934"/>
      <c r="V49" s="940"/>
      <c r="X49" s="930"/>
      <c r="Y49" s="930"/>
      <c r="AH49" s="930"/>
      <c r="AI49" s="935"/>
      <c r="AJ49" s="936"/>
      <c r="AK49" s="940"/>
    </row>
    <row r="50" spans="1:37" x14ac:dyDescent="0.2">
      <c r="A50" s="719">
        <v>40</v>
      </c>
      <c r="B50" s="723" t="s">
        <v>93</v>
      </c>
      <c r="C50" s="128" t="s">
        <v>94</v>
      </c>
      <c r="D50" s="938">
        <f t="shared" si="5"/>
        <v>71479</v>
      </c>
      <c r="E50" s="938">
        <f t="shared" si="7"/>
        <v>7114</v>
      </c>
      <c r="F50" s="938">
        <v>1611</v>
      </c>
      <c r="G50" s="938">
        <v>5503</v>
      </c>
      <c r="H50" s="928">
        <f t="shared" si="6"/>
        <v>10608</v>
      </c>
      <c r="I50" s="938">
        <v>10511</v>
      </c>
      <c r="J50" s="938">
        <v>97</v>
      </c>
      <c r="K50" s="938">
        <f t="shared" si="3"/>
        <v>53757</v>
      </c>
      <c r="L50" s="939">
        <v>2659</v>
      </c>
      <c r="M50" s="939">
        <v>204</v>
      </c>
      <c r="N50" s="939">
        <v>15379</v>
      </c>
      <c r="O50" s="939">
        <v>17717</v>
      </c>
      <c r="P50" s="939">
        <v>1400</v>
      </c>
      <c r="Q50" s="939">
        <v>16396</v>
      </c>
      <c r="R50" s="939">
        <v>2</v>
      </c>
      <c r="S50" s="939">
        <v>11151</v>
      </c>
      <c r="T50" s="934"/>
      <c r="V50" s="940"/>
      <c r="X50" s="930"/>
      <c r="Y50" s="930"/>
      <c r="AH50" s="930"/>
      <c r="AI50" s="935"/>
      <c r="AJ50" s="936"/>
      <c r="AK50" s="940"/>
    </row>
    <row r="51" spans="1:37" x14ac:dyDescent="0.2">
      <c r="A51" s="724">
        <v>41</v>
      </c>
      <c r="B51" s="722" t="s">
        <v>95</v>
      </c>
      <c r="C51" s="121" t="s">
        <v>96</v>
      </c>
      <c r="D51" s="938">
        <f t="shared" si="5"/>
        <v>32476</v>
      </c>
      <c r="E51" s="938">
        <f t="shared" si="7"/>
        <v>2879</v>
      </c>
      <c r="F51" s="938">
        <v>767</v>
      </c>
      <c r="G51" s="938">
        <v>2112</v>
      </c>
      <c r="H51" s="928">
        <f t="shared" si="6"/>
        <v>5065</v>
      </c>
      <c r="I51" s="938">
        <v>5005</v>
      </c>
      <c r="J51" s="938">
        <v>60</v>
      </c>
      <c r="K51" s="938">
        <f t="shared" si="3"/>
        <v>24532</v>
      </c>
      <c r="L51" s="939">
        <v>1266</v>
      </c>
      <c r="M51" s="939">
        <v>81</v>
      </c>
      <c r="N51" s="939">
        <v>4501</v>
      </c>
      <c r="O51" s="939">
        <v>7628</v>
      </c>
      <c r="P51" s="939">
        <v>4032</v>
      </c>
      <c r="Q51" s="939">
        <v>7023</v>
      </c>
      <c r="R51" s="939">
        <v>1</v>
      </c>
      <c r="S51" s="939">
        <v>4778</v>
      </c>
      <c r="T51" s="934"/>
      <c r="V51" s="940"/>
      <c r="X51" s="930"/>
      <c r="Y51" s="930"/>
      <c r="AH51" s="930"/>
      <c r="AI51" s="935"/>
      <c r="AJ51" s="936"/>
      <c r="AK51" s="940"/>
    </row>
    <row r="52" spans="1:37" x14ac:dyDescent="0.2">
      <c r="A52" s="719">
        <v>42</v>
      </c>
      <c r="B52" s="721" t="s">
        <v>97</v>
      </c>
      <c r="C52" s="720" t="s">
        <v>98</v>
      </c>
      <c r="D52" s="938">
        <f t="shared" si="5"/>
        <v>26710</v>
      </c>
      <c r="E52" s="938">
        <f t="shared" si="7"/>
        <v>1091</v>
      </c>
      <c r="F52" s="938">
        <v>1091</v>
      </c>
      <c r="G52" s="938">
        <v>0</v>
      </c>
      <c r="H52" s="928">
        <f t="shared" si="6"/>
        <v>7119</v>
      </c>
      <c r="I52" s="938">
        <v>7119</v>
      </c>
      <c r="J52" s="938">
        <v>0</v>
      </c>
      <c r="K52" s="938">
        <f t="shared" si="3"/>
        <v>18500</v>
      </c>
      <c r="L52" s="939">
        <v>1801</v>
      </c>
      <c r="M52" s="939">
        <v>618</v>
      </c>
      <c r="N52" s="939">
        <v>3669</v>
      </c>
      <c r="O52" s="939">
        <v>9262</v>
      </c>
      <c r="P52" s="939">
        <v>0</v>
      </c>
      <c r="Q52" s="939">
        <v>3150</v>
      </c>
      <c r="R52" s="939">
        <v>0</v>
      </c>
      <c r="S52" s="939">
        <v>1380</v>
      </c>
      <c r="T52" s="934"/>
      <c r="V52" s="940"/>
      <c r="X52" s="930"/>
      <c r="Y52" s="930"/>
      <c r="AH52" s="930"/>
      <c r="AI52" s="935"/>
      <c r="AJ52" s="936"/>
      <c r="AK52" s="940"/>
    </row>
    <row r="53" spans="1:37" ht="24" x14ac:dyDescent="0.2">
      <c r="A53" s="724">
        <v>43</v>
      </c>
      <c r="B53" s="722" t="s">
        <v>99</v>
      </c>
      <c r="C53" s="121" t="s">
        <v>100</v>
      </c>
      <c r="D53" s="938">
        <f t="shared" si="5"/>
        <v>270971</v>
      </c>
      <c r="E53" s="938">
        <f t="shared" si="7"/>
        <v>28442</v>
      </c>
      <c r="F53" s="938">
        <v>5112</v>
      </c>
      <c r="G53" s="938">
        <v>23330</v>
      </c>
      <c r="H53" s="928">
        <f t="shared" si="6"/>
        <v>33708</v>
      </c>
      <c r="I53" s="938">
        <v>33357</v>
      </c>
      <c r="J53" s="938">
        <v>351</v>
      </c>
      <c r="K53" s="938">
        <f t="shared" si="3"/>
        <v>208821</v>
      </c>
      <c r="L53" s="939">
        <v>8439</v>
      </c>
      <c r="M53" s="939">
        <v>750</v>
      </c>
      <c r="N53" s="939">
        <v>26876</v>
      </c>
      <c r="O53" s="939">
        <v>70657</v>
      </c>
      <c r="P53" s="939">
        <v>19718</v>
      </c>
      <c r="Q53" s="939">
        <v>82024</v>
      </c>
      <c r="R53" s="939">
        <v>357</v>
      </c>
      <c r="S53" s="939">
        <v>30550</v>
      </c>
      <c r="T53" s="934"/>
      <c r="V53" s="940"/>
      <c r="X53" s="930"/>
      <c r="Y53" s="930"/>
      <c r="AH53" s="930"/>
      <c r="AI53" s="935"/>
      <c r="AJ53" s="936"/>
      <c r="AK53" s="940"/>
    </row>
    <row r="54" spans="1:37" x14ac:dyDescent="0.2">
      <c r="A54" s="719">
        <v>44</v>
      </c>
      <c r="B54" s="120" t="s">
        <v>101</v>
      </c>
      <c r="C54" s="720" t="s">
        <v>102</v>
      </c>
      <c r="D54" s="938">
        <f t="shared" si="5"/>
        <v>59555</v>
      </c>
      <c r="E54" s="938">
        <f t="shared" si="7"/>
        <v>5953</v>
      </c>
      <c r="F54" s="938">
        <v>1333</v>
      </c>
      <c r="G54" s="938">
        <v>4620</v>
      </c>
      <c r="H54" s="928">
        <f t="shared" si="6"/>
        <v>8816</v>
      </c>
      <c r="I54" s="938">
        <v>8701</v>
      </c>
      <c r="J54" s="938">
        <v>115</v>
      </c>
      <c r="K54" s="938">
        <f t="shared" si="3"/>
        <v>44786</v>
      </c>
      <c r="L54" s="939">
        <v>2201</v>
      </c>
      <c r="M54" s="939">
        <v>162</v>
      </c>
      <c r="N54" s="939">
        <v>9160</v>
      </c>
      <c r="O54" s="939">
        <v>16456</v>
      </c>
      <c r="P54" s="939">
        <v>7396</v>
      </c>
      <c r="Q54" s="939">
        <v>9407</v>
      </c>
      <c r="R54" s="939">
        <v>4</v>
      </c>
      <c r="S54" s="939">
        <v>7669</v>
      </c>
      <c r="T54" s="934"/>
      <c r="V54" s="940"/>
      <c r="X54" s="930"/>
      <c r="Y54" s="930"/>
      <c r="AH54" s="930"/>
      <c r="AI54" s="935"/>
      <c r="AJ54" s="936"/>
      <c r="AK54" s="940"/>
    </row>
    <row r="55" spans="1:37" x14ac:dyDescent="0.2">
      <c r="A55" s="724">
        <v>45</v>
      </c>
      <c r="B55" s="120" t="s">
        <v>103</v>
      </c>
      <c r="C55" s="720" t="s">
        <v>104</v>
      </c>
      <c r="D55" s="938">
        <f t="shared" si="5"/>
        <v>205129</v>
      </c>
      <c r="E55" s="938">
        <f t="shared" si="7"/>
        <v>21606</v>
      </c>
      <c r="F55" s="938">
        <v>4353</v>
      </c>
      <c r="G55" s="938">
        <v>17253</v>
      </c>
      <c r="H55" s="928">
        <f t="shared" si="6"/>
        <v>28566</v>
      </c>
      <c r="I55" s="938">
        <v>28405</v>
      </c>
      <c r="J55" s="938">
        <v>161</v>
      </c>
      <c r="K55" s="938">
        <f t="shared" si="3"/>
        <v>154957</v>
      </c>
      <c r="L55" s="939">
        <v>7186</v>
      </c>
      <c r="M55" s="939">
        <v>822</v>
      </c>
      <c r="N55" s="939">
        <v>13589</v>
      </c>
      <c r="O55" s="939">
        <v>71509</v>
      </c>
      <c r="P55" s="939">
        <v>5084</v>
      </c>
      <c r="Q55" s="939">
        <v>55068</v>
      </c>
      <c r="R55" s="939">
        <v>1699</v>
      </c>
      <c r="S55" s="939">
        <v>11826</v>
      </c>
      <c r="T55" s="934"/>
      <c r="V55" s="940"/>
      <c r="X55" s="930"/>
      <c r="Y55" s="930"/>
      <c r="AH55" s="930"/>
      <c r="AI55" s="935"/>
      <c r="AJ55" s="936"/>
      <c r="AK55" s="940"/>
    </row>
    <row r="56" spans="1:37" x14ac:dyDescent="0.2">
      <c r="A56" s="719">
        <v>46</v>
      </c>
      <c r="B56" s="722" t="s">
        <v>105</v>
      </c>
      <c r="C56" s="121" t="s">
        <v>106</v>
      </c>
      <c r="D56" s="938">
        <f t="shared" si="5"/>
        <v>45435</v>
      </c>
      <c r="E56" s="938">
        <f t="shared" si="7"/>
        <v>5026</v>
      </c>
      <c r="F56" s="938">
        <v>996</v>
      </c>
      <c r="G56" s="938">
        <v>4030</v>
      </c>
      <c r="H56" s="928">
        <f t="shared" si="6"/>
        <v>6662</v>
      </c>
      <c r="I56" s="938">
        <v>6501</v>
      </c>
      <c r="J56" s="938">
        <v>161</v>
      </c>
      <c r="K56" s="938">
        <f t="shared" si="3"/>
        <v>33747</v>
      </c>
      <c r="L56" s="939">
        <v>1645</v>
      </c>
      <c r="M56" s="939">
        <v>216</v>
      </c>
      <c r="N56" s="939">
        <v>5263</v>
      </c>
      <c r="O56" s="939">
        <v>11768</v>
      </c>
      <c r="P56" s="939">
        <v>2742</v>
      </c>
      <c r="Q56" s="939">
        <v>12112</v>
      </c>
      <c r="R56" s="939">
        <v>1</v>
      </c>
      <c r="S56" s="939">
        <v>6876</v>
      </c>
      <c r="T56" s="934"/>
      <c r="V56" s="940"/>
      <c r="X56" s="930"/>
      <c r="Y56" s="930"/>
      <c r="AH56" s="930"/>
      <c r="AI56" s="935"/>
      <c r="AJ56" s="936"/>
      <c r="AK56" s="940"/>
    </row>
    <row r="57" spans="1:37" ht="24" x14ac:dyDescent="0.2">
      <c r="A57" s="724">
        <v>47</v>
      </c>
      <c r="B57" s="722" t="s">
        <v>107</v>
      </c>
      <c r="C57" s="121" t="s">
        <v>108</v>
      </c>
      <c r="D57" s="938">
        <f t="shared" si="5"/>
        <v>73284</v>
      </c>
      <c r="E57" s="938">
        <f t="shared" si="7"/>
        <v>7616</v>
      </c>
      <c r="F57" s="938">
        <v>1540</v>
      </c>
      <c r="G57" s="938">
        <v>6076</v>
      </c>
      <c r="H57" s="928">
        <f t="shared" si="6"/>
        <v>10205</v>
      </c>
      <c r="I57" s="938">
        <v>10050</v>
      </c>
      <c r="J57" s="938">
        <v>155</v>
      </c>
      <c r="K57" s="938">
        <f t="shared" si="3"/>
        <v>55463</v>
      </c>
      <c r="L57" s="939">
        <v>2543</v>
      </c>
      <c r="M57" s="939">
        <v>474</v>
      </c>
      <c r="N57" s="939">
        <v>13597</v>
      </c>
      <c r="O57" s="939">
        <v>14656</v>
      </c>
      <c r="P57" s="939">
        <v>2650</v>
      </c>
      <c r="Q57" s="939">
        <v>21540</v>
      </c>
      <c r="R57" s="939">
        <v>3</v>
      </c>
      <c r="S57" s="939">
        <v>10643</v>
      </c>
      <c r="T57" s="934"/>
      <c r="V57" s="940"/>
      <c r="X57" s="930"/>
      <c r="Y57" s="930"/>
      <c r="AH57" s="930"/>
      <c r="AI57" s="935"/>
      <c r="AJ57" s="936"/>
      <c r="AK57" s="940"/>
    </row>
    <row r="58" spans="1:37" ht="24" x14ac:dyDescent="0.2">
      <c r="A58" s="719">
        <v>48</v>
      </c>
      <c r="B58" s="721" t="s">
        <v>109</v>
      </c>
      <c r="C58" s="720" t="s">
        <v>110</v>
      </c>
      <c r="D58" s="938">
        <f t="shared" si="5"/>
        <v>85536</v>
      </c>
      <c r="E58" s="938">
        <f t="shared" si="7"/>
        <v>9462</v>
      </c>
      <c r="F58" s="938">
        <v>1828</v>
      </c>
      <c r="G58" s="938">
        <v>7634</v>
      </c>
      <c r="H58" s="928">
        <f t="shared" si="6"/>
        <v>12027</v>
      </c>
      <c r="I58" s="938">
        <v>11927</v>
      </c>
      <c r="J58" s="938">
        <v>100</v>
      </c>
      <c r="K58" s="938">
        <f t="shared" si="3"/>
        <v>64047</v>
      </c>
      <c r="L58" s="939">
        <v>3018</v>
      </c>
      <c r="M58" s="939">
        <v>339</v>
      </c>
      <c r="N58" s="939">
        <v>11622</v>
      </c>
      <c r="O58" s="939">
        <v>36780</v>
      </c>
      <c r="P58" s="939">
        <v>0</v>
      </c>
      <c r="Q58" s="939">
        <v>12282</v>
      </c>
      <c r="R58" s="939">
        <v>6</v>
      </c>
      <c r="S58" s="939">
        <v>10150</v>
      </c>
      <c r="T58" s="934"/>
      <c r="V58" s="940"/>
      <c r="X58" s="930"/>
      <c r="Y58" s="930"/>
      <c r="AH58" s="930"/>
      <c r="AI58" s="935"/>
      <c r="AJ58" s="936"/>
      <c r="AK58" s="940"/>
    </row>
    <row r="59" spans="1:37" x14ac:dyDescent="0.2">
      <c r="A59" s="724">
        <v>49</v>
      </c>
      <c r="B59" s="722" t="s">
        <v>111</v>
      </c>
      <c r="C59" s="121" t="s">
        <v>112</v>
      </c>
      <c r="D59" s="938">
        <f t="shared" si="5"/>
        <v>28468</v>
      </c>
      <c r="E59" s="938">
        <f t="shared" si="7"/>
        <v>2657</v>
      </c>
      <c r="F59" s="938">
        <v>658</v>
      </c>
      <c r="G59" s="938">
        <v>1999</v>
      </c>
      <c r="H59" s="928">
        <f t="shared" si="6"/>
        <v>4330</v>
      </c>
      <c r="I59" s="938">
        <v>4291</v>
      </c>
      <c r="J59" s="938">
        <v>39</v>
      </c>
      <c r="K59" s="938">
        <f t="shared" si="3"/>
        <v>21481</v>
      </c>
      <c r="L59" s="939">
        <v>1086</v>
      </c>
      <c r="M59" s="939">
        <v>162</v>
      </c>
      <c r="N59" s="939">
        <v>6576</v>
      </c>
      <c r="O59" s="939">
        <v>4066</v>
      </c>
      <c r="P59" s="939">
        <v>317</v>
      </c>
      <c r="Q59" s="939">
        <v>9273</v>
      </c>
      <c r="R59" s="939">
        <v>1</v>
      </c>
      <c r="S59" s="939">
        <v>3976</v>
      </c>
      <c r="T59" s="934"/>
      <c r="V59" s="940"/>
      <c r="X59" s="930"/>
      <c r="Y59" s="930"/>
      <c r="AH59" s="930"/>
      <c r="AI59" s="935"/>
      <c r="AJ59" s="936"/>
      <c r="AK59" s="940"/>
    </row>
    <row r="60" spans="1:37" x14ac:dyDescent="0.2">
      <c r="A60" s="719">
        <v>50</v>
      </c>
      <c r="B60" s="721" t="s">
        <v>113</v>
      </c>
      <c r="C60" s="720" t="s">
        <v>114</v>
      </c>
      <c r="D60" s="938">
        <f t="shared" si="5"/>
        <v>58748</v>
      </c>
      <c r="E60" s="938">
        <f t="shared" si="7"/>
        <v>6232</v>
      </c>
      <c r="F60" s="938">
        <v>1242</v>
      </c>
      <c r="G60" s="938">
        <v>4990</v>
      </c>
      <c r="H60" s="928">
        <f t="shared" si="6"/>
        <v>8122</v>
      </c>
      <c r="I60" s="938">
        <v>8102</v>
      </c>
      <c r="J60" s="938">
        <v>20</v>
      </c>
      <c r="K60" s="938">
        <f t="shared" si="3"/>
        <v>44394</v>
      </c>
      <c r="L60" s="939">
        <v>2050</v>
      </c>
      <c r="M60" s="939">
        <v>306</v>
      </c>
      <c r="N60" s="939">
        <v>8420</v>
      </c>
      <c r="O60" s="939">
        <v>15900</v>
      </c>
      <c r="P60" s="939">
        <v>4940</v>
      </c>
      <c r="Q60" s="939">
        <v>12071</v>
      </c>
      <c r="R60" s="939">
        <v>707</v>
      </c>
      <c r="S60" s="939">
        <v>5429</v>
      </c>
      <c r="T60" s="934"/>
      <c r="V60" s="940"/>
      <c r="X60" s="930"/>
      <c r="Y60" s="930"/>
      <c r="AH60" s="930"/>
      <c r="AI60" s="935"/>
      <c r="AJ60" s="936"/>
      <c r="AK60" s="940"/>
    </row>
    <row r="61" spans="1:37" x14ac:dyDescent="0.2">
      <c r="A61" s="724">
        <v>51</v>
      </c>
      <c r="B61" s="722" t="s">
        <v>115</v>
      </c>
      <c r="C61" s="121" t="s">
        <v>116</v>
      </c>
      <c r="D61" s="938">
        <f t="shared" si="5"/>
        <v>85392</v>
      </c>
      <c r="E61" s="938">
        <f t="shared" si="7"/>
        <v>9143</v>
      </c>
      <c r="F61" s="938">
        <v>1871</v>
      </c>
      <c r="G61" s="938">
        <v>7272</v>
      </c>
      <c r="H61" s="928">
        <f t="shared" si="6"/>
        <v>12278</v>
      </c>
      <c r="I61" s="938">
        <v>12211</v>
      </c>
      <c r="J61" s="938">
        <v>67</v>
      </c>
      <c r="K61" s="938">
        <f t="shared" si="3"/>
        <v>63971</v>
      </c>
      <c r="L61" s="939">
        <v>3089</v>
      </c>
      <c r="M61" s="939">
        <v>579</v>
      </c>
      <c r="N61" s="939">
        <v>16764</v>
      </c>
      <c r="O61" s="939">
        <v>16099</v>
      </c>
      <c r="P61" s="939">
        <v>3360</v>
      </c>
      <c r="Q61" s="939">
        <v>24077</v>
      </c>
      <c r="R61" s="939">
        <v>3</v>
      </c>
      <c r="S61" s="939">
        <v>12912</v>
      </c>
      <c r="T61" s="934"/>
      <c r="V61" s="940"/>
      <c r="X61" s="930"/>
      <c r="Y61" s="930"/>
      <c r="AH61" s="930"/>
      <c r="AI61" s="935"/>
      <c r="AJ61" s="936"/>
      <c r="AK61" s="940"/>
    </row>
    <row r="62" spans="1:37" x14ac:dyDescent="0.2">
      <c r="A62" s="719">
        <v>52</v>
      </c>
      <c r="B62" s="722" t="s">
        <v>117</v>
      </c>
      <c r="C62" s="121" t="s">
        <v>118</v>
      </c>
      <c r="D62" s="938">
        <f t="shared" si="5"/>
        <v>305187</v>
      </c>
      <c r="E62" s="938">
        <f t="shared" si="7"/>
        <v>33749</v>
      </c>
      <c r="F62" s="938">
        <v>6295</v>
      </c>
      <c r="G62" s="938">
        <v>27454</v>
      </c>
      <c r="H62" s="928">
        <f t="shared" si="6"/>
        <v>41611</v>
      </c>
      <c r="I62" s="938">
        <v>41075</v>
      </c>
      <c r="J62" s="938">
        <v>536</v>
      </c>
      <c r="K62" s="938">
        <f t="shared" si="3"/>
        <v>229827</v>
      </c>
      <c r="L62" s="939">
        <v>10392</v>
      </c>
      <c r="M62" s="939">
        <v>429</v>
      </c>
      <c r="N62" s="939">
        <v>34555</v>
      </c>
      <c r="O62" s="939">
        <v>99832</v>
      </c>
      <c r="P62" s="939">
        <v>16336</v>
      </c>
      <c r="Q62" s="939">
        <v>66434</v>
      </c>
      <c r="R62" s="939">
        <v>1849</v>
      </c>
      <c r="S62" s="939">
        <v>35668</v>
      </c>
      <c r="T62" s="934"/>
      <c r="V62" s="940"/>
      <c r="X62" s="930"/>
      <c r="Y62" s="930"/>
      <c r="AH62" s="930"/>
      <c r="AI62" s="935"/>
      <c r="AJ62" s="936"/>
      <c r="AK62" s="940"/>
    </row>
    <row r="63" spans="1:37" x14ac:dyDescent="0.2">
      <c r="A63" s="724">
        <v>53</v>
      </c>
      <c r="B63" s="722" t="s">
        <v>119</v>
      </c>
      <c r="C63" s="121" t="s">
        <v>120</v>
      </c>
      <c r="D63" s="938">
        <f t="shared" si="5"/>
        <v>46764</v>
      </c>
      <c r="E63" s="938">
        <f t="shared" si="7"/>
        <v>5041</v>
      </c>
      <c r="F63" s="938">
        <v>1040</v>
      </c>
      <c r="G63" s="938">
        <v>4001</v>
      </c>
      <c r="H63" s="928">
        <f t="shared" si="6"/>
        <v>6870</v>
      </c>
      <c r="I63" s="938">
        <v>6785</v>
      </c>
      <c r="J63" s="938">
        <v>85</v>
      </c>
      <c r="K63" s="938">
        <f t="shared" si="3"/>
        <v>34853</v>
      </c>
      <c r="L63" s="939">
        <v>1717</v>
      </c>
      <c r="M63" s="939">
        <v>117</v>
      </c>
      <c r="N63" s="939">
        <v>5891</v>
      </c>
      <c r="O63" s="939">
        <v>7539</v>
      </c>
      <c r="P63" s="939">
        <v>3951</v>
      </c>
      <c r="Q63" s="939">
        <v>15636</v>
      </c>
      <c r="R63" s="939">
        <v>2</v>
      </c>
      <c r="S63" s="939">
        <v>5969</v>
      </c>
      <c r="T63" s="934"/>
      <c r="V63" s="940"/>
      <c r="X63" s="930"/>
      <c r="Y63" s="930"/>
      <c r="AH63" s="930"/>
      <c r="AI63" s="935"/>
      <c r="AJ63" s="936"/>
      <c r="AK63" s="940"/>
    </row>
    <row r="64" spans="1:37" ht="24" x14ac:dyDescent="0.2">
      <c r="A64" s="719">
        <v>54</v>
      </c>
      <c r="B64" s="722" t="s">
        <v>121</v>
      </c>
      <c r="C64" s="121" t="s">
        <v>122</v>
      </c>
      <c r="D64" s="938">
        <f t="shared" si="5"/>
        <v>0</v>
      </c>
      <c r="E64" s="938">
        <f t="shared" si="7"/>
        <v>0</v>
      </c>
      <c r="F64" s="938">
        <v>0</v>
      </c>
      <c r="G64" s="938">
        <v>0</v>
      </c>
      <c r="H64" s="928">
        <f t="shared" si="6"/>
        <v>0</v>
      </c>
      <c r="I64" s="938">
        <v>0</v>
      </c>
      <c r="J64" s="938">
        <v>0</v>
      </c>
      <c r="K64" s="938">
        <f t="shared" si="3"/>
        <v>0</v>
      </c>
      <c r="L64" s="939">
        <v>0</v>
      </c>
      <c r="M64" s="939">
        <v>0</v>
      </c>
      <c r="N64" s="939">
        <v>0</v>
      </c>
      <c r="O64" s="939">
        <v>0</v>
      </c>
      <c r="P64" s="939">
        <v>0</v>
      </c>
      <c r="Q64" s="939">
        <v>0</v>
      </c>
      <c r="R64" s="939">
        <v>0</v>
      </c>
      <c r="S64" s="939">
        <v>0</v>
      </c>
      <c r="T64" s="934"/>
      <c r="V64" s="940"/>
      <c r="X64" s="930"/>
      <c r="Y64" s="930"/>
      <c r="AH64" s="930"/>
      <c r="AI64" s="935"/>
      <c r="AJ64" s="936"/>
      <c r="AK64" s="940"/>
    </row>
    <row r="65" spans="1:37" x14ac:dyDescent="0.2">
      <c r="A65" s="724">
        <v>55</v>
      </c>
      <c r="B65" s="722" t="s">
        <v>123</v>
      </c>
      <c r="C65" s="121" t="s">
        <v>124</v>
      </c>
      <c r="D65" s="938">
        <f t="shared" si="5"/>
        <v>0</v>
      </c>
      <c r="E65" s="938">
        <f t="shared" si="7"/>
        <v>0</v>
      </c>
      <c r="F65" s="938">
        <v>0</v>
      </c>
      <c r="G65" s="938">
        <v>0</v>
      </c>
      <c r="H65" s="928">
        <f t="shared" si="6"/>
        <v>0</v>
      </c>
      <c r="I65" s="938">
        <v>0</v>
      </c>
      <c r="J65" s="938">
        <v>0</v>
      </c>
      <c r="K65" s="938">
        <f t="shared" si="3"/>
        <v>0</v>
      </c>
      <c r="L65" s="939">
        <v>0</v>
      </c>
      <c r="M65" s="939">
        <v>0</v>
      </c>
      <c r="N65" s="939">
        <v>0</v>
      </c>
      <c r="O65" s="939">
        <v>0</v>
      </c>
      <c r="P65" s="939">
        <v>0</v>
      </c>
      <c r="Q65" s="939">
        <v>0</v>
      </c>
      <c r="R65" s="939">
        <v>0</v>
      </c>
      <c r="S65" s="939">
        <v>0</v>
      </c>
      <c r="T65" s="934"/>
      <c r="V65" s="940"/>
      <c r="X65" s="930"/>
      <c r="Y65" s="930"/>
      <c r="AH65" s="930"/>
      <c r="AI65" s="935"/>
      <c r="AJ65" s="936"/>
      <c r="AK65" s="940"/>
    </row>
    <row r="66" spans="1:37" ht="24" x14ac:dyDescent="0.2">
      <c r="A66" s="719">
        <v>56</v>
      </c>
      <c r="B66" s="727" t="s">
        <v>125</v>
      </c>
      <c r="C66" s="128" t="s">
        <v>126</v>
      </c>
      <c r="D66" s="938">
        <f t="shared" si="5"/>
        <v>0</v>
      </c>
      <c r="E66" s="938">
        <f t="shared" si="7"/>
        <v>0</v>
      </c>
      <c r="F66" s="938">
        <v>0</v>
      </c>
      <c r="G66" s="938">
        <v>0</v>
      </c>
      <c r="H66" s="928">
        <f t="shared" si="6"/>
        <v>0</v>
      </c>
      <c r="I66" s="938">
        <v>0</v>
      </c>
      <c r="J66" s="938">
        <v>0</v>
      </c>
      <c r="K66" s="938">
        <f t="shared" si="3"/>
        <v>0</v>
      </c>
      <c r="L66" s="939">
        <v>0</v>
      </c>
      <c r="M66" s="939">
        <v>0</v>
      </c>
      <c r="N66" s="939">
        <v>0</v>
      </c>
      <c r="O66" s="939">
        <v>0</v>
      </c>
      <c r="P66" s="939">
        <v>0</v>
      </c>
      <c r="Q66" s="939">
        <v>0</v>
      </c>
      <c r="R66" s="939">
        <v>0</v>
      </c>
      <c r="S66" s="939">
        <v>0</v>
      </c>
      <c r="T66" s="934"/>
      <c r="V66" s="940"/>
      <c r="X66" s="930"/>
      <c r="Y66" s="930"/>
      <c r="AH66" s="930"/>
      <c r="AI66" s="935"/>
      <c r="AJ66" s="936"/>
      <c r="AK66" s="940"/>
    </row>
    <row r="67" spans="1:37" ht="24" x14ac:dyDescent="0.2">
      <c r="A67" s="724">
        <v>57</v>
      </c>
      <c r="B67" s="722" t="s">
        <v>127</v>
      </c>
      <c r="C67" s="121" t="s">
        <v>128</v>
      </c>
      <c r="D67" s="938">
        <f t="shared" si="5"/>
        <v>181295</v>
      </c>
      <c r="E67" s="938">
        <f t="shared" si="7"/>
        <v>38900</v>
      </c>
      <c r="F67" s="938">
        <v>0</v>
      </c>
      <c r="G67" s="938">
        <v>38900</v>
      </c>
      <c r="H67" s="928">
        <f t="shared" si="6"/>
        <v>230</v>
      </c>
      <c r="I67" s="938">
        <v>0</v>
      </c>
      <c r="J67" s="938">
        <v>230</v>
      </c>
      <c r="K67" s="938">
        <f t="shared" si="3"/>
        <v>142165</v>
      </c>
      <c r="L67" s="939">
        <v>0</v>
      </c>
      <c r="M67" s="939">
        <v>0</v>
      </c>
      <c r="N67" s="939">
        <v>10107</v>
      </c>
      <c r="O67" s="939">
        <v>61210</v>
      </c>
      <c r="P67" s="939">
        <v>0</v>
      </c>
      <c r="Q67" s="939">
        <v>70813</v>
      </c>
      <c r="R67" s="939">
        <v>35</v>
      </c>
      <c r="S67" s="939">
        <v>0</v>
      </c>
      <c r="T67" s="934"/>
      <c r="V67" s="940"/>
      <c r="X67" s="930"/>
      <c r="Y67" s="930"/>
      <c r="AH67" s="930"/>
      <c r="AI67" s="935"/>
      <c r="AJ67" s="936"/>
      <c r="AK67" s="940"/>
    </row>
    <row r="68" spans="1:37" ht="24" x14ac:dyDescent="0.2">
      <c r="A68" s="719">
        <v>58</v>
      </c>
      <c r="B68" s="721" t="s">
        <v>129</v>
      </c>
      <c r="C68" s="121" t="s">
        <v>130</v>
      </c>
      <c r="D68" s="938">
        <f t="shared" si="5"/>
        <v>145380</v>
      </c>
      <c r="E68" s="938">
        <f t="shared" si="7"/>
        <v>30362</v>
      </c>
      <c r="F68" s="938">
        <v>0</v>
      </c>
      <c r="G68" s="938">
        <v>30362</v>
      </c>
      <c r="H68" s="928">
        <f t="shared" si="6"/>
        <v>388</v>
      </c>
      <c r="I68" s="938">
        <v>0</v>
      </c>
      <c r="J68" s="938">
        <v>388</v>
      </c>
      <c r="K68" s="938">
        <f t="shared" si="3"/>
        <v>114630</v>
      </c>
      <c r="L68" s="939">
        <v>0</v>
      </c>
      <c r="M68" s="939">
        <v>0</v>
      </c>
      <c r="N68" s="939">
        <v>11348</v>
      </c>
      <c r="O68" s="939">
        <v>54395</v>
      </c>
      <c r="P68" s="939">
        <v>0</v>
      </c>
      <c r="Q68" s="939">
        <v>48850</v>
      </c>
      <c r="R68" s="939">
        <v>37</v>
      </c>
      <c r="S68" s="939">
        <v>0</v>
      </c>
      <c r="T68" s="934"/>
      <c r="V68" s="940"/>
      <c r="X68" s="930"/>
      <c r="Y68" s="930"/>
      <c r="AH68" s="930"/>
      <c r="AI68" s="935"/>
      <c r="AJ68" s="936"/>
      <c r="AK68" s="940"/>
    </row>
    <row r="69" spans="1:37" ht="24" x14ac:dyDescent="0.2">
      <c r="A69" s="724">
        <v>59</v>
      </c>
      <c r="B69" s="723" t="s">
        <v>131</v>
      </c>
      <c r="C69" s="128" t="s">
        <v>132</v>
      </c>
      <c r="D69" s="938">
        <f t="shared" si="5"/>
        <v>205742</v>
      </c>
      <c r="E69" s="938">
        <f t="shared" si="7"/>
        <v>44999</v>
      </c>
      <c r="F69" s="938">
        <v>0</v>
      </c>
      <c r="G69" s="938">
        <v>44999</v>
      </c>
      <c r="H69" s="928">
        <f t="shared" si="6"/>
        <v>130</v>
      </c>
      <c r="I69" s="938">
        <v>0</v>
      </c>
      <c r="J69" s="938">
        <v>130</v>
      </c>
      <c r="K69" s="938">
        <f t="shared" si="3"/>
        <v>160613</v>
      </c>
      <c r="L69" s="939">
        <v>0</v>
      </c>
      <c r="M69" s="939">
        <v>0</v>
      </c>
      <c r="N69" s="939">
        <v>26055</v>
      </c>
      <c r="O69" s="939">
        <v>71864</v>
      </c>
      <c r="P69" s="939">
        <v>1600</v>
      </c>
      <c r="Q69" s="939">
        <v>61058</v>
      </c>
      <c r="R69" s="939">
        <v>36</v>
      </c>
      <c r="S69" s="939">
        <v>0</v>
      </c>
      <c r="T69" s="934"/>
      <c r="V69" s="940"/>
      <c r="X69" s="930"/>
      <c r="Y69" s="930"/>
      <c r="AH69" s="930"/>
      <c r="AI69" s="935"/>
      <c r="AJ69" s="936"/>
      <c r="AK69" s="940"/>
    </row>
    <row r="70" spans="1:37" ht="24" x14ac:dyDescent="0.2">
      <c r="A70" s="719">
        <v>60</v>
      </c>
      <c r="B70" s="721" t="s">
        <v>133</v>
      </c>
      <c r="C70" s="121" t="s">
        <v>134</v>
      </c>
      <c r="D70" s="938">
        <f t="shared" si="5"/>
        <v>266568</v>
      </c>
      <c r="E70" s="938">
        <f t="shared" si="7"/>
        <v>54933</v>
      </c>
      <c r="F70" s="938">
        <v>0</v>
      </c>
      <c r="G70" s="938">
        <v>54933</v>
      </c>
      <c r="H70" s="928">
        <f t="shared" si="6"/>
        <v>256</v>
      </c>
      <c r="I70" s="938">
        <v>0</v>
      </c>
      <c r="J70" s="938">
        <v>256</v>
      </c>
      <c r="K70" s="938">
        <f t="shared" si="3"/>
        <v>211379</v>
      </c>
      <c r="L70" s="939">
        <v>0</v>
      </c>
      <c r="M70" s="939">
        <v>0</v>
      </c>
      <c r="N70" s="939">
        <v>23694</v>
      </c>
      <c r="O70" s="939">
        <v>77238</v>
      </c>
      <c r="P70" s="939">
        <v>0</v>
      </c>
      <c r="Q70" s="939">
        <v>110392</v>
      </c>
      <c r="R70" s="939">
        <v>55</v>
      </c>
      <c r="S70" s="939">
        <v>0</v>
      </c>
      <c r="T70" s="934"/>
      <c r="V70" s="940"/>
      <c r="X70" s="930"/>
      <c r="Y70" s="930"/>
      <c r="AH70" s="930"/>
      <c r="AI70" s="935"/>
      <c r="AJ70" s="936"/>
      <c r="AK70" s="940"/>
    </row>
    <row r="71" spans="1:37" ht="24" x14ac:dyDescent="0.2">
      <c r="A71" s="724">
        <v>61</v>
      </c>
      <c r="B71" s="722" t="s">
        <v>135</v>
      </c>
      <c r="C71" s="121" t="s">
        <v>136</v>
      </c>
      <c r="D71" s="938">
        <f t="shared" si="5"/>
        <v>105074</v>
      </c>
      <c r="E71" s="938">
        <f t="shared" si="7"/>
        <v>23239</v>
      </c>
      <c r="F71" s="938">
        <v>0</v>
      </c>
      <c r="G71" s="938">
        <v>23239</v>
      </c>
      <c r="H71" s="928">
        <f t="shared" si="6"/>
        <v>81</v>
      </c>
      <c r="I71" s="938">
        <v>0</v>
      </c>
      <c r="J71" s="938">
        <v>81</v>
      </c>
      <c r="K71" s="938">
        <f t="shared" si="3"/>
        <v>81754</v>
      </c>
      <c r="L71" s="939">
        <v>0</v>
      </c>
      <c r="M71" s="939">
        <v>0</v>
      </c>
      <c r="N71" s="939">
        <v>12431</v>
      </c>
      <c r="O71" s="939">
        <v>44417</v>
      </c>
      <c r="P71" s="939">
        <v>0</v>
      </c>
      <c r="Q71" s="939">
        <v>24889</v>
      </c>
      <c r="R71" s="939">
        <v>17</v>
      </c>
      <c r="S71" s="939">
        <v>0</v>
      </c>
      <c r="T71" s="934"/>
      <c r="V71" s="940"/>
      <c r="X71" s="930"/>
      <c r="Y71" s="930"/>
      <c r="AH71" s="930"/>
      <c r="AI71" s="935"/>
      <c r="AJ71" s="936"/>
      <c r="AK71" s="940"/>
    </row>
    <row r="72" spans="1:37" ht="36" x14ac:dyDescent="0.2">
      <c r="A72" s="719">
        <v>62</v>
      </c>
      <c r="B72" s="120" t="s">
        <v>137</v>
      </c>
      <c r="C72" s="121" t="s">
        <v>138</v>
      </c>
      <c r="D72" s="938">
        <f t="shared" si="5"/>
        <v>44334</v>
      </c>
      <c r="E72" s="938">
        <f t="shared" si="7"/>
        <v>0</v>
      </c>
      <c r="F72" s="938">
        <v>0</v>
      </c>
      <c r="G72" s="938">
        <v>0</v>
      </c>
      <c r="H72" s="928">
        <f t="shared" si="6"/>
        <v>0</v>
      </c>
      <c r="I72" s="938">
        <v>0</v>
      </c>
      <c r="J72" s="938">
        <v>0</v>
      </c>
      <c r="K72" s="938">
        <f t="shared" si="3"/>
        <v>44334</v>
      </c>
      <c r="L72" s="939">
        <v>0</v>
      </c>
      <c r="M72" s="939">
        <v>0</v>
      </c>
      <c r="N72" s="939">
        <v>0</v>
      </c>
      <c r="O72" s="939">
        <v>38232</v>
      </c>
      <c r="P72" s="939">
        <v>6102</v>
      </c>
      <c r="Q72" s="939">
        <v>0</v>
      </c>
      <c r="R72" s="939">
        <v>0</v>
      </c>
      <c r="S72" s="939">
        <v>0</v>
      </c>
      <c r="T72" s="934"/>
      <c r="V72" s="940"/>
      <c r="X72" s="930"/>
      <c r="Y72" s="930"/>
      <c r="AH72" s="930"/>
      <c r="AI72" s="935"/>
      <c r="AJ72" s="936"/>
      <c r="AK72" s="940"/>
    </row>
    <row r="73" spans="1:37" ht="36" x14ac:dyDescent="0.2">
      <c r="A73" s="724">
        <v>63</v>
      </c>
      <c r="B73" s="120" t="s">
        <v>139</v>
      </c>
      <c r="C73" s="121" t="s">
        <v>140</v>
      </c>
      <c r="D73" s="938">
        <f t="shared" si="5"/>
        <v>36287</v>
      </c>
      <c r="E73" s="938">
        <f t="shared" si="7"/>
        <v>0</v>
      </c>
      <c r="F73" s="938">
        <v>0</v>
      </c>
      <c r="G73" s="938">
        <v>0</v>
      </c>
      <c r="H73" s="928">
        <f t="shared" si="6"/>
        <v>0</v>
      </c>
      <c r="I73" s="938">
        <v>0</v>
      </c>
      <c r="J73" s="938">
        <v>0</v>
      </c>
      <c r="K73" s="938">
        <f t="shared" si="3"/>
        <v>36287</v>
      </c>
      <c r="L73" s="939">
        <v>0</v>
      </c>
      <c r="M73" s="939">
        <v>0</v>
      </c>
      <c r="N73" s="939">
        <v>0</v>
      </c>
      <c r="O73" s="939">
        <v>16383</v>
      </c>
      <c r="P73" s="939">
        <v>19904</v>
      </c>
      <c r="Q73" s="939">
        <v>0</v>
      </c>
      <c r="R73" s="939">
        <v>0</v>
      </c>
      <c r="S73" s="939">
        <v>0</v>
      </c>
      <c r="T73" s="934"/>
      <c r="V73" s="940"/>
      <c r="X73" s="930"/>
      <c r="Y73" s="930"/>
      <c r="AH73" s="930"/>
      <c r="AI73" s="935"/>
      <c r="AJ73" s="936"/>
      <c r="AK73" s="940"/>
    </row>
    <row r="74" spans="1:37" ht="24" x14ac:dyDescent="0.2">
      <c r="A74" s="719">
        <v>64</v>
      </c>
      <c r="B74" s="721" t="s">
        <v>141</v>
      </c>
      <c r="C74" s="121" t="s">
        <v>142</v>
      </c>
      <c r="D74" s="938">
        <f t="shared" si="5"/>
        <v>133111</v>
      </c>
      <c r="E74" s="938">
        <f t="shared" si="7"/>
        <v>5132</v>
      </c>
      <c r="F74" s="938">
        <v>5132</v>
      </c>
      <c r="G74" s="938">
        <v>0</v>
      </c>
      <c r="H74" s="928">
        <f t="shared" si="6"/>
        <v>33492</v>
      </c>
      <c r="I74" s="938">
        <v>33492</v>
      </c>
      <c r="J74" s="938">
        <v>0</v>
      </c>
      <c r="K74" s="938">
        <f t="shared" si="3"/>
        <v>94487</v>
      </c>
      <c r="L74" s="939">
        <v>8473</v>
      </c>
      <c r="M74" s="939">
        <v>999</v>
      </c>
      <c r="N74" s="939">
        <v>22257</v>
      </c>
      <c r="O74" s="939">
        <v>50302</v>
      </c>
      <c r="P74" s="939">
        <v>0</v>
      </c>
      <c r="Q74" s="939">
        <v>10468</v>
      </c>
      <c r="R74" s="939">
        <v>1988</v>
      </c>
      <c r="S74" s="939">
        <v>26470</v>
      </c>
      <c r="T74" s="934"/>
      <c r="V74" s="940"/>
      <c r="X74" s="930"/>
      <c r="Y74" s="930"/>
      <c r="AH74" s="930"/>
      <c r="AI74" s="935"/>
      <c r="AJ74" s="936"/>
      <c r="AK74" s="940"/>
    </row>
    <row r="75" spans="1:37" ht="24" x14ac:dyDescent="0.2">
      <c r="A75" s="724">
        <v>65</v>
      </c>
      <c r="B75" s="721" t="s">
        <v>143</v>
      </c>
      <c r="C75" s="720" t="s">
        <v>144</v>
      </c>
      <c r="D75" s="938">
        <f t="shared" si="5"/>
        <v>100143</v>
      </c>
      <c r="E75" s="938">
        <f t="shared" si="7"/>
        <v>3223</v>
      </c>
      <c r="F75" s="938">
        <v>3223</v>
      </c>
      <c r="G75" s="938">
        <v>0</v>
      </c>
      <c r="H75" s="928">
        <f t="shared" si="6"/>
        <v>21031</v>
      </c>
      <c r="I75" s="938">
        <v>21031</v>
      </c>
      <c r="J75" s="938">
        <v>0</v>
      </c>
      <c r="K75" s="938">
        <f t="shared" ref="K75:K138" si="8">SUM(L75:R75)</f>
        <v>75889</v>
      </c>
      <c r="L75" s="939">
        <v>5321</v>
      </c>
      <c r="M75" s="939">
        <v>888</v>
      </c>
      <c r="N75" s="939">
        <v>41782</v>
      </c>
      <c r="O75" s="939">
        <v>9878</v>
      </c>
      <c r="P75" s="939">
        <v>0</v>
      </c>
      <c r="Q75" s="939">
        <v>16915</v>
      </c>
      <c r="R75" s="939">
        <v>1105</v>
      </c>
      <c r="S75" s="939">
        <v>30027</v>
      </c>
      <c r="T75" s="934"/>
      <c r="V75" s="940"/>
      <c r="X75" s="930"/>
      <c r="Y75" s="930"/>
      <c r="AH75" s="930"/>
      <c r="AI75" s="935"/>
      <c r="AJ75" s="936"/>
      <c r="AK75" s="940"/>
    </row>
    <row r="76" spans="1:37" ht="24" x14ac:dyDescent="0.2">
      <c r="A76" s="719">
        <v>66</v>
      </c>
      <c r="B76" s="721" t="s">
        <v>145</v>
      </c>
      <c r="C76" s="121" t="s">
        <v>146</v>
      </c>
      <c r="D76" s="938">
        <f t="shared" si="5"/>
        <v>174000</v>
      </c>
      <c r="E76" s="938">
        <f t="shared" si="7"/>
        <v>7069</v>
      </c>
      <c r="F76" s="938">
        <v>7069</v>
      </c>
      <c r="G76" s="938">
        <v>0</v>
      </c>
      <c r="H76" s="928">
        <f t="shared" si="6"/>
        <v>46129</v>
      </c>
      <c r="I76" s="938">
        <v>46129</v>
      </c>
      <c r="J76" s="938">
        <v>0</v>
      </c>
      <c r="K76" s="938">
        <f t="shared" si="8"/>
        <v>120802</v>
      </c>
      <c r="L76" s="939">
        <v>11671</v>
      </c>
      <c r="M76" s="939">
        <v>1353</v>
      </c>
      <c r="N76" s="939">
        <v>60904</v>
      </c>
      <c r="O76" s="939">
        <v>33956</v>
      </c>
      <c r="P76" s="939">
        <v>0</v>
      </c>
      <c r="Q76" s="939">
        <v>10970</v>
      </c>
      <c r="R76" s="939">
        <v>1948</v>
      </c>
      <c r="S76" s="939">
        <v>42131</v>
      </c>
      <c r="T76" s="934"/>
      <c r="V76" s="940"/>
      <c r="X76" s="930"/>
      <c r="Y76" s="930"/>
      <c r="AH76" s="930"/>
      <c r="AI76" s="935"/>
      <c r="AJ76" s="936"/>
      <c r="AK76" s="940"/>
    </row>
    <row r="77" spans="1:37" ht="24" x14ac:dyDescent="0.2">
      <c r="A77" s="724">
        <v>67</v>
      </c>
      <c r="B77" s="721" t="s">
        <v>147</v>
      </c>
      <c r="C77" s="121" t="s">
        <v>148</v>
      </c>
      <c r="D77" s="938">
        <f t="shared" si="5"/>
        <v>2496</v>
      </c>
      <c r="E77" s="938">
        <f t="shared" si="7"/>
        <v>0</v>
      </c>
      <c r="F77" s="938">
        <v>0</v>
      </c>
      <c r="G77" s="938">
        <v>0</v>
      </c>
      <c r="H77" s="928">
        <f t="shared" ref="H77:H94" si="9">I77+J77</f>
        <v>0</v>
      </c>
      <c r="I77" s="938">
        <v>0</v>
      </c>
      <c r="J77" s="938">
        <v>0</v>
      </c>
      <c r="K77" s="938">
        <f t="shared" si="8"/>
        <v>2496</v>
      </c>
      <c r="L77" s="939">
        <v>0</v>
      </c>
      <c r="M77" s="939">
        <v>0</v>
      </c>
      <c r="N77" s="939">
        <v>7</v>
      </c>
      <c r="O77" s="939">
        <v>1989</v>
      </c>
      <c r="P77" s="939">
        <v>200</v>
      </c>
      <c r="Q77" s="939">
        <v>300</v>
      </c>
      <c r="R77" s="939">
        <v>0</v>
      </c>
      <c r="S77" s="939">
        <v>7</v>
      </c>
      <c r="T77" s="934"/>
      <c r="V77" s="940"/>
      <c r="X77" s="930"/>
      <c r="Y77" s="930"/>
      <c r="AH77" s="930"/>
      <c r="AI77" s="935"/>
      <c r="AJ77" s="936"/>
      <c r="AK77" s="940"/>
    </row>
    <row r="78" spans="1:37" ht="24" x14ac:dyDescent="0.2">
      <c r="A78" s="719">
        <v>68</v>
      </c>
      <c r="B78" s="120" t="s">
        <v>149</v>
      </c>
      <c r="C78" s="121" t="s">
        <v>150</v>
      </c>
      <c r="D78" s="938">
        <f t="shared" si="5"/>
        <v>3831</v>
      </c>
      <c r="E78" s="938">
        <f t="shared" si="7"/>
        <v>0</v>
      </c>
      <c r="F78" s="938">
        <v>0</v>
      </c>
      <c r="G78" s="938">
        <v>0</v>
      </c>
      <c r="H78" s="928">
        <f t="shared" si="9"/>
        <v>0</v>
      </c>
      <c r="I78" s="938">
        <v>0</v>
      </c>
      <c r="J78" s="938">
        <v>0</v>
      </c>
      <c r="K78" s="938">
        <f t="shared" si="8"/>
        <v>3831</v>
      </c>
      <c r="L78" s="939">
        <v>0</v>
      </c>
      <c r="M78" s="939">
        <v>0</v>
      </c>
      <c r="N78" s="939">
        <v>1</v>
      </c>
      <c r="O78" s="939">
        <v>3730</v>
      </c>
      <c r="P78" s="939">
        <v>0</v>
      </c>
      <c r="Q78" s="939">
        <v>100</v>
      </c>
      <c r="R78" s="939">
        <v>0</v>
      </c>
      <c r="S78" s="939">
        <v>0</v>
      </c>
      <c r="T78" s="934"/>
      <c r="V78" s="940"/>
      <c r="X78" s="930"/>
      <c r="Y78" s="930"/>
      <c r="AH78" s="930"/>
      <c r="AI78" s="935"/>
      <c r="AJ78" s="936"/>
      <c r="AK78" s="940"/>
    </row>
    <row r="79" spans="1:37" ht="24" x14ac:dyDescent="0.2">
      <c r="A79" s="724">
        <v>69</v>
      </c>
      <c r="B79" s="721" t="s">
        <v>151</v>
      </c>
      <c r="C79" s="121" t="s">
        <v>152</v>
      </c>
      <c r="D79" s="938">
        <f t="shared" si="5"/>
        <v>3616</v>
      </c>
      <c r="E79" s="938">
        <f t="shared" si="7"/>
        <v>0</v>
      </c>
      <c r="F79" s="938">
        <v>0</v>
      </c>
      <c r="G79" s="938">
        <v>0</v>
      </c>
      <c r="H79" s="928">
        <f t="shared" si="9"/>
        <v>0</v>
      </c>
      <c r="I79" s="938">
        <v>0</v>
      </c>
      <c r="J79" s="938">
        <v>0</v>
      </c>
      <c r="K79" s="938">
        <f t="shared" si="8"/>
        <v>3616</v>
      </c>
      <c r="L79" s="939">
        <v>0</v>
      </c>
      <c r="M79" s="939">
        <v>0</v>
      </c>
      <c r="N79" s="939">
        <v>13</v>
      </c>
      <c r="O79" s="939">
        <v>3503</v>
      </c>
      <c r="P79" s="939">
        <v>50</v>
      </c>
      <c r="Q79" s="939">
        <v>50</v>
      </c>
      <c r="R79" s="939">
        <v>0</v>
      </c>
      <c r="S79" s="939">
        <v>12</v>
      </c>
      <c r="T79" s="934"/>
      <c r="V79" s="940"/>
      <c r="X79" s="930"/>
      <c r="Y79" s="930"/>
      <c r="AH79" s="930"/>
      <c r="AI79" s="935"/>
      <c r="AJ79" s="936"/>
      <c r="AK79" s="940"/>
    </row>
    <row r="80" spans="1:37" ht="24" x14ac:dyDescent="0.2">
      <c r="A80" s="719">
        <v>70</v>
      </c>
      <c r="B80" s="721" t="s">
        <v>153</v>
      </c>
      <c r="C80" s="121" t="s">
        <v>154</v>
      </c>
      <c r="D80" s="938">
        <f t="shared" si="5"/>
        <v>3460</v>
      </c>
      <c r="E80" s="938">
        <f t="shared" si="7"/>
        <v>0</v>
      </c>
      <c r="F80" s="938">
        <v>0</v>
      </c>
      <c r="G80" s="938">
        <v>0</v>
      </c>
      <c r="H80" s="928">
        <f t="shared" si="9"/>
        <v>0</v>
      </c>
      <c r="I80" s="938">
        <v>0</v>
      </c>
      <c r="J80" s="938">
        <v>0</v>
      </c>
      <c r="K80" s="938">
        <f t="shared" si="8"/>
        <v>3460</v>
      </c>
      <c r="L80" s="939">
        <v>0</v>
      </c>
      <c r="M80" s="939">
        <v>0</v>
      </c>
      <c r="N80" s="939">
        <v>571</v>
      </c>
      <c r="O80" s="939">
        <v>2599</v>
      </c>
      <c r="P80" s="939">
        <v>0</v>
      </c>
      <c r="Q80" s="939">
        <v>290</v>
      </c>
      <c r="R80" s="939">
        <v>0</v>
      </c>
      <c r="S80" s="939">
        <v>19</v>
      </c>
      <c r="T80" s="934"/>
      <c r="V80" s="940"/>
      <c r="X80" s="930"/>
      <c r="Y80" s="930"/>
      <c r="AH80" s="930"/>
      <c r="AI80" s="935"/>
      <c r="AJ80" s="936"/>
      <c r="AK80" s="940"/>
    </row>
    <row r="81" spans="1:37" ht="24" x14ac:dyDescent="0.2">
      <c r="A81" s="724">
        <v>71</v>
      </c>
      <c r="B81" s="120" t="s">
        <v>155</v>
      </c>
      <c r="C81" s="121" t="s">
        <v>156</v>
      </c>
      <c r="D81" s="938">
        <f t="shared" si="5"/>
        <v>20691</v>
      </c>
      <c r="E81" s="938">
        <f t="shared" si="7"/>
        <v>0</v>
      </c>
      <c r="F81" s="938">
        <v>0</v>
      </c>
      <c r="G81" s="938">
        <v>0</v>
      </c>
      <c r="H81" s="928">
        <f t="shared" si="9"/>
        <v>0</v>
      </c>
      <c r="I81" s="938">
        <v>0</v>
      </c>
      <c r="J81" s="938">
        <v>0</v>
      </c>
      <c r="K81" s="938">
        <f t="shared" si="8"/>
        <v>20691</v>
      </c>
      <c r="L81" s="939">
        <v>0</v>
      </c>
      <c r="M81" s="939">
        <v>0</v>
      </c>
      <c r="N81" s="939">
        <v>0</v>
      </c>
      <c r="O81" s="939">
        <v>15091</v>
      </c>
      <c r="P81" s="939">
        <v>4000</v>
      </c>
      <c r="Q81" s="939">
        <v>1600</v>
      </c>
      <c r="R81" s="939">
        <v>0</v>
      </c>
      <c r="S81" s="939">
        <v>0</v>
      </c>
      <c r="T81" s="934"/>
      <c r="V81" s="940"/>
      <c r="X81" s="930"/>
      <c r="Y81" s="930"/>
      <c r="AH81" s="930"/>
      <c r="AI81" s="935"/>
      <c r="AJ81" s="936"/>
      <c r="AK81" s="940"/>
    </row>
    <row r="82" spans="1:37" ht="24" x14ac:dyDescent="0.2">
      <c r="A82" s="719">
        <v>72</v>
      </c>
      <c r="B82" s="120" t="s">
        <v>157</v>
      </c>
      <c r="C82" s="121" t="s">
        <v>158</v>
      </c>
      <c r="D82" s="938">
        <f t="shared" si="5"/>
        <v>2724</v>
      </c>
      <c r="E82" s="938">
        <f t="shared" si="7"/>
        <v>0</v>
      </c>
      <c r="F82" s="938">
        <v>0</v>
      </c>
      <c r="G82" s="938">
        <v>0</v>
      </c>
      <c r="H82" s="928">
        <f t="shared" si="9"/>
        <v>0</v>
      </c>
      <c r="I82" s="938">
        <v>0</v>
      </c>
      <c r="J82" s="938">
        <v>0</v>
      </c>
      <c r="K82" s="938">
        <f t="shared" si="8"/>
        <v>2724</v>
      </c>
      <c r="L82" s="939">
        <v>0</v>
      </c>
      <c r="M82" s="939">
        <v>0</v>
      </c>
      <c r="N82" s="939">
        <v>6</v>
      </c>
      <c r="O82" s="939">
        <v>2405</v>
      </c>
      <c r="P82" s="939">
        <v>163</v>
      </c>
      <c r="Q82" s="939">
        <v>150</v>
      </c>
      <c r="R82" s="939">
        <v>0</v>
      </c>
      <c r="S82" s="939">
        <v>10</v>
      </c>
      <c r="T82" s="934"/>
      <c r="V82" s="940"/>
      <c r="X82" s="930"/>
      <c r="Y82" s="930"/>
      <c r="AH82" s="930"/>
      <c r="AI82" s="935"/>
      <c r="AJ82" s="936"/>
      <c r="AK82" s="940"/>
    </row>
    <row r="83" spans="1:37" ht="24" x14ac:dyDescent="0.2">
      <c r="A83" s="724">
        <v>73</v>
      </c>
      <c r="B83" s="120" t="s">
        <v>159</v>
      </c>
      <c r="C83" s="121" t="s">
        <v>160</v>
      </c>
      <c r="D83" s="938">
        <f t="shared" ref="D83:D149" si="10">E83+H83+K83</f>
        <v>7110</v>
      </c>
      <c r="E83" s="938">
        <f t="shared" si="7"/>
        <v>0</v>
      </c>
      <c r="F83" s="938">
        <v>0</v>
      </c>
      <c r="G83" s="938">
        <v>0</v>
      </c>
      <c r="H83" s="928">
        <f t="shared" si="9"/>
        <v>0</v>
      </c>
      <c r="I83" s="938">
        <v>0</v>
      </c>
      <c r="J83" s="938">
        <v>0</v>
      </c>
      <c r="K83" s="938">
        <f t="shared" si="8"/>
        <v>7110</v>
      </c>
      <c r="L83" s="939">
        <v>0</v>
      </c>
      <c r="M83" s="939">
        <v>0</v>
      </c>
      <c r="N83" s="939">
        <v>0</v>
      </c>
      <c r="O83" s="939">
        <v>6986</v>
      </c>
      <c r="P83" s="939">
        <v>124</v>
      </c>
      <c r="Q83" s="939">
        <v>0</v>
      </c>
      <c r="R83" s="939">
        <v>0</v>
      </c>
      <c r="S83" s="939">
        <v>0</v>
      </c>
      <c r="T83" s="934"/>
      <c r="V83" s="940"/>
      <c r="X83" s="930"/>
      <c r="Y83" s="930"/>
      <c r="AH83" s="930"/>
      <c r="AI83" s="935"/>
      <c r="AJ83" s="936"/>
      <c r="AK83" s="940"/>
    </row>
    <row r="84" spans="1:37" ht="24" x14ac:dyDescent="0.2">
      <c r="A84" s="719">
        <v>74</v>
      </c>
      <c r="B84" s="722" t="s">
        <v>161</v>
      </c>
      <c r="C84" s="121" t="s">
        <v>162</v>
      </c>
      <c r="D84" s="938">
        <f t="shared" si="10"/>
        <v>221050</v>
      </c>
      <c r="E84" s="938">
        <f t="shared" ref="E84:E94" si="11">F84+G84</f>
        <v>28302</v>
      </c>
      <c r="F84" s="938">
        <v>3798</v>
      </c>
      <c r="G84" s="938">
        <v>24504</v>
      </c>
      <c r="H84" s="928">
        <f t="shared" si="9"/>
        <v>24969</v>
      </c>
      <c r="I84" s="938">
        <v>24786</v>
      </c>
      <c r="J84" s="938">
        <v>183</v>
      </c>
      <c r="K84" s="938">
        <f t="shared" si="8"/>
        <v>167779</v>
      </c>
      <c r="L84" s="939">
        <v>6271</v>
      </c>
      <c r="M84" s="939">
        <v>822</v>
      </c>
      <c r="N84" s="939">
        <v>26956</v>
      </c>
      <c r="O84" s="939">
        <v>56657</v>
      </c>
      <c r="P84" s="939">
        <v>3940</v>
      </c>
      <c r="Q84" s="939">
        <v>71693</v>
      </c>
      <c r="R84" s="939">
        <v>1440</v>
      </c>
      <c r="S84" s="939">
        <v>25904</v>
      </c>
      <c r="T84" s="934"/>
      <c r="V84" s="940"/>
      <c r="X84" s="930"/>
      <c r="Y84" s="930"/>
      <c r="AH84" s="930"/>
      <c r="AI84" s="935"/>
      <c r="AJ84" s="936"/>
      <c r="AK84" s="940"/>
    </row>
    <row r="85" spans="1:37" x14ac:dyDescent="0.2">
      <c r="A85" s="724">
        <v>75</v>
      </c>
      <c r="B85" s="120" t="s">
        <v>163</v>
      </c>
      <c r="C85" s="121" t="s">
        <v>164</v>
      </c>
      <c r="D85" s="938">
        <f t="shared" si="10"/>
        <v>242093</v>
      </c>
      <c r="E85" s="938">
        <f t="shared" si="11"/>
        <v>12968</v>
      </c>
      <c r="F85" s="938">
        <v>9510</v>
      </c>
      <c r="G85" s="938">
        <v>3458</v>
      </c>
      <c r="H85" s="928">
        <f t="shared" si="9"/>
        <v>62054</v>
      </c>
      <c r="I85" s="938">
        <v>62054</v>
      </c>
      <c r="J85" s="938">
        <v>0</v>
      </c>
      <c r="K85" s="938">
        <f t="shared" si="8"/>
        <v>167071</v>
      </c>
      <c r="L85" s="939">
        <v>15700</v>
      </c>
      <c r="M85" s="939">
        <v>1812</v>
      </c>
      <c r="N85" s="939">
        <v>49161</v>
      </c>
      <c r="O85" s="939">
        <v>65643</v>
      </c>
      <c r="P85" s="939">
        <v>960</v>
      </c>
      <c r="Q85" s="939">
        <v>31808</v>
      </c>
      <c r="R85" s="939">
        <v>1987</v>
      </c>
      <c r="S85" s="939">
        <v>37113</v>
      </c>
      <c r="T85" s="934"/>
      <c r="V85" s="940"/>
      <c r="X85" s="930"/>
      <c r="Y85" s="930"/>
      <c r="AH85" s="930"/>
      <c r="AI85" s="935"/>
      <c r="AJ85" s="936"/>
      <c r="AK85" s="940"/>
    </row>
    <row r="86" spans="1:37" x14ac:dyDescent="0.2">
      <c r="A86" s="719">
        <v>76</v>
      </c>
      <c r="B86" s="722" t="s">
        <v>165</v>
      </c>
      <c r="C86" s="121" t="s">
        <v>166</v>
      </c>
      <c r="D86" s="938">
        <f t="shared" si="10"/>
        <v>141812</v>
      </c>
      <c r="E86" s="938">
        <f t="shared" si="11"/>
        <v>5566</v>
      </c>
      <c r="F86" s="938">
        <v>5566</v>
      </c>
      <c r="G86" s="938">
        <v>0</v>
      </c>
      <c r="H86" s="928">
        <f t="shared" si="9"/>
        <v>36321</v>
      </c>
      <c r="I86" s="938">
        <v>36321</v>
      </c>
      <c r="J86" s="938">
        <v>0</v>
      </c>
      <c r="K86" s="938">
        <f t="shared" si="8"/>
        <v>99925</v>
      </c>
      <c r="L86" s="939">
        <v>9189</v>
      </c>
      <c r="M86" s="939">
        <v>1164</v>
      </c>
      <c r="N86" s="939">
        <v>31524</v>
      </c>
      <c r="O86" s="939">
        <v>29286</v>
      </c>
      <c r="P86" s="939">
        <v>4300</v>
      </c>
      <c r="Q86" s="939">
        <v>22715</v>
      </c>
      <c r="R86" s="939">
        <v>1747</v>
      </c>
      <c r="S86" s="939">
        <v>31971</v>
      </c>
      <c r="T86" s="934"/>
      <c r="V86" s="940"/>
      <c r="X86" s="930"/>
      <c r="Y86" s="930"/>
      <c r="AH86" s="930"/>
      <c r="AI86" s="935"/>
      <c r="AJ86" s="936"/>
      <c r="AK86" s="940"/>
    </row>
    <row r="87" spans="1:37" x14ac:dyDescent="0.2">
      <c r="A87" s="724">
        <v>77</v>
      </c>
      <c r="B87" s="723" t="s">
        <v>167</v>
      </c>
      <c r="C87" s="128" t="s">
        <v>168</v>
      </c>
      <c r="D87" s="938">
        <f t="shared" si="10"/>
        <v>51538</v>
      </c>
      <c r="E87" s="938">
        <f t="shared" si="11"/>
        <v>2168</v>
      </c>
      <c r="F87" s="938">
        <v>2168</v>
      </c>
      <c r="G87" s="938">
        <v>0</v>
      </c>
      <c r="H87" s="928">
        <f t="shared" si="9"/>
        <v>14497</v>
      </c>
      <c r="I87" s="938">
        <v>14497</v>
      </c>
      <c r="J87" s="938">
        <v>0</v>
      </c>
      <c r="K87" s="938">
        <f t="shared" si="8"/>
        <v>34873</v>
      </c>
      <c r="L87" s="939">
        <v>3801</v>
      </c>
      <c r="M87" s="939">
        <v>423</v>
      </c>
      <c r="N87" s="939">
        <v>16193</v>
      </c>
      <c r="O87" s="939">
        <v>12188</v>
      </c>
      <c r="P87" s="939">
        <v>0</v>
      </c>
      <c r="Q87" s="939">
        <v>2268</v>
      </c>
      <c r="R87" s="939">
        <v>0</v>
      </c>
      <c r="S87" s="939">
        <v>10306</v>
      </c>
      <c r="T87" s="934"/>
      <c r="V87" s="940"/>
      <c r="X87" s="930"/>
      <c r="Y87" s="930"/>
      <c r="AH87" s="930"/>
      <c r="AI87" s="935"/>
      <c r="AJ87" s="936"/>
      <c r="AK87" s="940"/>
    </row>
    <row r="88" spans="1:37" x14ac:dyDescent="0.2">
      <c r="A88" s="719">
        <v>78</v>
      </c>
      <c r="B88" s="120" t="s">
        <v>169</v>
      </c>
      <c r="C88" s="121" t="s">
        <v>170</v>
      </c>
      <c r="D88" s="938">
        <f t="shared" si="10"/>
        <v>252324</v>
      </c>
      <c r="E88" s="938">
        <f t="shared" si="11"/>
        <v>8990</v>
      </c>
      <c r="F88" s="938">
        <v>8990</v>
      </c>
      <c r="G88" s="938">
        <v>0</v>
      </c>
      <c r="H88" s="928">
        <f t="shared" si="9"/>
        <v>58662</v>
      </c>
      <c r="I88" s="938">
        <v>58662</v>
      </c>
      <c r="J88" s="938">
        <v>0</v>
      </c>
      <c r="K88" s="938">
        <f t="shared" si="8"/>
        <v>184672</v>
      </c>
      <c r="L88" s="939">
        <v>14841</v>
      </c>
      <c r="M88" s="939">
        <v>5268</v>
      </c>
      <c r="N88" s="939">
        <v>48309</v>
      </c>
      <c r="O88" s="939">
        <v>64990</v>
      </c>
      <c r="P88" s="939">
        <v>0</v>
      </c>
      <c r="Q88" s="939">
        <v>48834</v>
      </c>
      <c r="R88" s="939">
        <v>2430</v>
      </c>
      <c r="S88" s="939">
        <v>58440</v>
      </c>
      <c r="T88" s="934"/>
      <c r="V88" s="940"/>
      <c r="X88" s="930"/>
      <c r="Y88" s="930"/>
      <c r="AH88" s="930"/>
      <c r="AI88" s="935"/>
      <c r="AJ88" s="936"/>
      <c r="AK88" s="940"/>
    </row>
    <row r="89" spans="1:37" x14ac:dyDescent="0.2">
      <c r="A89" s="724">
        <v>79</v>
      </c>
      <c r="B89" s="723" t="s">
        <v>171</v>
      </c>
      <c r="C89" s="128" t="s">
        <v>172</v>
      </c>
      <c r="D89" s="938">
        <f t="shared" si="10"/>
        <v>158454</v>
      </c>
      <c r="E89" s="938">
        <f t="shared" si="11"/>
        <v>33274</v>
      </c>
      <c r="F89" s="938">
        <v>0</v>
      </c>
      <c r="G89" s="938">
        <v>33274</v>
      </c>
      <c r="H89" s="928">
        <f t="shared" si="9"/>
        <v>390</v>
      </c>
      <c r="I89" s="938">
        <v>0</v>
      </c>
      <c r="J89" s="938">
        <v>390</v>
      </c>
      <c r="K89" s="938">
        <f t="shared" si="8"/>
        <v>124790</v>
      </c>
      <c r="L89" s="939">
        <v>0</v>
      </c>
      <c r="M89" s="939">
        <v>0</v>
      </c>
      <c r="N89" s="939">
        <v>23053</v>
      </c>
      <c r="O89" s="939">
        <v>60400</v>
      </c>
      <c r="P89" s="939">
        <v>0</v>
      </c>
      <c r="Q89" s="939">
        <v>41320</v>
      </c>
      <c r="R89" s="939">
        <v>17</v>
      </c>
      <c r="S89" s="939">
        <v>0</v>
      </c>
      <c r="T89" s="934"/>
      <c r="V89" s="940"/>
      <c r="X89" s="930"/>
      <c r="Y89" s="930"/>
      <c r="AH89" s="930"/>
      <c r="AI89" s="935"/>
      <c r="AJ89" s="936"/>
      <c r="AK89" s="940"/>
    </row>
    <row r="90" spans="1:37" x14ac:dyDescent="0.2">
      <c r="A90" s="719">
        <v>80</v>
      </c>
      <c r="B90" s="120" t="s">
        <v>173</v>
      </c>
      <c r="C90" s="121" t="s">
        <v>174</v>
      </c>
      <c r="D90" s="938">
        <f t="shared" si="10"/>
        <v>203340</v>
      </c>
      <c r="E90" s="938">
        <f t="shared" si="11"/>
        <v>7329</v>
      </c>
      <c r="F90" s="938">
        <v>7329</v>
      </c>
      <c r="G90" s="938">
        <v>0</v>
      </c>
      <c r="H90" s="928">
        <f t="shared" si="9"/>
        <v>47823</v>
      </c>
      <c r="I90" s="938">
        <v>47823</v>
      </c>
      <c r="J90" s="938">
        <v>0</v>
      </c>
      <c r="K90" s="938">
        <f t="shared" si="8"/>
        <v>148188</v>
      </c>
      <c r="L90" s="939">
        <v>12099</v>
      </c>
      <c r="M90" s="939">
        <v>2679</v>
      </c>
      <c r="N90" s="939">
        <v>41471</v>
      </c>
      <c r="O90" s="939">
        <v>27194</v>
      </c>
      <c r="P90" s="939">
        <v>1500</v>
      </c>
      <c r="Q90" s="939">
        <v>61357</v>
      </c>
      <c r="R90" s="939">
        <v>1888</v>
      </c>
      <c r="S90" s="939">
        <v>37572</v>
      </c>
      <c r="T90" s="934"/>
      <c r="V90" s="940"/>
      <c r="X90" s="930"/>
      <c r="Y90" s="930"/>
      <c r="AH90" s="930"/>
      <c r="AI90" s="935"/>
      <c r="AJ90" s="936"/>
      <c r="AK90" s="940"/>
    </row>
    <row r="91" spans="1:37" x14ac:dyDescent="0.2">
      <c r="A91" s="724">
        <v>81</v>
      </c>
      <c r="B91" s="723" t="s">
        <v>175</v>
      </c>
      <c r="C91" s="306" t="s">
        <v>746</v>
      </c>
      <c r="D91" s="938">
        <f t="shared" si="10"/>
        <v>42977</v>
      </c>
      <c r="E91" s="938">
        <f t="shared" si="11"/>
        <v>0</v>
      </c>
      <c r="F91" s="938">
        <v>0</v>
      </c>
      <c r="G91" s="938">
        <v>0</v>
      </c>
      <c r="H91" s="928">
        <f t="shared" si="9"/>
        <v>0</v>
      </c>
      <c r="I91" s="938">
        <v>0</v>
      </c>
      <c r="J91" s="938">
        <v>0</v>
      </c>
      <c r="K91" s="938">
        <f t="shared" si="8"/>
        <v>42977</v>
      </c>
      <c r="L91" s="939">
        <v>0</v>
      </c>
      <c r="M91" s="939">
        <v>0</v>
      </c>
      <c r="N91" s="939">
        <v>0</v>
      </c>
      <c r="O91" s="939">
        <v>14229</v>
      </c>
      <c r="P91" s="939">
        <v>0</v>
      </c>
      <c r="Q91" s="939">
        <v>28748</v>
      </c>
      <c r="R91" s="939">
        <v>0</v>
      </c>
      <c r="S91" s="939">
        <v>0</v>
      </c>
      <c r="T91" s="934"/>
      <c r="V91" s="940"/>
      <c r="X91" s="930"/>
      <c r="Y91" s="930"/>
      <c r="AH91" s="930"/>
      <c r="AI91" s="935"/>
      <c r="AJ91" s="936"/>
      <c r="AK91" s="940"/>
    </row>
    <row r="92" spans="1:37" x14ac:dyDescent="0.2">
      <c r="A92" s="719">
        <v>82</v>
      </c>
      <c r="B92" s="721" t="s">
        <v>177</v>
      </c>
      <c r="C92" s="121" t="s">
        <v>358</v>
      </c>
      <c r="D92" s="938">
        <f t="shared" si="10"/>
        <v>0</v>
      </c>
      <c r="E92" s="938">
        <f t="shared" si="11"/>
        <v>0</v>
      </c>
      <c r="F92" s="938">
        <v>0</v>
      </c>
      <c r="G92" s="938">
        <v>0</v>
      </c>
      <c r="H92" s="928">
        <f t="shared" si="9"/>
        <v>0</v>
      </c>
      <c r="I92" s="938">
        <v>0</v>
      </c>
      <c r="J92" s="938">
        <v>0</v>
      </c>
      <c r="K92" s="938">
        <f t="shared" si="8"/>
        <v>0</v>
      </c>
      <c r="L92" s="939">
        <v>0</v>
      </c>
      <c r="M92" s="939">
        <v>0</v>
      </c>
      <c r="N92" s="939">
        <v>0</v>
      </c>
      <c r="O92" s="939">
        <v>0</v>
      </c>
      <c r="P92" s="939">
        <v>0</v>
      </c>
      <c r="Q92" s="939">
        <v>0</v>
      </c>
      <c r="R92" s="939">
        <v>0</v>
      </c>
      <c r="S92" s="939">
        <v>0</v>
      </c>
      <c r="T92" s="934"/>
      <c r="V92" s="940"/>
      <c r="X92" s="930"/>
      <c r="Y92" s="930"/>
      <c r="AH92" s="930"/>
      <c r="AI92" s="935"/>
      <c r="AJ92" s="936"/>
      <c r="AK92" s="940"/>
    </row>
    <row r="93" spans="1:37" ht="36" x14ac:dyDescent="0.2">
      <c r="A93" s="1044">
        <v>83</v>
      </c>
      <c r="B93" s="1047" t="s">
        <v>178</v>
      </c>
      <c r="C93" s="121" t="s">
        <v>179</v>
      </c>
      <c r="D93" s="938">
        <f t="shared" si="10"/>
        <v>16922</v>
      </c>
      <c r="E93" s="938">
        <f t="shared" si="11"/>
        <v>420</v>
      </c>
      <c r="F93" s="938">
        <v>420</v>
      </c>
      <c r="G93" s="938">
        <v>0</v>
      </c>
      <c r="H93" s="928">
        <f t="shared" si="9"/>
        <v>2740</v>
      </c>
      <c r="I93" s="938">
        <v>2740</v>
      </c>
      <c r="J93" s="938">
        <v>0</v>
      </c>
      <c r="K93" s="938">
        <f t="shared" si="8"/>
        <v>13762</v>
      </c>
      <c r="L93" s="939">
        <v>693</v>
      </c>
      <c r="M93" s="939">
        <v>45</v>
      </c>
      <c r="N93" s="939">
        <v>462</v>
      </c>
      <c r="O93" s="939">
        <v>11376</v>
      </c>
      <c r="P93" s="939">
        <v>0</v>
      </c>
      <c r="Q93" s="939">
        <v>1186</v>
      </c>
      <c r="R93" s="939">
        <v>0</v>
      </c>
      <c r="S93" s="939">
        <v>194</v>
      </c>
      <c r="T93" s="934"/>
      <c r="V93" s="940"/>
      <c r="X93" s="930"/>
      <c r="Y93" s="930"/>
      <c r="AH93" s="930"/>
      <c r="AI93" s="935"/>
      <c r="AJ93" s="936"/>
      <c r="AK93" s="940"/>
    </row>
    <row r="94" spans="1:37" ht="36" x14ac:dyDescent="0.2">
      <c r="A94" s="1045"/>
      <c r="B94" s="1048"/>
      <c r="C94" s="121" t="s">
        <v>180</v>
      </c>
      <c r="D94" s="938">
        <f t="shared" si="10"/>
        <v>3600</v>
      </c>
      <c r="E94" s="938">
        <f t="shared" si="11"/>
        <v>0</v>
      </c>
      <c r="F94" s="938">
        <v>0</v>
      </c>
      <c r="G94" s="938">
        <v>0</v>
      </c>
      <c r="H94" s="928">
        <f t="shared" si="9"/>
        <v>0</v>
      </c>
      <c r="I94" s="938">
        <v>0</v>
      </c>
      <c r="J94" s="938">
        <v>0</v>
      </c>
      <c r="K94" s="938">
        <f t="shared" si="8"/>
        <v>3600</v>
      </c>
      <c r="L94" s="941">
        <v>0</v>
      </c>
      <c r="M94" s="941">
        <v>0</v>
      </c>
      <c r="N94" s="939">
        <v>0</v>
      </c>
      <c r="O94" s="939">
        <v>3600</v>
      </c>
      <c r="P94" s="939">
        <v>0</v>
      </c>
      <c r="Q94" s="939">
        <v>0</v>
      </c>
      <c r="R94" s="939">
        <v>0</v>
      </c>
      <c r="S94" s="939">
        <v>0</v>
      </c>
      <c r="T94" s="934"/>
      <c r="V94" s="940"/>
      <c r="X94" s="930"/>
      <c r="Y94" s="930"/>
      <c r="AH94" s="930"/>
      <c r="AI94" s="935"/>
      <c r="AJ94" s="936"/>
      <c r="AK94" s="940"/>
    </row>
    <row r="95" spans="1:37" ht="60" x14ac:dyDescent="0.2">
      <c r="A95" s="1046"/>
      <c r="B95" s="1049"/>
      <c r="C95" s="152" t="s">
        <v>509</v>
      </c>
      <c r="D95" s="938">
        <f t="shared" si="10"/>
        <v>8000</v>
      </c>
      <c r="E95" s="938">
        <v>0</v>
      </c>
      <c r="F95" s="938">
        <v>0</v>
      </c>
      <c r="G95" s="938">
        <v>0</v>
      </c>
      <c r="H95" s="928">
        <v>0</v>
      </c>
      <c r="I95" s="938">
        <v>0</v>
      </c>
      <c r="J95" s="938">
        <v>0</v>
      </c>
      <c r="K95" s="938">
        <f t="shared" si="8"/>
        <v>8000</v>
      </c>
      <c r="L95" s="941">
        <v>0</v>
      </c>
      <c r="M95" s="941">
        <v>0</v>
      </c>
      <c r="N95" s="939">
        <v>0</v>
      </c>
      <c r="O95" s="939">
        <v>8000</v>
      </c>
      <c r="P95" s="939">
        <v>0</v>
      </c>
      <c r="Q95" s="939">
        <v>0</v>
      </c>
      <c r="R95" s="939">
        <v>0</v>
      </c>
      <c r="S95" s="939">
        <v>0</v>
      </c>
      <c r="T95" s="934"/>
      <c r="V95" s="940"/>
      <c r="X95" s="930"/>
      <c r="Y95" s="930"/>
      <c r="AH95" s="930"/>
      <c r="AI95" s="935"/>
      <c r="AJ95" s="936"/>
      <c r="AK95" s="940"/>
    </row>
    <row r="96" spans="1:37" ht="24" x14ac:dyDescent="0.2">
      <c r="A96" s="719">
        <v>84</v>
      </c>
      <c r="B96" s="721" t="s">
        <v>181</v>
      </c>
      <c r="C96" s="720" t="s">
        <v>182</v>
      </c>
      <c r="D96" s="938">
        <f t="shared" si="10"/>
        <v>8400</v>
      </c>
      <c r="E96" s="938">
        <f t="shared" ref="E96:E152" si="12">F96+G96</f>
        <v>0</v>
      </c>
      <c r="F96" s="938">
        <v>0</v>
      </c>
      <c r="G96" s="938">
        <v>0</v>
      </c>
      <c r="H96" s="928">
        <f t="shared" ref="H96:H152" si="13">I96+J96</f>
        <v>0</v>
      </c>
      <c r="I96" s="938">
        <v>0</v>
      </c>
      <c r="J96" s="938">
        <v>0</v>
      </c>
      <c r="K96" s="938">
        <f t="shared" si="8"/>
        <v>8400</v>
      </c>
      <c r="L96" s="941">
        <v>0</v>
      </c>
      <c r="M96" s="941">
        <v>0</v>
      </c>
      <c r="N96" s="939">
        <v>0</v>
      </c>
      <c r="O96" s="939">
        <v>8400</v>
      </c>
      <c r="P96" s="939">
        <v>0</v>
      </c>
      <c r="Q96" s="939">
        <v>0</v>
      </c>
      <c r="R96" s="939">
        <v>0</v>
      </c>
      <c r="S96" s="939">
        <v>0</v>
      </c>
      <c r="T96" s="934"/>
      <c r="V96" s="940"/>
      <c r="X96" s="930"/>
      <c r="Y96" s="930"/>
      <c r="AH96" s="930"/>
      <c r="AI96" s="935"/>
      <c r="AJ96" s="936"/>
      <c r="AK96" s="940"/>
    </row>
    <row r="97" spans="1:37" x14ac:dyDescent="0.2">
      <c r="A97" s="719">
        <v>85</v>
      </c>
      <c r="B97" s="721" t="s">
        <v>183</v>
      </c>
      <c r="C97" s="128" t="s">
        <v>184</v>
      </c>
      <c r="D97" s="938">
        <f t="shared" si="10"/>
        <v>13584</v>
      </c>
      <c r="E97" s="938">
        <f t="shared" si="12"/>
        <v>337</v>
      </c>
      <c r="F97" s="938">
        <v>337</v>
      </c>
      <c r="G97" s="938">
        <v>0</v>
      </c>
      <c r="H97" s="928">
        <f t="shared" si="13"/>
        <v>2199</v>
      </c>
      <c r="I97" s="938">
        <v>2199</v>
      </c>
      <c r="J97" s="938">
        <v>0</v>
      </c>
      <c r="K97" s="938">
        <f t="shared" si="8"/>
        <v>11048</v>
      </c>
      <c r="L97" s="939">
        <v>556</v>
      </c>
      <c r="M97" s="939">
        <v>75</v>
      </c>
      <c r="N97" s="939">
        <v>1641</v>
      </c>
      <c r="O97" s="939">
        <v>5613</v>
      </c>
      <c r="P97" s="939">
        <v>0</v>
      </c>
      <c r="Q97" s="939">
        <v>3163</v>
      </c>
      <c r="R97" s="939">
        <v>0</v>
      </c>
      <c r="S97" s="939">
        <v>2169</v>
      </c>
      <c r="T97" s="934"/>
      <c r="V97" s="940"/>
      <c r="X97" s="930"/>
      <c r="Y97" s="930"/>
      <c r="AH97" s="930"/>
      <c r="AI97" s="935"/>
      <c r="AJ97" s="936"/>
      <c r="AK97" s="940"/>
    </row>
    <row r="98" spans="1:37" ht="24" x14ac:dyDescent="0.2">
      <c r="A98" s="719">
        <v>86</v>
      </c>
      <c r="B98" s="722" t="s">
        <v>185</v>
      </c>
      <c r="C98" s="121" t="s">
        <v>186</v>
      </c>
      <c r="D98" s="938">
        <f t="shared" si="10"/>
        <v>38956</v>
      </c>
      <c r="E98" s="938">
        <f t="shared" si="12"/>
        <v>1444</v>
      </c>
      <c r="F98" s="938">
        <v>1444</v>
      </c>
      <c r="G98" s="938">
        <v>0</v>
      </c>
      <c r="H98" s="928">
        <f t="shared" si="13"/>
        <v>9425</v>
      </c>
      <c r="I98" s="938">
        <v>9425</v>
      </c>
      <c r="J98" s="938">
        <v>0</v>
      </c>
      <c r="K98" s="938">
        <f t="shared" si="8"/>
        <v>28087</v>
      </c>
      <c r="L98" s="939">
        <v>2385</v>
      </c>
      <c r="M98" s="939">
        <v>276</v>
      </c>
      <c r="N98" s="939">
        <v>7934</v>
      </c>
      <c r="O98" s="939">
        <v>12505</v>
      </c>
      <c r="P98" s="939">
        <v>1000</v>
      </c>
      <c r="Q98" s="939">
        <v>3987</v>
      </c>
      <c r="R98" s="939">
        <v>0</v>
      </c>
      <c r="S98" s="939">
        <v>6690</v>
      </c>
      <c r="T98" s="934"/>
      <c r="V98" s="940"/>
      <c r="X98" s="930"/>
      <c r="Y98" s="930"/>
      <c r="AH98" s="930"/>
      <c r="AI98" s="935"/>
      <c r="AJ98" s="936"/>
      <c r="AK98" s="940"/>
    </row>
    <row r="99" spans="1:37" x14ac:dyDescent="0.2">
      <c r="A99" s="719">
        <v>87</v>
      </c>
      <c r="B99" s="721" t="s">
        <v>187</v>
      </c>
      <c r="C99" s="720" t="s">
        <v>188</v>
      </c>
      <c r="D99" s="938">
        <f t="shared" si="10"/>
        <v>40502</v>
      </c>
      <c r="E99" s="938">
        <f t="shared" si="12"/>
        <v>4724</v>
      </c>
      <c r="F99" s="938">
        <v>869</v>
      </c>
      <c r="G99" s="938">
        <v>3855</v>
      </c>
      <c r="H99" s="928">
        <f t="shared" si="13"/>
        <v>5744</v>
      </c>
      <c r="I99" s="938">
        <v>5668</v>
      </c>
      <c r="J99" s="938">
        <v>76</v>
      </c>
      <c r="K99" s="938">
        <f t="shared" si="8"/>
        <v>30034</v>
      </c>
      <c r="L99" s="939">
        <v>1434</v>
      </c>
      <c r="M99" s="939">
        <v>132</v>
      </c>
      <c r="N99" s="939">
        <v>5969</v>
      </c>
      <c r="O99" s="939">
        <v>13563</v>
      </c>
      <c r="P99" s="939">
        <v>0</v>
      </c>
      <c r="Q99" s="939">
        <v>8934</v>
      </c>
      <c r="R99" s="939">
        <v>2</v>
      </c>
      <c r="S99" s="939">
        <v>4580</v>
      </c>
      <c r="T99" s="934"/>
      <c r="V99" s="940"/>
      <c r="X99" s="930"/>
      <c r="Y99" s="930"/>
      <c r="AH99" s="930"/>
      <c r="AI99" s="935"/>
      <c r="AJ99" s="936"/>
      <c r="AK99" s="940"/>
    </row>
    <row r="100" spans="1:37" x14ac:dyDescent="0.2">
      <c r="A100" s="719">
        <v>88</v>
      </c>
      <c r="B100" s="722" t="s">
        <v>189</v>
      </c>
      <c r="C100" s="121" t="s">
        <v>190</v>
      </c>
      <c r="D100" s="938">
        <f t="shared" si="10"/>
        <v>40206</v>
      </c>
      <c r="E100" s="938">
        <f t="shared" si="12"/>
        <v>4741</v>
      </c>
      <c r="F100" s="938">
        <v>861</v>
      </c>
      <c r="G100" s="938">
        <v>3880</v>
      </c>
      <c r="H100" s="928">
        <f t="shared" si="13"/>
        <v>5633</v>
      </c>
      <c r="I100" s="938">
        <v>5621</v>
      </c>
      <c r="J100" s="938">
        <v>12</v>
      </c>
      <c r="K100" s="938">
        <f t="shared" si="8"/>
        <v>29832</v>
      </c>
      <c r="L100" s="939">
        <v>1422</v>
      </c>
      <c r="M100" s="939">
        <v>30</v>
      </c>
      <c r="N100" s="939">
        <v>5380</v>
      </c>
      <c r="O100" s="939">
        <v>11683</v>
      </c>
      <c r="P100" s="939">
        <v>2960</v>
      </c>
      <c r="Q100" s="939">
        <v>8356</v>
      </c>
      <c r="R100" s="939">
        <v>1</v>
      </c>
      <c r="S100" s="939">
        <v>3583</v>
      </c>
      <c r="T100" s="934"/>
      <c r="V100" s="940"/>
      <c r="X100" s="930"/>
      <c r="Y100" s="930"/>
      <c r="AH100" s="930"/>
      <c r="AI100" s="935"/>
      <c r="AJ100" s="936"/>
      <c r="AK100" s="940"/>
    </row>
    <row r="101" spans="1:37" ht="24" x14ac:dyDescent="0.2">
      <c r="A101" s="719">
        <v>89</v>
      </c>
      <c r="B101" s="722" t="s">
        <v>191</v>
      </c>
      <c r="C101" s="121" t="s">
        <v>192</v>
      </c>
      <c r="D101" s="938">
        <f t="shared" si="10"/>
        <v>117563</v>
      </c>
      <c r="E101" s="938">
        <f t="shared" si="12"/>
        <v>14923</v>
      </c>
      <c r="F101" s="938">
        <v>2380</v>
      </c>
      <c r="G101" s="938">
        <v>12543</v>
      </c>
      <c r="H101" s="928">
        <f t="shared" si="13"/>
        <v>15711</v>
      </c>
      <c r="I101" s="938">
        <v>15530</v>
      </c>
      <c r="J101" s="938">
        <v>181</v>
      </c>
      <c r="K101" s="938">
        <f t="shared" si="8"/>
        <v>86929</v>
      </c>
      <c r="L101" s="939">
        <v>3929</v>
      </c>
      <c r="M101" s="939">
        <v>510</v>
      </c>
      <c r="N101" s="939">
        <v>13686</v>
      </c>
      <c r="O101" s="939">
        <v>32007</v>
      </c>
      <c r="P101" s="939">
        <v>8000</v>
      </c>
      <c r="Q101" s="939">
        <v>27763</v>
      </c>
      <c r="R101" s="939">
        <v>1034</v>
      </c>
      <c r="S101" s="939">
        <v>13140</v>
      </c>
      <c r="T101" s="934"/>
      <c r="V101" s="940"/>
      <c r="X101" s="930"/>
      <c r="Y101" s="930"/>
      <c r="AH101" s="930"/>
      <c r="AI101" s="935"/>
      <c r="AJ101" s="936"/>
      <c r="AK101" s="940"/>
    </row>
    <row r="102" spans="1:37" ht="24" x14ac:dyDescent="0.2">
      <c r="A102" s="719">
        <v>90</v>
      </c>
      <c r="B102" s="721" t="s">
        <v>193</v>
      </c>
      <c r="C102" s="128" t="s">
        <v>194</v>
      </c>
      <c r="D102" s="938">
        <f t="shared" si="10"/>
        <v>49189</v>
      </c>
      <c r="E102" s="938">
        <f t="shared" si="12"/>
        <v>5369</v>
      </c>
      <c r="F102" s="938">
        <v>1030</v>
      </c>
      <c r="G102" s="938">
        <v>4339</v>
      </c>
      <c r="H102" s="928">
        <f t="shared" si="13"/>
        <v>6763</v>
      </c>
      <c r="I102" s="938">
        <v>6723</v>
      </c>
      <c r="J102" s="938">
        <v>40</v>
      </c>
      <c r="K102" s="938">
        <f t="shared" si="8"/>
        <v>37057</v>
      </c>
      <c r="L102" s="939">
        <v>1701</v>
      </c>
      <c r="M102" s="939">
        <v>348</v>
      </c>
      <c r="N102" s="939">
        <v>6381</v>
      </c>
      <c r="O102" s="939">
        <v>10804</v>
      </c>
      <c r="P102" s="939">
        <v>6620</v>
      </c>
      <c r="Q102" s="939">
        <v>11202</v>
      </c>
      <c r="R102" s="939">
        <v>1</v>
      </c>
      <c r="S102" s="939">
        <v>5264</v>
      </c>
      <c r="T102" s="934"/>
      <c r="V102" s="940"/>
      <c r="X102" s="930"/>
      <c r="Y102" s="930"/>
      <c r="AH102" s="930"/>
      <c r="AI102" s="935"/>
      <c r="AJ102" s="936"/>
      <c r="AK102" s="940"/>
    </row>
    <row r="103" spans="1:37" x14ac:dyDescent="0.2">
      <c r="A103" s="719">
        <v>91</v>
      </c>
      <c r="B103" s="721" t="s">
        <v>195</v>
      </c>
      <c r="C103" s="720" t="s">
        <v>196</v>
      </c>
      <c r="D103" s="938">
        <f t="shared" si="10"/>
        <v>60468</v>
      </c>
      <c r="E103" s="938">
        <f t="shared" si="12"/>
        <v>5197</v>
      </c>
      <c r="F103" s="938">
        <v>1338</v>
      </c>
      <c r="G103" s="938">
        <v>3859</v>
      </c>
      <c r="H103" s="928">
        <f t="shared" si="13"/>
        <v>8791</v>
      </c>
      <c r="I103" s="938">
        <v>8730</v>
      </c>
      <c r="J103" s="938">
        <v>61</v>
      </c>
      <c r="K103" s="938">
        <f t="shared" si="8"/>
        <v>46480</v>
      </c>
      <c r="L103" s="939">
        <v>2209</v>
      </c>
      <c r="M103" s="939">
        <v>93</v>
      </c>
      <c r="N103" s="939">
        <v>13895</v>
      </c>
      <c r="O103" s="939">
        <v>18589</v>
      </c>
      <c r="P103" s="939">
        <v>0</v>
      </c>
      <c r="Q103" s="939">
        <v>10628</v>
      </c>
      <c r="R103" s="939">
        <v>1066</v>
      </c>
      <c r="S103" s="939">
        <v>10485</v>
      </c>
      <c r="T103" s="934"/>
      <c r="V103" s="940"/>
      <c r="X103" s="930"/>
      <c r="Y103" s="930"/>
      <c r="AH103" s="930"/>
      <c r="AI103" s="935"/>
      <c r="AJ103" s="936"/>
      <c r="AK103" s="940"/>
    </row>
    <row r="104" spans="1:37" x14ac:dyDescent="0.2">
      <c r="A104" s="719">
        <v>92</v>
      </c>
      <c r="B104" s="120" t="s">
        <v>197</v>
      </c>
      <c r="C104" s="720" t="s">
        <v>198</v>
      </c>
      <c r="D104" s="938">
        <f t="shared" si="10"/>
        <v>138641</v>
      </c>
      <c r="E104" s="938">
        <f t="shared" si="12"/>
        <v>16718</v>
      </c>
      <c r="F104" s="938">
        <v>2703</v>
      </c>
      <c r="G104" s="938">
        <v>14015</v>
      </c>
      <c r="H104" s="928">
        <f t="shared" si="13"/>
        <v>17893</v>
      </c>
      <c r="I104" s="938">
        <v>17638</v>
      </c>
      <c r="J104" s="938">
        <v>255</v>
      </c>
      <c r="K104" s="938">
        <f t="shared" si="8"/>
        <v>104030</v>
      </c>
      <c r="L104" s="939">
        <v>4462</v>
      </c>
      <c r="M104" s="939">
        <v>414</v>
      </c>
      <c r="N104" s="939">
        <v>12466</v>
      </c>
      <c r="O104" s="939">
        <v>43898</v>
      </c>
      <c r="P104" s="939">
        <v>2300</v>
      </c>
      <c r="Q104" s="939">
        <v>39656</v>
      </c>
      <c r="R104" s="939">
        <v>834</v>
      </c>
      <c r="S104" s="939">
        <v>9656</v>
      </c>
      <c r="T104" s="934"/>
      <c r="V104" s="940"/>
      <c r="X104" s="930"/>
      <c r="Y104" s="930"/>
      <c r="AH104" s="930"/>
      <c r="AI104" s="935"/>
      <c r="AJ104" s="936"/>
      <c r="AK104" s="940"/>
    </row>
    <row r="105" spans="1:37" ht="24" x14ac:dyDescent="0.2">
      <c r="A105" s="719">
        <v>93</v>
      </c>
      <c r="B105" s="120" t="s">
        <v>199</v>
      </c>
      <c r="C105" s="720" t="s">
        <v>200</v>
      </c>
      <c r="D105" s="938">
        <f t="shared" si="10"/>
        <v>107751</v>
      </c>
      <c r="E105" s="938">
        <f t="shared" si="12"/>
        <v>11542</v>
      </c>
      <c r="F105" s="938">
        <v>2274</v>
      </c>
      <c r="G105" s="938">
        <v>9268</v>
      </c>
      <c r="H105" s="928">
        <f t="shared" si="13"/>
        <v>14946</v>
      </c>
      <c r="I105" s="938">
        <v>14838</v>
      </c>
      <c r="J105" s="938">
        <v>108</v>
      </c>
      <c r="K105" s="938">
        <f t="shared" si="8"/>
        <v>81263</v>
      </c>
      <c r="L105" s="939">
        <v>3754</v>
      </c>
      <c r="M105" s="939">
        <v>591</v>
      </c>
      <c r="N105" s="939">
        <v>9902</v>
      </c>
      <c r="O105" s="939">
        <v>33170</v>
      </c>
      <c r="P105" s="939">
        <v>7477</v>
      </c>
      <c r="Q105" s="939">
        <v>25358</v>
      </c>
      <c r="R105" s="939">
        <v>1011</v>
      </c>
      <c r="S105" s="939">
        <v>8391</v>
      </c>
      <c r="T105" s="934"/>
      <c r="V105" s="940"/>
      <c r="X105" s="930"/>
      <c r="Y105" s="930"/>
      <c r="AH105" s="930"/>
      <c r="AI105" s="935"/>
      <c r="AJ105" s="936"/>
      <c r="AK105" s="940"/>
    </row>
    <row r="106" spans="1:37" x14ac:dyDescent="0.2">
      <c r="A106" s="719">
        <v>94</v>
      </c>
      <c r="B106" s="722" t="s">
        <v>201</v>
      </c>
      <c r="C106" s="121" t="s">
        <v>202</v>
      </c>
      <c r="D106" s="938">
        <f t="shared" si="10"/>
        <v>37208</v>
      </c>
      <c r="E106" s="938">
        <f t="shared" si="12"/>
        <v>4206</v>
      </c>
      <c r="F106" s="938">
        <v>791</v>
      </c>
      <c r="G106" s="938">
        <v>3415</v>
      </c>
      <c r="H106" s="928">
        <f t="shared" si="13"/>
        <v>5236</v>
      </c>
      <c r="I106" s="938">
        <v>5160</v>
      </c>
      <c r="J106" s="938">
        <v>76</v>
      </c>
      <c r="K106" s="938">
        <f t="shared" si="8"/>
        <v>27766</v>
      </c>
      <c r="L106" s="941">
        <v>1305</v>
      </c>
      <c r="M106" s="941">
        <v>36</v>
      </c>
      <c r="N106" s="939">
        <v>3637</v>
      </c>
      <c r="O106" s="939">
        <v>9725</v>
      </c>
      <c r="P106" s="939">
        <v>2277</v>
      </c>
      <c r="Q106" s="939">
        <v>10500</v>
      </c>
      <c r="R106" s="939">
        <v>286</v>
      </c>
      <c r="S106" s="939">
        <v>4993</v>
      </c>
      <c r="T106" s="934"/>
      <c r="V106" s="940"/>
      <c r="X106" s="930"/>
      <c r="Y106" s="930"/>
      <c r="AH106" s="930"/>
      <c r="AI106" s="935"/>
      <c r="AJ106" s="936"/>
      <c r="AK106" s="940"/>
    </row>
    <row r="107" spans="1:37" ht="24" x14ac:dyDescent="0.2">
      <c r="A107" s="719">
        <v>95</v>
      </c>
      <c r="B107" s="723" t="s">
        <v>203</v>
      </c>
      <c r="C107" s="128" t="s">
        <v>204</v>
      </c>
      <c r="D107" s="938">
        <f t="shared" si="10"/>
        <v>57490</v>
      </c>
      <c r="E107" s="938">
        <f t="shared" si="12"/>
        <v>6433</v>
      </c>
      <c r="F107" s="938">
        <v>1233</v>
      </c>
      <c r="G107" s="938">
        <v>5200</v>
      </c>
      <c r="H107" s="928">
        <f t="shared" si="13"/>
        <v>8102</v>
      </c>
      <c r="I107" s="938">
        <v>8044</v>
      </c>
      <c r="J107" s="938">
        <v>58</v>
      </c>
      <c r="K107" s="938">
        <f t="shared" si="8"/>
        <v>42955</v>
      </c>
      <c r="L107" s="941">
        <v>2035</v>
      </c>
      <c r="M107" s="941">
        <v>222</v>
      </c>
      <c r="N107" s="939">
        <v>11149</v>
      </c>
      <c r="O107" s="939">
        <v>9512</v>
      </c>
      <c r="P107" s="939">
        <v>4000</v>
      </c>
      <c r="Q107" s="939">
        <v>16034</v>
      </c>
      <c r="R107" s="939">
        <v>3</v>
      </c>
      <c r="S107" s="939">
        <v>7220</v>
      </c>
      <c r="T107" s="934"/>
      <c r="V107" s="940"/>
      <c r="X107" s="930"/>
      <c r="Y107" s="930"/>
      <c r="AH107" s="930"/>
      <c r="AI107" s="935"/>
      <c r="AJ107" s="936"/>
      <c r="AK107" s="940"/>
    </row>
    <row r="108" spans="1:37" x14ac:dyDescent="0.2">
      <c r="A108" s="719">
        <v>96</v>
      </c>
      <c r="B108" s="120" t="s">
        <v>205</v>
      </c>
      <c r="C108" s="720" t="s">
        <v>206</v>
      </c>
      <c r="D108" s="938">
        <f t="shared" si="10"/>
        <v>55616</v>
      </c>
      <c r="E108" s="938">
        <f t="shared" si="12"/>
        <v>6652</v>
      </c>
      <c r="F108" s="938">
        <v>1167</v>
      </c>
      <c r="G108" s="938">
        <v>5485</v>
      </c>
      <c r="H108" s="928">
        <f t="shared" si="13"/>
        <v>7693</v>
      </c>
      <c r="I108" s="938">
        <v>7613</v>
      </c>
      <c r="J108" s="938">
        <v>80</v>
      </c>
      <c r="K108" s="938">
        <f t="shared" si="8"/>
        <v>41271</v>
      </c>
      <c r="L108" s="939">
        <v>1926</v>
      </c>
      <c r="M108" s="939">
        <v>42</v>
      </c>
      <c r="N108" s="939">
        <v>6982</v>
      </c>
      <c r="O108" s="939">
        <v>14928</v>
      </c>
      <c r="P108" s="939">
        <v>5961</v>
      </c>
      <c r="Q108" s="939">
        <v>11431</v>
      </c>
      <c r="R108" s="939">
        <v>1</v>
      </c>
      <c r="S108" s="939">
        <v>6929</v>
      </c>
      <c r="T108" s="934"/>
      <c r="V108" s="940"/>
      <c r="X108" s="930"/>
      <c r="Y108" s="930"/>
      <c r="AH108" s="930"/>
      <c r="AI108" s="935"/>
      <c r="AJ108" s="936"/>
      <c r="AK108" s="940"/>
    </row>
    <row r="109" spans="1:37" x14ac:dyDescent="0.2">
      <c r="A109" s="719">
        <v>97</v>
      </c>
      <c r="B109" s="721" t="s">
        <v>207</v>
      </c>
      <c r="C109" s="720" t="s">
        <v>208</v>
      </c>
      <c r="D109" s="938">
        <f t="shared" si="10"/>
        <v>74440</v>
      </c>
      <c r="E109" s="938">
        <f t="shared" si="12"/>
        <v>8058</v>
      </c>
      <c r="F109" s="938">
        <v>1350</v>
      </c>
      <c r="G109" s="938">
        <v>6708</v>
      </c>
      <c r="H109" s="928">
        <f t="shared" si="13"/>
        <v>8902</v>
      </c>
      <c r="I109" s="938">
        <v>8809</v>
      </c>
      <c r="J109" s="938">
        <v>93</v>
      </c>
      <c r="K109" s="938">
        <f t="shared" si="8"/>
        <v>57480</v>
      </c>
      <c r="L109" s="939">
        <v>2229</v>
      </c>
      <c r="M109" s="939">
        <v>27</v>
      </c>
      <c r="N109" s="939">
        <v>7166</v>
      </c>
      <c r="O109" s="939">
        <v>12992</v>
      </c>
      <c r="P109" s="939">
        <v>9780</v>
      </c>
      <c r="Q109" s="939">
        <v>24820</v>
      </c>
      <c r="R109" s="939">
        <v>466</v>
      </c>
      <c r="S109" s="939">
        <v>6409</v>
      </c>
      <c r="T109" s="934"/>
      <c r="V109" s="940"/>
      <c r="X109" s="930"/>
      <c r="Y109" s="930"/>
      <c r="AH109" s="930"/>
      <c r="AI109" s="935"/>
      <c r="AJ109" s="936"/>
      <c r="AK109" s="940"/>
    </row>
    <row r="110" spans="1:37" ht="24" x14ac:dyDescent="0.2">
      <c r="A110" s="719">
        <v>98</v>
      </c>
      <c r="B110" s="722" t="s">
        <v>209</v>
      </c>
      <c r="C110" s="121" t="s">
        <v>210</v>
      </c>
      <c r="D110" s="938">
        <f t="shared" si="10"/>
        <v>43950</v>
      </c>
      <c r="E110" s="938">
        <f t="shared" si="12"/>
        <v>5529</v>
      </c>
      <c r="F110" s="938">
        <v>913</v>
      </c>
      <c r="G110" s="938">
        <v>4616</v>
      </c>
      <c r="H110" s="928">
        <f t="shared" si="13"/>
        <v>6030</v>
      </c>
      <c r="I110" s="938">
        <v>5960</v>
      </c>
      <c r="J110" s="938">
        <v>70</v>
      </c>
      <c r="K110" s="938">
        <f t="shared" si="8"/>
        <v>32391</v>
      </c>
      <c r="L110" s="939">
        <v>1508</v>
      </c>
      <c r="M110" s="939">
        <v>186</v>
      </c>
      <c r="N110" s="939">
        <v>5488</v>
      </c>
      <c r="O110" s="939">
        <v>11495</v>
      </c>
      <c r="P110" s="939">
        <v>1113</v>
      </c>
      <c r="Q110" s="939">
        <v>12597</v>
      </c>
      <c r="R110" s="939">
        <v>4</v>
      </c>
      <c r="S110" s="939">
        <v>4346</v>
      </c>
      <c r="T110" s="934"/>
      <c r="V110" s="940"/>
      <c r="X110" s="930"/>
      <c r="Y110" s="930"/>
      <c r="AH110" s="930"/>
      <c r="AI110" s="935"/>
      <c r="AJ110" s="936"/>
      <c r="AK110" s="940"/>
    </row>
    <row r="111" spans="1:37" ht="24" x14ac:dyDescent="0.2">
      <c r="A111" s="719">
        <v>99</v>
      </c>
      <c r="B111" s="722" t="s">
        <v>211</v>
      </c>
      <c r="C111" s="121" t="s">
        <v>212</v>
      </c>
      <c r="D111" s="938">
        <f t="shared" si="10"/>
        <v>63262</v>
      </c>
      <c r="E111" s="938">
        <f t="shared" si="12"/>
        <v>6960</v>
      </c>
      <c r="F111" s="938">
        <v>1362</v>
      </c>
      <c r="G111" s="938">
        <v>5598</v>
      </c>
      <c r="H111" s="928">
        <f t="shared" si="13"/>
        <v>8942</v>
      </c>
      <c r="I111" s="938">
        <v>8888</v>
      </c>
      <c r="J111" s="938">
        <v>54</v>
      </c>
      <c r="K111" s="938">
        <f t="shared" si="8"/>
        <v>47360</v>
      </c>
      <c r="L111" s="939">
        <v>2249</v>
      </c>
      <c r="M111" s="939">
        <v>69</v>
      </c>
      <c r="N111" s="939">
        <v>9878</v>
      </c>
      <c r="O111" s="939">
        <v>15923</v>
      </c>
      <c r="P111" s="939">
        <v>6150</v>
      </c>
      <c r="Q111" s="939">
        <v>12286</v>
      </c>
      <c r="R111" s="939">
        <v>805</v>
      </c>
      <c r="S111" s="939">
        <v>8378</v>
      </c>
      <c r="T111" s="934"/>
      <c r="V111" s="940"/>
      <c r="X111" s="930"/>
      <c r="Y111" s="930"/>
      <c r="AH111" s="930"/>
      <c r="AI111" s="935"/>
      <c r="AJ111" s="936"/>
      <c r="AK111" s="940"/>
    </row>
    <row r="112" spans="1:37" x14ac:dyDescent="0.2">
      <c r="A112" s="719">
        <v>100</v>
      </c>
      <c r="B112" s="120" t="s">
        <v>213</v>
      </c>
      <c r="C112" s="720" t="s">
        <v>214</v>
      </c>
      <c r="D112" s="938">
        <f t="shared" si="10"/>
        <v>109998</v>
      </c>
      <c r="E112" s="938">
        <f t="shared" si="12"/>
        <v>11952</v>
      </c>
      <c r="F112" s="938">
        <v>2352</v>
      </c>
      <c r="G112" s="938">
        <v>9600</v>
      </c>
      <c r="H112" s="928">
        <f t="shared" si="13"/>
        <v>15423</v>
      </c>
      <c r="I112" s="938">
        <v>15345</v>
      </c>
      <c r="J112" s="938">
        <v>78</v>
      </c>
      <c r="K112" s="938">
        <f t="shared" si="8"/>
        <v>82623</v>
      </c>
      <c r="L112" s="939">
        <v>3882</v>
      </c>
      <c r="M112" s="939">
        <v>276</v>
      </c>
      <c r="N112" s="939">
        <v>18093</v>
      </c>
      <c r="O112" s="939">
        <v>29664</v>
      </c>
      <c r="P112" s="939">
        <v>4600</v>
      </c>
      <c r="Q112" s="939">
        <v>25359</v>
      </c>
      <c r="R112" s="939">
        <v>749</v>
      </c>
      <c r="S112" s="939">
        <v>12853</v>
      </c>
      <c r="T112" s="934"/>
      <c r="V112" s="940"/>
      <c r="X112" s="930"/>
      <c r="Y112" s="930"/>
      <c r="AH112" s="930"/>
      <c r="AI112" s="935"/>
      <c r="AJ112" s="936"/>
      <c r="AK112" s="940"/>
    </row>
    <row r="113" spans="1:37" x14ac:dyDescent="0.2">
      <c r="A113" s="719">
        <v>101</v>
      </c>
      <c r="B113" s="721" t="s">
        <v>215</v>
      </c>
      <c r="C113" s="720" t="s">
        <v>216</v>
      </c>
      <c r="D113" s="938">
        <f t="shared" si="10"/>
        <v>49453</v>
      </c>
      <c r="E113" s="938">
        <f t="shared" si="12"/>
        <v>5499</v>
      </c>
      <c r="F113" s="938">
        <v>1076</v>
      </c>
      <c r="G113" s="938">
        <v>4423</v>
      </c>
      <c r="H113" s="928">
        <f t="shared" si="13"/>
        <v>7072</v>
      </c>
      <c r="I113" s="938">
        <v>7018</v>
      </c>
      <c r="J113" s="938">
        <v>54</v>
      </c>
      <c r="K113" s="938">
        <f t="shared" si="8"/>
        <v>36882</v>
      </c>
      <c r="L113" s="939">
        <v>1776</v>
      </c>
      <c r="M113" s="939">
        <v>336</v>
      </c>
      <c r="N113" s="939">
        <v>7195</v>
      </c>
      <c r="O113" s="939">
        <v>16925</v>
      </c>
      <c r="P113" s="939">
        <v>5174</v>
      </c>
      <c r="Q113" s="939">
        <v>5473</v>
      </c>
      <c r="R113" s="939">
        <v>3</v>
      </c>
      <c r="S113" s="939">
        <v>7049</v>
      </c>
      <c r="T113" s="934"/>
      <c r="V113" s="940"/>
      <c r="X113" s="930"/>
      <c r="Y113" s="930"/>
      <c r="AH113" s="930"/>
      <c r="AI113" s="935"/>
      <c r="AJ113" s="936"/>
      <c r="AK113" s="940"/>
    </row>
    <row r="114" spans="1:37" x14ac:dyDescent="0.2">
      <c r="A114" s="719">
        <v>102</v>
      </c>
      <c r="B114" s="120" t="s">
        <v>217</v>
      </c>
      <c r="C114" s="121" t="s">
        <v>218</v>
      </c>
      <c r="D114" s="938">
        <f t="shared" si="10"/>
        <v>7992</v>
      </c>
      <c r="E114" s="938">
        <f t="shared" si="12"/>
        <v>0</v>
      </c>
      <c r="F114" s="938">
        <v>0</v>
      </c>
      <c r="G114" s="938">
        <v>0</v>
      </c>
      <c r="H114" s="928">
        <f t="shared" si="13"/>
        <v>0</v>
      </c>
      <c r="I114" s="938">
        <v>0</v>
      </c>
      <c r="J114" s="938">
        <v>0</v>
      </c>
      <c r="K114" s="938">
        <f t="shared" si="8"/>
        <v>7992</v>
      </c>
      <c r="L114" s="939">
        <v>0</v>
      </c>
      <c r="M114" s="939">
        <v>0</v>
      </c>
      <c r="N114" s="939">
        <v>28</v>
      </c>
      <c r="O114" s="939">
        <v>7964</v>
      </c>
      <c r="P114" s="939">
        <v>0</v>
      </c>
      <c r="Q114" s="939">
        <v>0</v>
      </c>
      <c r="R114" s="939">
        <v>0</v>
      </c>
      <c r="S114" s="939">
        <v>0</v>
      </c>
      <c r="T114" s="934"/>
      <c r="V114" s="940"/>
      <c r="X114" s="930"/>
      <c r="Y114" s="930"/>
      <c r="AH114" s="930"/>
      <c r="AI114" s="935"/>
      <c r="AJ114" s="936"/>
      <c r="AK114" s="940"/>
    </row>
    <row r="115" spans="1:37" x14ac:dyDescent="0.2">
      <c r="A115" s="719">
        <v>103</v>
      </c>
      <c r="B115" s="120" t="s">
        <v>219</v>
      </c>
      <c r="C115" s="720" t="s">
        <v>220</v>
      </c>
      <c r="D115" s="938">
        <f t="shared" si="10"/>
        <v>0</v>
      </c>
      <c r="E115" s="938">
        <f t="shared" si="12"/>
        <v>0</v>
      </c>
      <c r="F115" s="938">
        <v>0</v>
      </c>
      <c r="G115" s="938">
        <v>0</v>
      </c>
      <c r="H115" s="928">
        <f t="shared" si="13"/>
        <v>0</v>
      </c>
      <c r="I115" s="938">
        <v>0</v>
      </c>
      <c r="J115" s="938">
        <v>0</v>
      </c>
      <c r="K115" s="938">
        <f t="shared" si="8"/>
        <v>0</v>
      </c>
      <c r="L115" s="939">
        <v>0</v>
      </c>
      <c r="M115" s="939">
        <v>0</v>
      </c>
      <c r="N115" s="939">
        <v>0</v>
      </c>
      <c r="O115" s="939">
        <v>0</v>
      </c>
      <c r="P115" s="939">
        <v>0</v>
      </c>
      <c r="Q115" s="939">
        <v>0</v>
      </c>
      <c r="R115" s="939">
        <v>0</v>
      </c>
      <c r="S115" s="939">
        <v>0</v>
      </c>
      <c r="T115" s="934"/>
      <c r="V115" s="940"/>
      <c r="X115" s="930"/>
      <c r="Y115" s="930"/>
      <c r="AH115" s="930"/>
      <c r="AI115" s="935"/>
      <c r="AJ115" s="936"/>
      <c r="AK115" s="940"/>
    </row>
    <row r="116" spans="1:37" x14ac:dyDescent="0.2">
      <c r="A116" s="719">
        <v>104</v>
      </c>
      <c r="B116" s="722" t="s">
        <v>221</v>
      </c>
      <c r="C116" s="121" t="s">
        <v>222</v>
      </c>
      <c r="D116" s="938">
        <f t="shared" si="10"/>
        <v>1138</v>
      </c>
      <c r="E116" s="938">
        <f t="shared" si="12"/>
        <v>0</v>
      </c>
      <c r="F116" s="938">
        <v>0</v>
      </c>
      <c r="G116" s="938">
        <v>0</v>
      </c>
      <c r="H116" s="928">
        <f t="shared" si="13"/>
        <v>0</v>
      </c>
      <c r="I116" s="938">
        <v>0</v>
      </c>
      <c r="J116" s="938">
        <v>0</v>
      </c>
      <c r="K116" s="938">
        <f t="shared" si="8"/>
        <v>1138</v>
      </c>
      <c r="L116" s="939">
        <v>0</v>
      </c>
      <c r="M116" s="939">
        <v>0</v>
      </c>
      <c r="N116" s="939">
        <v>0</v>
      </c>
      <c r="O116" s="939">
        <v>1138</v>
      </c>
      <c r="P116" s="939">
        <v>0</v>
      </c>
      <c r="Q116" s="939">
        <v>0</v>
      </c>
      <c r="R116" s="939">
        <v>0</v>
      </c>
      <c r="S116" s="939">
        <v>0</v>
      </c>
      <c r="T116" s="934"/>
      <c r="V116" s="940"/>
      <c r="X116" s="930"/>
      <c r="Y116" s="930"/>
      <c r="AH116" s="930"/>
      <c r="AI116" s="935"/>
      <c r="AJ116" s="936"/>
      <c r="AK116" s="940"/>
    </row>
    <row r="117" spans="1:37" x14ac:dyDescent="0.2">
      <c r="A117" s="719">
        <v>105</v>
      </c>
      <c r="B117" s="722" t="s">
        <v>223</v>
      </c>
      <c r="C117" s="121" t="s">
        <v>224</v>
      </c>
      <c r="D117" s="938">
        <f t="shared" si="10"/>
        <v>0</v>
      </c>
      <c r="E117" s="938">
        <f t="shared" si="12"/>
        <v>0</v>
      </c>
      <c r="F117" s="938">
        <v>0</v>
      </c>
      <c r="G117" s="938">
        <v>0</v>
      </c>
      <c r="H117" s="928">
        <f t="shared" si="13"/>
        <v>0</v>
      </c>
      <c r="I117" s="938">
        <v>0</v>
      </c>
      <c r="J117" s="938">
        <v>0</v>
      </c>
      <c r="K117" s="938">
        <f t="shared" si="8"/>
        <v>0</v>
      </c>
      <c r="L117" s="939">
        <v>0</v>
      </c>
      <c r="M117" s="939">
        <v>0</v>
      </c>
      <c r="N117" s="939">
        <v>0</v>
      </c>
      <c r="O117" s="939">
        <v>0</v>
      </c>
      <c r="P117" s="939">
        <v>0</v>
      </c>
      <c r="Q117" s="939">
        <v>0</v>
      </c>
      <c r="R117" s="939">
        <v>0</v>
      </c>
      <c r="S117" s="939">
        <v>0</v>
      </c>
      <c r="T117" s="934"/>
      <c r="V117" s="940"/>
      <c r="X117" s="930"/>
      <c r="Y117" s="930"/>
      <c r="AH117" s="930"/>
      <c r="AI117" s="935"/>
      <c r="AJ117" s="936"/>
      <c r="AK117" s="940"/>
    </row>
    <row r="118" spans="1:37" ht="24" x14ac:dyDescent="0.2">
      <c r="A118" s="719">
        <v>106</v>
      </c>
      <c r="B118" s="722" t="s">
        <v>225</v>
      </c>
      <c r="C118" s="121" t="s">
        <v>226</v>
      </c>
      <c r="D118" s="938">
        <f t="shared" si="10"/>
        <v>0</v>
      </c>
      <c r="E118" s="938">
        <f t="shared" si="12"/>
        <v>0</v>
      </c>
      <c r="F118" s="938">
        <v>0</v>
      </c>
      <c r="G118" s="938">
        <v>0</v>
      </c>
      <c r="H118" s="928">
        <f t="shared" si="13"/>
        <v>0</v>
      </c>
      <c r="I118" s="938">
        <v>0</v>
      </c>
      <c r="J118" s="938">
        <v>0</v>
      </c>
      <c r="K118" s="938">
        <f t="shared" si="8"/>
        <v>0</v>
      </c>
      <c r="L118" s="939">
        <v>0</v>
      </c>
      <c r="M118" s="939">
        <v>0</v>
      </c>
      <c r="N118" s="939">
        <v>0</v>
      </c>
      <c r="O118" s="939">
        <v>0</v>
      </c>
      <c r="P118" s="939">
        <v>0</v>
      </c>
      <c r="Q118" s="939">
        <v>0</v>
      </c>
      <c r="R118" s="939">
        <v>0</v>
      </c>
      <c r="S118" s="939">
        <v>0</v>
      </c>
      <c r="T118" s="934"/>
      <c r="V118" s="940"/>
      <c r="X118" s="930"/>
      <c r="Y118" s="930"/>
      <c r="AH118" s="930"/>
      <c r="AI118" s="935"/>
      <c r="AJ118" s="936"/>
      <c r="AK118" s="940"/>
    </row>
    <row r="119" spans="1:37" ht="24" x14ac:dyDescent="0.2">
      <c r="A119" s="719">
        <v>107</v>
      </c>
      <c r="B119" s="722" t="s">
        <v>227</v>
      </c>
      <c r="C119" s="121" t="s">
        <v>228</v>
      </c>
      <c r="D119" s="938">
        <f t="shared" si="10"/>
        <v>0</v>
      </c>
      <c r="E119" s="938">
        <f t="shared" si="12"/>
        <v>0</v>
      </c>
      <c r="F119" s="938">
        <v>0</v>
      </c>
      <c r="G119" s="938">
        <v>0</v>
      </c>
      <c r="H119" s="928">
        <f t="shared" si="13"/>
        <v>0</v>
      </c>
      <c r="I119" s="938">
        <v>0</v>
      </c>
      <c r="J119" s="938">
        <v>0</v>
      </c>
      <c r="K119" s="938">
        <f t="shared" si="8"/>
        <v>0</v>
      </c>
      <c r="L119" s="939">
        <v>0</v>
      </c>
      <c r="M119" s="939">
        <v>0</v>
      </c>
      <c r="N119" s="939">
        <v>0</v>
      </c>
      <c r="O119" s="939">
        <v>0</v>
      </c>
      <c r="P119" s="939">
        <v>0</v>
      </c>
      <c r="Q119" s="939">
        <v>0</v>
      </c>
      <c r="R119" s="939">
        <v>0</v>
      </c>
      <c r="S119" s="939">
        <v>0</v>
      </c>
      <c r="T119" s="934"/>
      <c r="V119" s="940"/>
      <c r="X119" s="930"/>
      <c r="Y119" s="930"/>
      <c r="AH119" s="930"/>
      <c r="AI119" s="935"/>
      <c r="AJ119" s="936"/>
      <c r="AK119" s="940"/>
    </row>
    <row r="120" spans="1:37" x14ac:dyDescent="0.2">
      <c r="A120" s="719">
        <v>108</v>
      </c>
      <c r="B120" s="722" t="s">
        <v>229</v>
      </c>
      <c r="C120" s="121" t="s">
        <v>230</v>
      </c>
      <c r="D120" s="938">
        <f t="shared" si="10"/>
        <v>0</v>
      </c>
      <c r="E120" s="938">
        <f t="shared" si="12"/>
        <v>0</v>
      </c>
      <c r="F120" s="938">
        <v>0</v>
      </c>
      <c r="G120" s="938">
        <v>0</v>
      </c>
      <c r="H120" s="928">
        <f t="shared" si="13"/>
        <v>0</v>
      </c>
      <c r="I120" s="938">
        <v>0</v>
      </c>
      <c r="J120" s="938">
        <v>0</v>
      </c>
      <c r="K120" s="938">
        <f t="shared" si="8"/>
        <v>0</v>
      </c>
      <c r="L120" s="939">
        <v>0</v>
      </c>
      <c r="M120" s="939">
        <v>0</v>
      </c>
      <c r="N120" s="939">
        <v>0</v>
      </c>
      <c r="O120" s="939">
        <v>0</v>
      </c>
      <c r="P120" s="939">
        <v>0</v>
      </c>
      <c r="Q120" s="939">
        <v>0</v>
      </c>
      <c r="R120" s="939">
        <v>0</v>
      </c>
      <c r="S120" s="939">
        <v>0</v>
      </c>
      <c r="T120" s="934"/>
      <c r="V120" s="940"/>
      <c r="X120" s="930"/>
      <c r="Y120" s="930"/>
      <c r="AH120" s="930"/>
      <c r="AI120" s="935"/>
      <c r="AJ120" s="936"/>
      <c r="AK120" s="940"/>
    </row>
    <row r="121" spans="1:37" ht="24" x14ac:dyDescent="0.2">
      <c r="A121" s="719">
        <v>109</v>
      </c>
      <c r="B121" s="722" t="s">
        <v>231</v>
      </c>
      <c r="C121" s="121" t="s">
        <v>232</v>
      </c>
      <c r="D121" s="938">
        <f t="shared" si="10"/>
        <v>29254</v>
      </c>
      <c r="E121" s="938">
        <f t="shared" si="12"/>
        <v>0</v>
      </c>
      <c r="F121" s="938">
        <v>0</v>
      </c>
      <c r="G121" s="938">
        <v>0</v>
      </c>
      <c r="H121" s="928">
        <f t="shared" si="13"/>
        <v>0</v>
      </c>
      <c r="I121" s="938">
        <v>0</v>
      </c>
      <c r="J121" s="938">
        <v>0</v>
      </c>
      <c r="K121" s="938">
        <f t="shared" si="8"/>
        <v>29254</v>
      </c>
      <c r="L121" s="939">
        <v>0</v>
      </c>
      <c r="M121" s="939">
        <v>0</v>
      </c>
      <c r="N121" s="939">
        <v>8</v>
      </c>
      <c r="O121" s="939">
        <v>29246</v>
      </c>
      <c r="P121" s="939">
        <v>0</v>
      </c>
      <c r="Q121" s="939">
        <v>0</v>
      </c>
      <c r="R121" s="939">
        <v>0</v>
      </c>
      <c r="S121" s="939">
        <v>0</v>
      </c>
      <c r="T121" s="934"/>
      <c r="V121" s="940"/>
      <c r="X121" s="930"/>
      <c r="Y121" s="930"/>
      <c r="AH121" s="930"/>
      <c r="AI121" s="935"/>
      <c r="AJ121" s="936"/>
      <c r="AK121" s="940"/>
    </row>
    <row r="122" spans="1:37" x14ac:dyDescent="0.2">
      <c r="A122" s="719">
        <v>110</v>
      </c>
      <c r="B122" s="728" t="s">
        <v>233</v>
      </c>
      <c r="C122" s="729" t="s">
        <v>234</v>
      </c>
      <c r="D122" s="938">
        <f t="shared" si="10"/>
        <v>0</v>
      </c>
      <c r="E122" s="938">
        <f t="shared" si="12"/>
        <v>0</v>
      </c>
      <c r="F122" s="938">
        <v>0</v>
      </c>
      <c r="G122" s="938">
        <v>0</v>
      </c>
      <c r="H122" s="928">
        <f t="shared" si="13"/>
        <v>0</v>
      </c>
      <c r="I122" s="938">
        <v>0</v>
      </c>
      <c r="J122" s="938">
        <v>0</v>
      </c>
      <c r="K122" s="938">
        <f t="shared" si="8"/>
        <v>0</v>
      </c>
      <c r="L122" s="939">
        <v>0</v>
      </c>
      <c r="M122" s="939">
        <v>0</v>
      </c>
      <c r="N122" s="939">
        <v>0</v>
      </c>
      <c r="O122" s="939">
        <v>0</v>
      </c>
      <c r="P122" s="939">
        <v>0</v>
      </c>
      <c r="Q122" s="939">
        <v>0</v>
      </c>
      <c r="R122" s="939">
        <v>0</v>
      </c>
      <c r="S122" s="939">
        <v>0</v>
      </c>
      <c r="T122" s="934"/>
      <c r="V122" s="940"/>
      <c r="X122" s="930"/>
      <c r="Y122" s="930"/>
      <c r="AH122" s="930"/>
      <c r="AI122" s="935"/>
      <c r="AJ122" s="936"/>
      <c r="AK122" s="940"/>
    </row>
    <row r="123" spans="1:37" ht="24" x14ac:dyDescent="0.2">
      <c r="A123" s="719">
        <v>111</v>
      </c>
      <c r="B123" s="728" t="s">
        <v>235</v>
      </c>
      <c r="C123" s="729" t="s">
        <v>236</v>
      </c>
      <c r="D123" s="938">
        <f t="shared" si="10"/>
        <v>130</v>
      </c>
      <c r="E123" s="938">
        <f t="shared" si="12"/>
        <v>0</v>
      </c>
      <c r="F123" s="938">
        <v>0</v>
      </c>
      <c r="G123" s="938">
        <v>0</v>
      </c>
      <c r="H123" s="928">
        <f t="shared" si="13"/>
        <v>0</v>
      </c>
      <c r="I123" s="938">
        <v>0</v>
      </c>
      <c r="J123" s="938">
        <v>0</v>
      </c>
      <c r="K123" s="938">
        <f t="shared" si="8"/>
        <v>130</v>
      </c>
      <c r="L123" s="939">
        <v>0</v>
      </c>
      <c r="M123" s="939">
        <v>0</v>
      </c>
      <c r="N123" s="939">
        <v>0</v>
      </c>
      <c r="O123" s="939">
        <v>130</v>
      </c>
      <c r="P123" s="939">
        <v>0</v>
      </c>
      <c r="Q123" s="939">
        <v>0</v>
      </c>
      <c r="R123" s="939">
        <v>0</v>
      </c>
      <c r="S123" s="939">
        <v>0</v>
      </c>
      <c r="T123" s="934"/>
      <c r="V123" s="940"/>
      <c r="X123" s="930"/>
      <c r="Y123" s="930"/>
      <c r="AH123" s="930"/>
      <c r="AI123" s="935"/>
      <c r="AJ123" s="936"/>
      <c r="AK123" s="940"/>
    </row>
    <row r="124" spans="1:37" x14ac:dyDescent="0.2">
      <c r="A124" s="719">
        <v>112</v>
      </c>
      <c r="B124" s="721" t="s">
        <v>237</v>
      </c>
      <c r="C124" s="720" t="s">
        <v>238</v>
      </c>
      <c r="D124" s="938">
        <f t="shared" si="10"/>
        <v>0</v>
      </c>
      <c r="E124" s="938">
        <f t="shared" si="12"/>
        <v>0</v>
      </c>
      <c r="F124" s="938">
        <v>0</v>
      </c>
      <c r="G124" s="938">
        <v>0</v>
      </c>
      <c r="H124" s="928">
        <f t="shared" si="13"/>
        <v>0</v>
      </c>
      <c r="I124" s="938">
        <v>0</v>
      </c>
      <c r="J124" s="938">
        <v>0</v>
      </c>
      <c r="K124" s="938">
        <f t="shared" si="8"/>
        <v>0</v>
      </c>
      <c r="L124" s="939">
        <v>0</v>
      </c>
      <c r="M124" s="939">
        <v>0</v>
      </c>
      <c r="N124" s="939">
        <v>0</v>
      </c>
      <c r="O124" s="939">
        <v>0</v>
      </c>
      <c r="P124" s="939">
        <v>0</v>
      </c>
      <c r="Q124" s="939">
        <v>0</v>
      </c>
      <c r="R124" s="939">
        <v>0</v>
      </c>
      <c r="S124" s="939">
        <v>0</v>
      </c>
      <c r="T124" s="934"/>
      <c r="V124" s="940"/>
      <c r="X124" s="930"/>
      <c r="Y124" s="930"/>
      <c r="AH124" s="930"/>
      <c r="AI124" s="935"/>
      <c r="AJ124" s="936"/>
      <c r="AK124" s="940"/>
    </row>
    <row r="125" spans="1:37" ht="24" x14ac:dyDescent="0.2">
      <c r="A125" s="719">
        <v>113</v>
      </c>
      <c r="B125" s="722" t="s">
        <v>239</v>
      </c>
      <c r="C125" s="121" t="s">
        <v>240</v>
      </c>
      <c r="D125" s="938">
        <f t="shared" si="10"/>
        <v>0</v>
      </c>
      <c r="E125" s="938">
        <f t="shared" si="12"/>
        <v>0</v>
      </c>
      <c r="F125" s="938">
        <v>0</v>
      </c>
      <c r="G125" s="938">
        <v>0</v>
      </c>
      <c r="H125" s="928">
        <f t="shared" si="13"/>
        <v>0</v>
      </c>
      <c r="I125" s="938">
        <v>0</v>
      </c>
      <c r="J125" s="938">
        <v>0</v>
      </c>
      <c r="K125" s="938">
        <f t="shared" si="8"/>
        <v>0</v>
      </c>
      <c r="L125" s="939">
        <v>0</v>
      </c>
      <c r="M125" s="939">
        <v>0</v>
      </c>
      <c r="N125" s="939">
        <v>0</v>
      </c>
      <c r="O125" s="939">
        <v>0</v>
      </c>
      <c r="P125" s="939">
        <v>0</v>
      </c>
      <c r="Q125" s="939">
        <v>0</v>
      </c>
      <c r="R125" s="939">
        <v>0</v>
      </c>
      <c r="S125" s="939">
        <v>0</v>
      </c>
      <c r="T125" s="934"/>
      <c r="V125" s="940"/>
      <c r="X125" s="930"/>
      <c r="Y125" s="930"/>
      <c r="AH125" s="930"/>
      <c r="AI125" s="935"/>
      <c r="AJ125" s="936"/>
      <c r="AK125" s="940"/>
    </row>
    <row r="126" spans="1:37" ht="24" x14ac:dyDescent="0.2">
      <c r="A126" s="719">
        <v>114</v>
      </c>
      <c r="B126" s="120" t="s">
        <v>241</v>
      </c>
      <c r="C126" s="730" t="s">
        <v>242</v>
      </c>
      <c r="D126" s="938">
        <f t="shared" si="10"/>
        <v>0</v>
      </c>
      <c r="E126" s="938">
        <f t="shared" si="12"/>
        <v>0</v>
      </c>
      <c r="F126" s="938">
        <v>0</v>
      </c>
      <c r="G126" s="938">
        <v>0</v>
      </c>
      <c r="H126" s="928">
        <f t="shared" si="13"/>
        <v>0</v>
      </c>
      <c r="I126" s="938">
        <v>0</v>
      </c>
      <c r="J126" s="938">
        <v>0</v>
      </c>
      <c r="K126" s="938">
        <f t="shared" si="8"/>
        <v>0</v>
      </c>
      <c r="L126" s="939">
        <v>0</v>
      </c>
      <c r="M126" s="939">
        <v>0</v>
      </c>
      <c r="N126" s="939">
        <v>0</v>
      </c>
      <c r="O126" s="939">
        <v>0</v>
      </c>
      <c r="P126" s="939">
        <v>0</v>
      </c>
      <c r="Q126" s="939">
        <v>0</v>
      </c>
      <c r="R126" s="939">
        <v>0</v>
      </c>
      <c r="S126" s="939">
        <v>0</v>
      </c>
      <c r="T126" s="934"/>
      <c r="V126" s="940"/>
      <c r="X126" s="930"/>
      <c r="Y126" s="930"/>
      <c r="AH126" s="930"/>
      <c r="AI126" s="935"/>
      <c r="AJ126" s="936"/>
      <c r="AK126" s="940"/>
    </row>
    <row r="127" spans="1:37" x14ac:dyDescent="0.2">
      <c r="A127" s="719">
        <v>115</v>
      </c>
      <c r="B127" s="722" t="s">
        <v>243</v>
      </c>
      <c r="C127" s="306" t="s">
        <v>385</v>
      </c>
      <c r="D127" s="938">
        <f t="shared" si="10"/>
        <v>0</v>
      </c>
      <c r="E127" s="938">
        <f t="shared" si="12"/>
        <v>0</v>
      </c>
      <c r="F127" s="938">
        <v>0</v>
      </c>
      <c r="G127" s="938">
        <v>0</v>
      </c>
      <c r="H127" s="928">
        <f t="shared" si="13"/>
        <v>0</v>
      </c>
      <c r="I127" s="938">
        <v>0</v>
      </c>
      <c r="J127" s="938">
        <v>0</v>
      </c>
      <c r="K127" s="938">
        <f t="shared" si="8"/>
        <v>0</v>
      </c>
      <c r="L127" s="939">
        <v>0</v>
      </c>
      <c r="M127" s="939">
        <v>0</v>
      </c>
      <c r="N127" s="939">
        <v>0</v>
      </c>
      <c r="O127" s="939">
        <v>0</v>
      </c>
      <c r="P127" s="939">
        <v>0</v>
      </c>
      <c r="Q127" s="939">
        <v>0</v>
      </c>
      <c r="R127" s="939">
        <v>0</v>
      </c>
      <c r="S127" s="939">
        <v>0</v>
      </c>
      <c r="T127" s="934"/>
      <c r="V127" s="940"/>
      <c r="X127" s="930"/>
      <c r="Y127" s="930"/>
      <c r="AH127" s="930"/>
      <c r="AI127" s="935"/>
      <c r="AJ127" s="936"/>
      <c r="AK127" s="940"/>
    </row>
    <row r="128" spans="1:37" x14ac:dyDescent="0.2">
      <c r="A128" s="719">
        <v>116</v>
      </c>
      <c r="B128" s="721" t="s">
        <v>244</v>
      </c>
      <c r="C128" s="121" t="s">
        <v>245</v>
      </c>
      <c r="D128" s="938">
        <f t="shared" si="10"/>
        <v>0</v>
      </c>
      <c r="E128" s="938">
        <f t="shared" si="12"/>
        <v>0</v>
      </c>
      <c r="F128" s="938">
        <v>0</v>
      </c>
      <c r="G128" s="938">
        <v>0</v>
      </c>
      <c r="H128" s="928">
        <f t="shared" si="13"/>
        <v>0</v>
      </c>
      <c r="I128" s="938">
        <v>0</v>
      </c>
      <c r="J128" s="938">
        <v>0</v>
      </c>
      <c r="K128" s="938">
        <f t="shared" si="8"/>
        <v>0</v>
      </c>
      <c r="L128" s="939">
        <v>0</v>
      </c>
      <c r="M128" s="939">
        <v>0</v>
      </c>
      <c r="N128" s="939">
        <v>0</v>
      </c>
      <c r="O128" s="939">
        <v>0</v>
      </c>
      <c r="P128" s="939">
        <v>0</v>
      </c>
      <c r="Q128" s="939">
        <v>0</v>
      </c>
      <c r="R128" s="939">
        <v>0</v>
      </c>
      <c r="S128" s="939">
        <v>0</v>
      </c>
      <c r="T128" s="934"/>
      <c r="V128" s="940"/>
      <c r="X128" s="930"/>
      <c r="Y128" s="930"/>
      <c r="AH128" s="930"/>
      <c r="AI128" s="935"/>
      <c r="AJ128" s="936"/>
      <c r="AK128" s="940"/>
    </row>
    <row r="129" spans="1:37" ht="24" x14ac:dyDescent="0.2">
      <c r="A129" s="719">
        <v>117</v>
      </c>
      <c r="B129" s="721" t="s">
        <v>246</v>
      </c>
      <c r="C129" s="121" t="s">
        <v>247</v>
      </c>
      <c r="D129" s="938">
        <f t="shared" si="10"/>
        <v>0</v>
      </c>
      <c r="E129" s="938">
        <f t="shared" si="12"/>
        <v>0</v>
      </c>
      <c r="F129" s="938">
        <v>0</v>
      </c>
      <c r="G129" s="938">
        <v>0</v>
      </c>
      <c r="H129" s="928">
        <f t="shared" si="13"/>
        <v>0</v>
      </c>
      <c r="I129" s="938">
        <v>0</v>
      </c>
      <c r="J129" s="938">
        <v>0</v>
      </c>
      <c r="K129" s="938">
        <f t="shared" si="8"/>
        <v>0</v>
      </c>
      <c r="L129" s="939">
        <v>0</v>
      </c>
      <c r="M129" s="939">
        <v>0</v>
      </c>
      <c r="N129" s="939">
        <v>0</v>
      </c>
      <c r="O129" s="939">
        <v>0</v>
      </c>
      <c r="P129" s="939">
        <v>0</v>
      </c>
      <c r="Q129" s="939">
        <v>0</v>
      </c>
      <c r="R129" s="939">
        <v>0</v>
      </c>
      <c r="S129" s="939">
        <v>0</v>
      </c>
      <c r="T129" s="934"/>
      <c r="V129" s="940"/>
      <c r="X129" s="930"/>
      <c r="Y129" s="930"/>
      <c r="AH129" s="930"/>
      <c r="AI129" s="935"/>
      <c r="AJ129" s="936"/>
      <c r="AK129" s="940"/>
    </row>
    <row r="130" spans="1:37" x14ac:dyDescent="0.2">
      <c r="A130" s="719">
        <v>118</v>
      </c>
      <c r="B130" s="721" t="s">
        <v>248</v>
      </c>
      <c r="C130" s="121" t="s">
        <v>249</v>
      </c>
      <c r="D130" s="938">
        <f t="shared" si="10"/>
        <v>0</v>
      </c>
      <c r="E130" s="938">
        <f t="shared" si="12"/>
        <v>0</v>
      </c>
      <c r="F130" s="938">
        <v>0</v>
      </c>
      <c r="G130" s="938">
        <v>0</v>
      </c>
      <c r="H130" s="928">
        <f t="shared" si="13"/>
        <v>0</v>
      </c>
      <c r="I130" s="938">
        <v>0</v>
      </c>
      <c r="J130" s="938">
        <v>0</v>
      </c>
      <c r="K130" s="938">
        <f t="shared" si="8"/>
        <v>0</v>
      </c>
      <c r="L130" s="939">
        <v>0</v>
      </c>
      <c r="M130" s="939">
        <v>0</v>
      </c>
      <c r="N130" s="939">
        <v>0</v>
      </c>
      <c r="O130" s="939">
        <v>0</v>
      </c>
      <c r="P130" s="939">
        <v>0</v>
      </c>
      <c r="Q130" s="939">
        <v>0</v>
      </c>
      <c r="R130" s="939">
        <v>0</v>
      </c>
      <c r="S130" s="939">
        <v>0</v>
      </c>
      <c r="T130" s="934"/>
      <c r="V130" s="940"/>
      <c r="X130" s="930"/>
      <c r="Y130" s="930"/>
      <c r="AH130" s="930"/>
      <c r="AI130" s="935"/>
      <c r="AJ130" s="936"/>
      <c r="AK130" s="940"/>
    </row>
    <row r="131" spans="1:37" x14ac:dyDescent="0.2">
      <c r="A131" s="719">
        <v>119</v>
      </c>
      <c r="B131" s="120" t="s">
        <v>250</v>
      </c>
      <c r="C131" s="720" t="s">
        <v>251</v>
      </c>
      <c r="D131" s="938">
        <f t="shared" si="10"/>
        <v>1391</v>
      </c>
      <c r="E131" s="938">
        <f t="shared" si="12"/>
        <v>0</v>
      </c>
      <c r="F131" s="939">
        <v>0</v>
      </c>
      <c r="G131" s="939">
        <v>0</v>
      </c>
      <c r="H131" s="928">
        <f t="shared" si="13"/>
        <v>0</v>
      </c>
      <c r="I131" s="939">
        <v>0</v>
      </c>
      <c r="J131" s="939">
        <v>0</v>
      </c>
      <c r="K131" s="938">
        <f t="shared" si="8"/>
        <v>1391</v>
      </c>
      <c r="L131" s="939">
        <v>0</v>
      </c>
      <c r="M131" s="939">
        <v>0</v>
      </c>
      <c r="N131" s="939">
        <v>8</v>
      </c>
      <c r="O131" s="939">
        <v>1383</v>
      </c>
      <c r="P131" s="939">
        <v>0</v>
      </c>
      <c r="Q131" s="939">
        <v>0</v>
      </c>
      <c r="R131" s="939">
        <v>0</v>
      </c>
      <c r="S131" s="939">
        <v>0</v>
      </c>
      <c r="T131" s="934"/>
      <c r="V131" s="940"/>
      <c r="X131" s="930"/>
      <c r="Y131" s="930"/>
      <c r="AH131" s="930"/>
      <c r="AI131" s="935"/>
      <c r="AJ131" s="936"/>
      <c r="AK131" s="940"/>
    </row>
    <row r="132" spans="1:37" x14ac:dyDescent="0.2">
      <c r="A132" s="719">
        <v>120</v>
      </c>
      <c r="B132" s="721" t="s">
        <v>252</v>
      </c>
      <c r="C132" s="720" t="s">
        <v>253</v>
      </c>
      <c r="D132" s="938">
        <f t="shared" si="10"/>
        <v>0</v>
      </c>
      <c r="E132" s="938">
        <f t="shared" si="12"/>
        <v>0</v>
      </c>
      <c r="F132" s="939">
        <v>0</v>
      </c>
      <c r="G132" s="939">
        <v>0</v>
      </c>
      <c r="H132" s="928">
        <f t="shared" si="13"/>
        <v>0</v>
      </c>
      <c r="I132" s="939">
        <v>0</v>
      </c>
      <c r="J132" s="939">
        <v>0</v>
      </c>
      <c r="K132" s="938">
        <f t="shared" si="8"/>
        <v>0</v>
      </c>
      <c r="L132" s="939">
        <v>0</v>
      </c>
      <c r="M132" s="939">
        <v>0</v>
      </c>
      <c r="N132" s="939">
        <v>0</v>
      </c>
      <c r="O132" s="939">
        <v>0</v>
      </c>
      <c r="P132" s="939">
        <v>0</v>
      </c>
      <c r="Q132" s="939">
        <v>0</v>
      </c>
      <c r="R132" s="939">
        <v>0</v>
      </c>
      <c r="S132" s="939">
        <v>0</v>
      </c>
      <c r="T132" s="934"/>
      <c r="V132" s="940"/>
      <c r="X132" s="930"/>
      <c r="Y132" s="930"/>
      <c r="AH132" s="930"/>
      <c r="AI132" s="935"/>
      <c r="AJ132" s="936"/>
      <c r="AK132" s="940"/>
    </row>
    <row r="133" spans="1:37" x14ac:dyDescent="0.2">
      <c r="A133" s="719">
        <v>121</v>
      </c>
      <c r="B133" s="722" t="s">
        <v>254</v>
      </c>
      <c r="C133" s="121" t="s">
        <v>255</v>
      </c>
      <c r="D133" s="938">
        <f t="shared" si="10"/>
        <v>9754</v>
      </c>
      <c r="E133" s="938">
        <f t="shared" si="12"/>
        <v>0</v>
      </c>
      <c r="F133" s="939">
        <v>0</v>
      </c>
      <c r="G133" s="939">
        <v>0</v>
      </c>
      <c r="H133" s="928">
        <f t="shared" si="13"/>
        <v>0</v>
      </c>
      <c r="I133" s="939">
        <v>0</v>
      </c>
      <c r="J133" s="939">
        <v>0</v>
      </c>
      <c r="K133" s="938">
        <f t="shared" si="8"/>
        <v>9754</v>
      </c>
      <c r="L133" s="939">
        <v>0</v>
      </c>
      <c r="M133" s="939">
        <v>0</v>
      </c>
      <c r="N133" s="939">
        <v>12</v>
      </c>
      <c r="O133" s="939">
        <v>9742</v>
      </c>
      <c r="P133" s="939">
        <v>0</v>
      </c>
      <c r="Q133" s="939">
        <v>0</v>
      </c>
      <c r="R133" s="939">
        <v>0</v>
      </c>
      <c r="S133" s="939">
        <v>0</v>
      </c>
      <c r="T133" s="934"/>
      <c r="V133" s="940"/>
      <c r="X133" s="930"/>
      <c r="Y133" s="930"/>
      <c r="AH133" s="930"/>
      <c r="AI133" s="935"/>
      <c r="AJ133" s="936"/>
      <c r="AK133" s="940"/>
    </row>
    <row r="134" spans="1:37" x14ac:dyDescent="0.2">
      <c r="A134" s="719">
        <v>122</v>
      </c>
      <c r="B134" s="722" t="s">
        <v>256</v>
      </c>
      <c r="C134" s="121" t="s">
        <v>257</v>
      </c>
      <c r="D134" s="938">
        <f t="shared" si="10"/>
        <v>0</v>
      </c>
      <c r="E134" s="938">
        <f t="shared" si="12"/>
        <v>0</v>
      </c>
      <c r="F134" s="939">
        <v>0</v>
      </c>
      <c r="G134" s="939">
        <v>0</v>
      </c>
      <c r="H134" s="928">
        <f t="shared" si="13"/>
        <v>0</v>
      </c>
      <c r="I134" s="939">
        <v>0</v>
      </c>
      <c r="J134" s="939">
        <v>0</v>
      </c>
      <c r="K134" s="938">
        <f t="shared" si="8"/>
        <v>0</v>
      </c>
      <c r="L134" s="939">
        <v>0</v>
      </c>
      <c r="M134" s="939">
        <v>0</v>
      </c>
      <c r="N134" s="939">
        <v>0</v>
      </c>
      <c r="O134" s="939">
        <v>0</v>
      </c>
      <c r="P134" s="939">
        <v>0</v>
      </c>
      <c r="Q134" s="939">
        <v>0</v>
      </c>
      <c r="R134" s="939">
        <v>0</v>
      </c>
      <c r="S134" s="939">
        <v>0</v>
      </c>
      <c r="T134" s="934"/>
      <c r="V134" s="940"/>
      <c r="X134" s="930"/>
      <c r="Y134" s="930"/>
      <c r="AH134" s="930"/>
      <c r="AI134" s="935"/>
      <c r="AJ134" s="936"/>
      <c r="AK134" s="940"/>
    </row>
    <row r="135" spans="1:37" x14ac:dyDescent="0.2">
      <c r="A135" s="719">
        <v>123</v>
      </c>
      <c r="B135" s="722" t="s">
        <v>258</v>
      </c>
      <c r="C135" s="121" t="s">
        <v>259</v>
      </c>
      <c r="D135" s="938">
        <f t="shared" si="10"/>
        <v>223231</v>
      </c>
      <c r="E135" s="938">
        <f t="shared" si="12"/>
        <v>0</v>
      </c>
      <c r="F135" s="939">
        <v>0</v>
      </c>
      <c r="G135" s="939">
        <v>0</v>
      </c>
      <c r="H135" s="928">
        <f t="shared" si="13"/>
        <v>0</v>
      </c>
      <c r="I135" s="939">
        <v>0</v>
      </c>
      <c r="J135" s="939">
        <v>0</v>
      </c>
      <c r="K135" s="938">
        <f t="shared" si="8"/>
        <v>223231</v>
      </c>
      <c r="L135" s="939">
        <v>0</v>
      </c>
      <c r="M135" s="939">
        <v>0</v>
      </c>
      <c r="N135" s="939">
        <v>0</v>
      </c>
      <c r="O135" s="939">
        <v>223231</v>
      </c>
      <c r="P135" s="939">
        <v>0</v>
      </c>
      <c r="Q135" s="939">
        <v>0</v>
      </c>
      <c r="R135" s="939">
        <v>0</v>
      </c>
      <c r="S135" s="939">
        <v>0</v>
      </c>
      <c r="T135" s="934"/>
      <c r="V135" s="940"/>
      <c r="X135" s="930"/>
      <c r="Y135" s="930"/>
      <c r="AH135" s="930"/>
      <c r="AI135" s="935"/>
      <c r="AJ135" s="936"/>
      <c r="AK135" s="940"/>
    </row>
    <row r="136" spans="1:37" x14ac:dyDescent="0.2">
      <c r="A136" s="719">
        <v>124</v>
      </c>
      <c r="B136" s="722" t="s">
        <v>260</v>
      </c>
      <c r="C136" s="121" t="s">
        <v>261</v>
      </c>
      <c r="D136" s="938">
        <f t="shared" si="10"/>
        <v>180470</v>
      </c>
      <c r="E136" s="938">
        <f t="shared" si="12"/>
        <v>0</v>
      </c>
      <c r="F136" s="939">
        <v>0</v>
      </c>
      <c r="G136" s="939">
        <v>0</v>
      </c>
      <c r="H136" s="928">
        <f t="shared" si="13"/>
        <v>0</v>
      </c>
      <c r="I136" s="939">
        <v>0</v>
      </c>
      <c r="J136" s="939">
        <v>0</v>
      </c>
      <c r="K136" s="938">
        <f t="shared" si="8"/>
        <v>180470</v>
      </c>
      <c r="L136" s="939">
        <v>0</v>
      </c>
      <c r="M136" s="939">
        <v>0</v>
      </c>
      <c r="N136" s="939">
        <v>0</v>
      </c>
      <c r="O136" s="939">
        <v>180470</v>
      </c>
      <c r="P136" s="939">
        <v>0</v>
      </c>
      <c r="Q136" s="939">
        <v>0</v>
      </c>
      <c r="R136" s="939">
        <v>0</v>
      </c>
      <c r="S136" s="939">
        <v>0</v>
      </c>
      <c r="T136" s="934"/>
      <c r="V136" s="940"/>
      <c r="X136" s="930"/>
      <c r="Y136" s="930"/>
      <c r="AH136" s="930"/>
      <c r="AI136" s="935"/>
      <c r="AJ136" s="936"/>
      <c r="AK136" s="940"/>
    </row>
    <row r="137" spans="1:37" x14ac:dyDescent="0.2">
      <c r="A137" s="719">
        <v>125</v>
      </c>
      <c r="B137" s="722" t="s">
        <v>262</v>
      </c>
      <c r="C137" s="121" t="s">
        <v>263</v>
      </c>
      <c r="D137" s="938">
        <f t="shared" si="10"/>
        <v>90000</v>
      </c>
      <c r="E137" s="938">
        <f t="shared" si="12"/>
        <v>0</v>
      </c>
      <c r="F137" s="939">
        <v>0</v>
      </c>
      <c r="G137" s="939">
        <v>0</v>
      </c>
      <c r="H137" s="928">
        <f t="shared" si="13"/>
        <v>0</v>
      </c>
      <c r="I137" s="939">
        <v>0</v>
      </c>
      <c r="J137" s="939">
        <v>0</v>
      </c>
      <c r="K137" s="938">
        <f t="shared" si="8"/>
        <v>90000</v>
      </c>
      <c r="L137" s="939">
        <v>0</v>
      </c>
      <c r="M137" s="939">
        <v>0</v>
      </c>
      <c r="N137" s="939">
        <v>0</v>
      </c>
      <c r="O137" s="939">
        <v>90000</v>
      </c>
      <c r="P137" s="939">
        <v>0</v>
      </c>
      <c r="Q137" s="939">
        <v>0</v>
      </c>
      <c r="R137" s="939">
        <v>0</v>
      </c>
      <c r="S137" s="939">
        <v>0</v>
      </c>
      <c r="T137" s="934"/>
      <c r="V137" s="940"/>
      <c r="X137" s="930"/>
      <c r="Y137" s="930"/>
      <c r="AH137" s="930"/>
      <c r="AI137" s="935"/>
      <c r="AJ137" s="936"/>
      <c r="AK137" s="940"/>
    </row>
    <row r="138" spans="1:37" x14ac:dyDescent="0.2">
      <c r="A138" s="719">
        <v>126</v>
      </c>
      <c r="B138" s="120" t="s">
        <v>264</v>
      </c>
      <c r="C138" s="720" t="s">
        <v>265</v>
      </c>
      <c r="D138" s="938">
        <f t="shared" si="10"/>
        <v>114092</v>
      </c>
      <c r="E138" s="938">
        <f t="shared" si="12"/>
        <v>0</v>
      </c>
      <c r="F138" s="939">
        <v>0</v>
      </c>
      <c r="G138" s="939">
        <v>0</v>
      </c>
      <c r="H138" s="928">
        <f t="shared" si="13"/>
        <v>0</v>
      </c>
      <c r="I138" s="939">
        <v>0</v>
      </c>
      <c r="J138" s="939">
        <v>0</v>
      </c>
      <c r="K138" s="938">
        <f t="shared" si="8"/>
        <v>114092</v>
      </c>
      <c r="L138" s="939">
        <v>0</v>
      </c>
      <c r="M138" s="939">
        <v>0</v>
      </c>
      <c r="N138" s="939">
        <v>0</v>
      </c>
      <c r="O138" s="939">
        <v>114092</v>
      </c>
      <c r="P138" s="939">
        <v>0</v>
      </c>
      <c r="Q138" s="939">
        <v>0</v>
      </c>
      <c r="R138" s="939">
        <v>0</v>
      </c>
      <c r="S138" s="939">
        <v>0</v>
      </c>
      <c r="T138" s="934"/>
      <c r="V138" s="940"/>
      <c r="X138" s="930"/>
      <c r="Y138" s="930"/>
      <c r="AH138" s="930"/>
      <c r="AI138" s="935"/>
      <c r="AJ138" s="936"/>
      <c r="AK138" s="940"/>
    </row>
    <row r="139" spans="1:37" x14ac:dyDescent="0.2">
      <c r="A139" s="719">
        <v>127</v>
      </c>
      <c r="B139" s="120" t="s">
        <v>266</v>
      </c>
      <c r="C139" s="121" t="s">
        <v>267</v>
      </c>
      <c r="D139" s="938">
        <f t="shared" si="10"/>
        <v>87522</v>
      </c>
      <c r="E139" s="938">
        <f t="shared" si="12"/>
        <v>0</v>
      </c>
      <c r="F139" s="939">
        <v>0</v>
      </c>
      <c r="G139" s="939">
        <v>0</v>
      </c>
      <c r="H139" s="928">
        <f t="shared" si="13"/>
        <v>0</v>
      </c>
      <c r="I139" s="939">
        <v>0</v>
      </c>
      <c r="J139" s="939">
        <v>0</v>
      </c>
      <c r="K139" s="938">
        <f t="shared" ref="K139:K152" si="14">SUM(L139:R139)</f>
        <v>87522</v>
      </c>
      <c r="L139" s="939">
        <v>0</v>
      </c>
      <c r="M139" s="939">
        <v>0</v>
      </c>
      <c r="N139" s="939">
        <v>0</v>
      </c>
      <c r="O139" s="939">
        <v>75721</v>
      </c>
      <c r="P139" s="939">
        <v>0</v>
      </c>
      <c r="Q139" s="939">
        <v>11801</v>
      </c>
      <c r="R139" s="939">
        <v>0</v>
      </c>
      <c r="S139" s="939">
        <v>0</v>
      </c>
      <c r="T139" s="934"/>
      <c r="V139" s="940"/>
      <c r="X139" s="930"/>
      <c r="Y139" s="930"/>
      <c r="AH139" s="930"/>
      <c r="AI139" s="935"/>
      <c r="AJ139" s="936"/>
      <c r="AK139" s="940"/>
    </row>
    <row r="140" spans="1:37" x14ac:dyDescent="0.2">
      <c r="A140" s="719">
        <v>128</v>
      </c>
      <c r="B140" s="723" t="s">
        <v>268</v>
      </c>
      <c r="C140" s="128" t="s">
        <v>269</v>
      </c>
      <c r="D140" s="938">
        <f t="shared" si="10"/>
        <v>60775</v>
      </c>
      <c r="E140" s="938">
        <f t="shared" si="12"/>
        <v>0</v>
      </c>
      <c r="F140" s="939">
        <v>0</v>
      </c>
      <c r="G140" s="939">
        <v>0</v>
      </c>
      <c r="H140" s="928">
        <f t="shared" si="13"/>
        <v>0</v>
      </c>
      <c r="I140" s="939">
        <v>0</v>
      </c>
      <c r="J140" s="939">
        <v>0</v>
      </c>
      <c r="K140" s="938">
        <f t="shared" si="14"/>
        <v>60775</v>
      </c>
      <c r="L140" s="939">
        <v>0</v>
      </c>
      <c r="M140" s="939">
        <v>0</v>
      </c>
      <c r="N140" s="939">
        <v>0</v>
      </c>
      <c r="O140" s="939">
        <v>36644</v>
      </c>
      <c r="P140" s="939">
        <v>0</v>
      </c>
      <c r="Q140" s="939">
        <v>24131</v>
      </c>
      <c r="R140" s="939">
        <v>0</v>
      </c>
      <c r="S140" s="939">
        <v>0</v>
      </c>
      <c r="T140" s="934"/>
      <c r="V140" s="940"/>
      <c r="X140" s="930"/>
      <c r="Y140" s="930"/>
      <c r="AH140" s="930"/>
      <c r="AI140" s="935"/>
      <c r="AJ140" s="936"/>
      <c r="AK140" s="940"/>
    </row>
    <row r="141" spans="1:37" x14ac:dyDescent="0.2">
      <c r="A141" s="719">
        <v>129</v>
      </c>
      <c r="B141" s="722" t="s">
        <v>270</v>
      </c>
      <c r="C141" s="121" t="s">
        <v>271</v>
      </c>
      <c r="D141" s="938">
        <f t="shared" si="10"/>
        <v>78000</v>
      </c>
      <c r="E141" s="938">
        <f t="shared" si="12"/>
        <v>0</v>
      </c>
      <c r="F141" s="939">
        <v>0</v>
      </c>
      <c r="G141" s="939">
        <v>0</v>
      </c>
      <c r="H141" s="928">
        <f t="shared" si="13"/>
        <v>0</v>
      </c>
      <c r="I141" s="939">
        <v>0</v>
      </c>
      <c r="J141" s="939">
        <v>0</v>
      </c>
      <c r="K141" s="938">
        <f t="shared" si="14"/>
        <v>78000</v>
      </c>
      <c r="L141" s="939">
        <v>0</v>
      </c>
      <c r="M141" s="939">
        <v>0</v>
      </c>
      <c r="N141" s="939">
        <v>0</v>
      </c>
      <c r="O141" s="939">
        <v>78000</v>
      </c>
      <c r="P141" s="939">
        <v>0</v>
      </c>
      <c r="Q141" s="939">
        <v>0</v>
      </c>
      <c r="R141" s="939">
        <v>0</v>
      </c>
      <c r="S141" s="939">
        <v>0</v>
      </c>
      <c r="T141" s="934"/>
      <c r="V141" s="940"/>
      <c r="X141" s="930"/>
      <c r="Y141" s="930"/>
      <c r="AH141" s="930"/>
      <c r="AI141" s="935"/>
      <c r="AJ141" s="936"/>
      <c r="AK141" s="940"/>
    </row>
    <row r="142" spans="1:37" x14ac:dyDescent="0.2">
      <c r="A142" s="719">
        <v>130</v>
      </c>
      <c r="B142" s="722" t="s">
        <v>272</v>
      </c>
      <c r="C142" s="121" t="s">
        <v>273</v>
      </c>
      <c r="D142" s="938">
        <f t="shared" si="10"/>
        <v>12669</v>
      </c>
      <c r="E142" s="938">
        <f t="shared" si="12"/>
        <v>0</v>
      </c>
      <c r="F142" s="939">
        <v>0</v>
      </c>
      <c r="G142" s="939">
        <v>0</v>
      </c>
      <c r="H142" s="928">
        <f t="shared" si="13"/>
        <v>0</v>
      </c>
      <c r="I142" s="939">
        <v>0</v>
      </c>
      <c r="J142" s="939">
        <v>0</v>
      </c>
      <c r="K142" s="938">
        <f t="shared" si="14"/>
        <v>12669</v>
      </c>
      <c r="L142" s="939">
        <v>0</v>
      </c>
      <c r="M142" s="939">
        <v>0</v>
      </c>
      <c r="N142" s="939">
        <v>0</v>
      </c>
      <c r="O142" s="939">
        <v>182</v>
      </c>
      <c r="P142" s="939">
        <v>0</v>
      </c>
      <c r="Q142" s="939">
        <v>12487</v>
      </c>
      <c r="R142" s="939">
        <v>0</v>
      </c>
      <c r="S142" s="939">
        <v>0</v>
      </c>
      <c r="T142" s="934"/>
      <c r="V142" s="940"/>
      <c r="X142" s="930"/>
      <c r="Y142" s="930"/>
      <c r="AH142" s="930"/>
      <c r="AI142" s="935"/>
      <c r="AJ142" s="936"/>
      <c r="AK142" s="940"/>
    </row>
    <row r="143" spans="1:37" x14ac:dyDescent="0.2">
      <c r="A143" s="719">
        <v>131</v>
      </c>
      <c r="B143" s="722" t="s">
        <v>274</v>
      </c>
      <c r="C143" s="121" t="s">
        <v>275</v>
      </c>
      <c r="D143" s="938">
        <f t="shared" si="10"/>
        <v>57882</v>
      </c>
      <c r="E143" s="938">
        <f t="shared" si="12"/>
        <v>0</v>
      </c>
      <c r="F143" s="939">
        <v>0</v>
      </c>
      <c r="G143" s="939">
        <v>0</v>
      </c>
      <c r="H143" s="928">
        <f t="shared" si="13"/>
        <v>0</v>
      </c>
      <c r="I143" s="939">
        <v>0</v>
      </c>
      <c r="J143" s="939">
        <v>0</v>
      </c>
      <c r="K143" s="938">
        <f t="shared" si="14"/>
        <v>57882</v>
      </c>
      <c r="L143" s="939">
        <v>0</v>
      </c>
      <c r="M143" s="939">
        <v>0</v>
      </c>
      <c r="N143" s="939">
        <v>0</v>
      </c>
      <c r="O143" s="939">
        <v>57882</v>
      </c>
      <c r="P143" s="939">
        <v>0</v>
      </c>
      <c r="Q143" s="939">
        <v>0</v>
      </c>
      <c r="R143" s="939">
        <v>0</v>
      </c>
      <c r="S143" s="939">
        <v>0</v>
      </c>
      <c r="T143" s="934"/>
      <c r="V143" s="940"/>
      <c r="X143" s="930"/>
      <c r="Y143" s="930"/>
      <c r="AH143" s="930"/>
      <c r="AI143" s="935"/>
      <c r="AJ143" s="936"/>
      <c r="AK143" s="940"/>
    </row>
    <row r="144" spans="1:37" x14ac:dyDescent="0.2">
      <c r="A144" s="719">
        <v>132</v>
      </c>
      <c r="B144" s="723" t="s">
        <v>276</v>
      </c>
      <c r="C144" s="128" t="s">
        <v>277</v>
      </c>
      <c r="D144" s="938">
        <f t="shared" si="10"/>
        <v>85595</v>
      </c>
      <c r="E144" s="938">
        <f t="shared" si="12"/>
        <v>4023</v>
      </c>
      <c r="F144" s="939">
        <v>4023</v>
      </c>
      <c r="G144" s="939">
        <v>0</v>
      </c>
      <c r="H144" s="928">
        <f t="shared" si="13"/>
        <v>26251</v>
      </c>
      <c r="I144" s="939">
        <v>26251</v>
      </c>
      <c r="J144" s="939">
        <v>0</v>
      </c>
      <c r="K144" s="938">
        <f t="shared" si="14"/>
        <v>55321</v>
      </c>
      <c r="L144" s="939">
        <v>6642</v>
      </c>
      <c r="M144" s="939">
        <v>906</v>
      </c>
      <c r="N144" s="939">
        <v>25255</v>
      </c>
      <c r="O144" s="939">
        <v>13492</v>
      </c>
      <c r="P144" s="939">
        <v>0</v>
      </c>
      <c r="Q144" s="939">
        <v>7822</v>
      </c>
      <c r="R144" s="939">
        <v>1204</v>
      </c>
      <c r="S144" s="939">
        <v>20130</v>
      </c>
      <c r="T144" s="934"/>
      <c r="V144" s="940"/>
      <c r="X144" s="930"/>
      <c r="Y144" s="930"/>
      <c r="AH144" s="930"/>
      <c r="AI144" s="935"/>
      <c r="AJ144" s="936"/>
      <c r="AK144" s="940"/>
    </row>
    <row r="145" spans="1:37" x14ac:dyDescent="0.2">
      <c r="A145" s="719">
        <v>133</v>
      </c>
      <c r="B145" s="721" t="s">
        <v>278</v>
      </c>
      <c r="C145" s="128" t="s">
        <v>279</v>
      </c>
      <c r="D145" s="938">
        <f t="shared" si="10"/>
        <v>236753</v>
      </c>
      <c r="E145" s="938">
        <f t="shared" si="12"/>
        <v>27037</v>
      </c>
      <c r="F145" s="939">
        <v>5500</v>
      </c>
      <c r="G145" s="939">
        <v>21537</v>
      </c>
      <c r="H145" s="928">
        <f t="shared" si="13"/>
        <v>35662</v>
      </c>
      <c r="I145" s="939">
        <v>35547</v>
      </c>
      <c r="J145" s="939">
        <v>115</v>
      </c>
      <c r="K145" s="938">
        <f t="shared" si="14"/>
        <v>174054</v>
      </c>
      <c r="L145" s="939">
        <v>8859</v>
      </c>
      <c r="M145" s="939">
        <v>1095</v>
      </c>
      <c r="N145" s="939">
        <v>36328</v>
      </c>
      <c r="O145" s="939">
        <v>60987</v>
      </c>
      <c r="P145" s="939">
        <v>2770</v>
      </c>
      <c r="Q145" s="939">
        <v>61715</v>
      </c>
      <c r="R145" s="939">
        <v>2300</v>
      </c>
      <c r="S145" s="939">
        <v>24499</v>
      </c>
      <c r="T145" s="934"/>
      <c r="V145" s="940"/>
      <c r="X145" s="930"/>
      <c r="Y145" s="930"/>
      <c r="AH145" s="930"/>
      <c r="AI145" s="935"/>
      <c r="AJ145" s="936"/>
      <c r="AK145" s="940"/>
    </row>
    <row r="146" spans="1:37" x14ac:dyDescent="0.2">
      <c r="A146" s="719">
        <v>134</v>
      </c>
      <c r="B146" s="722" t="s">
        <v>280</v>
      </c>
      <c r="C146" s="121" t="s">
        <v>281</v>
      </c>
      <c r="D146" s="938">
        <f t="shared" si="10"/>
        <v>3200</v>
      </c>
      <c r="E146" s="938">
        <f t="shared" si="12"/>
        <v>0</v>
      </c>
      <c r="F146" s="939">
        <v>0</v>
      </c>
      <c r="G146" s="939">
        <v>0</v>
      </c>
      <c r="H146" s="928">
        <f t="shared" si="13"/>
        <v>0</v>
      </c>
      <c r="I146" s="939">
        <v>0</v>
      </c>
      <c r="J146" s="939">
        <v>0</v>
      </c>
      <c r="K146" s="938">
        <f t="shared" si="14"/>
        <v>3200</v>
      </c>
      <c r="L146" s="939">
        <v>0</v>
      </c>
      <c r="M146" s="939">
        <v>0</v>
      </c>
      <c r="N146" s="939">
        <v>0</v>
      </c>
      <c r="O146" s="939">
        <v>3200</v>
      </c>
      <c r="P146" s="939">
        <v>0</v>
      </c>
      <c r="Q146" s="939">
        <v>0</v>
      </c>
      <c r="R146" s="939">
        <v>0</v>
      </c>
      <c r="S146" s="939">
        <v>0</v>
      </c>
      <c r="T146" s="934"/>
      <c r="V146" s="940"/>
      <c r="X146" s="930"/>
      <c r="Y146" s="930"/>
      <c r="AH146" s="930"/>
      <c r="AI146" s="935"/>
      <c r="AJ146" s="936"/>
      <c r="AK146" s="940"/>
    </row>
    <row r="147" spans="1:37" x14ac:dyDescent="0.2">
      <c r="A147" s="719">
        <v>135</v>
      </c>
      <c r="B147" s="120" t="s">
        <v>282</v>
      </c>
      <c r="C147" s="720" t="s">
        <v>283</v>
      </c>
      <c r="D147" s="938">
        <f t="shared" si="10"/>
        <v>14805</v>
      </c>
      <c r="E147" s="938">
        <f t="shared" si="12"/>
        <v>0</v>
      </c>
      <c r="F147" s="939">
        <v>0</v>
      </c>
      <c r="G147" s="939">
        <v>0</v>
      </c>
      <c r="H147" s="928">
        <f t="shared" si="13"/>
        <v>0</v>
      </c>
      <c r="I147" s="939">
        <v>0</v>
      </c>
      <c r="J147" s="939">
        <v>0</v>
      </c>
      <c r="K147" s="938">
        <f t="shared" si="14"/>
        <v>14805</v>
      </c>
      <c r="L147" s="939">
        <v>0</v>
      </c>
      <c r="M147" s="939">
        <v>0</v>
      </c>
      <c r="N147" s="939">
        <v>0</v>
      </c>
      <c r="O147" s="939">
        <v>14805</v>
      </c>
      <c r="P147" s="939">
        <v>0</v>
      </c>
      <c r="Q147" s="939">
        <v>0</v>
      </c>
      <c r="R147" s="939">
        <v>0</v>
      </c>
      <c r="S147" s="939">
        <v>0</v>
      </c>
      <c r="T147" s="934"/>
      <c r="V147" s="940"/>
      <c r="X147" s="930"/>
      <c r="Y147" s="930"/>
      <c r="AH147" s="930"/>
      <c r="AI147" s="935"/>
      <c r="AJ147" s="936"/>
      <c r="AK147" s="940"/>
    </row>
    <row r="148" spans="1:37" ht="24" x14ac:dyDescent="0.2">
      <c r="A148" s="719">
        <v>136</v>
      </c>
      <c r="B148" s="722" t="s">
        <v>284</v>
      </c>
      <c r="C148" s="121" t="s">
        <v>285</v>
      </c>
      <c r="D148" s="938">
        <f t="shared" si="10"/>
        <v>0</v>
      </c>
      <c r="E148" s="938">
        <f t="shared" si="12"/>
        <v>0</v>
      </c>
      <c r="F148" s="939">
        <v>0</v>
      </c>
      <c r="G148" s="939">
        <v>0</v>
      </c>
      <c r="H148" s="928">
        <f t="shared" si="13"/>
        <v>0</v>
      </c>
      <c r="I148" s="939">
        <v>0</v>
      </c>
      <c r="J148" s="939">
        <v>0</v>
      </c>
      <c r="K148" s="938">
        <f t="shared" si="14"/>
        <v>0</v>
      </c>
      <c r="L148" s="939">
        <v>0</v>
      </c>
      <c r="M148" s="939">
        <v>0</v>
      </c>
      <c r="N148" s="939">
        <v>0</v>
      </c>
      <c r="O148" s="939">
        <v>0</v>
      </c>
      <c r="P148" s="939">
        <v>0</v>
      </c>
      <c r="Q148" s="939">
        <v>0</v>
      </c>
      <c r="R148" s="939">
        <v>0</v>
      </c>
      <c r="S148" s="939">
        <v>0</v>
      </c>
      <c r="T148" s="934"/>
      <c r="V148" s="940"/>
      <c r="X148" s="930"/>
      <c r="Y148" s="930"/>
      <c r="AH148" s="930"/>
      <c r="AI148" s="935"/>
      <c r="AJ148" s="936"/>
      <c r="AK148" s="940"/>
    </row>
    <row r="149" spans="1:37" x14ac:dyDescent="0.2">
      <c r="A149" s="719">
        <v>137</v>
      </c>
      <c r="B149" s="731" t="s">
        <v>387</v>
      </c>
      <c r="C149" s="732" t="s">
        <v>388</v>
      </c>
      <c r="D149" s="938">
        <f t="shared" si="10"/>
        <v>0</v>
      </c>
      <c r="E149" s="938">
        <f t="shared" si="12"/>
        <v>0</v>
      </c>
      <c r="F149" s="942">
        <v>0</v>
      </c>
      <c r="G149" s="942">
        <v>0</v>
      </c>
      <c r="H149" s="928">
        <f t="shared" si="13"/>
        <v>0</v>
      </c>
      <c r="I149" s="942">
        <v>0</v>
      </c>
      <c r="J149" s="942">
        <v>0</v>
      </c>
      <c r="K149" s="938">
        <f t="shared" si="14"/>
        <v>0</v>
      </c>
      <c r="L149" s="942">
        <v>0</v>
      </c>
      <c r="M149" s="942"/>
      <c r="N149" s="939">
        <v>0</v>
      </c>
      <c r="O149" s="939">
        <v>0</v>
      </c>
      <c r="P149" s="939">
        <v>0</v>
      </c>
      <c r="Q149" s="939">
        <v>0</v>
      </c>
      <c r="R149" s="939">
        <v>0</v>
      </c>
      <c r="S149" s="939">
        <v>0</v>
      </c>
      <c r="T149" s="934"/>
      <c r="V149" s="940"/>
      <c r="X149" s="930"/>
      <c r="Y149" s="930"/>
      <c r="AH149" s="930"/>
      <c r="AI149" s="935"/>
      <c r="AJ149" s="936"/>
      <c r="AK149" s="940"/>
    </row>
    <row r="150" spans="1:37" x14ac:dyDescent="0.2">
      <c r="A150" s="719">
        <v>138</v>
      </c>
      <c r="B150" s="733" t="s">
        <v>389</v>
      </c>
      <c r="C150" s="734" t="s">
        <v>390</v>
      </c>
      <c r="D150" s="938">
        <f t="shared" ref="D150:D152" si="15">E150+H150+K150</f>
        <v>0</v>
      </c>
      <c r="E150" s="938">
        <f t="shared" si="12"/>
        <v>0</v>
      </c>
      <c r="F150" s="942">
        <v>0</v>
      </c>
      <c r="G150" s="942">
        <v>0</v>
      </c>
      <c r="H150" s="928">
        <f t="shared" si="13"/>
        <v>0</v>
      </c>
      <c r="I150" s="942">
        <v>0</v>
      </c>
      <c r="J150" s="942">
        <v>0</v>
      </c>
      <c r="K150" s="938">
        <f t="shared" si="14"/>
        <v>0</v>
      </c>
      <c r="L150" s="942">
        <v>0</v>
      </c>
      <c r="M150" s="942"/>
      <c r="N150" s="939">
        <v>0</v>
      </c>
      <c r="O150" s="939">
        <v>0</v>
      </c>
      <c r="P150" s="939">
        <v>0</v>
      </c>
      <c r="Q150" s="939">
        <v>0</v>
      </c>
      <c r="R150" s="939">
        <v>0</v>
      </c>
      <c r="S150" s="939">
        <v>0</v>
      </c>
      <c r="T150" s="934"/>
      <c r="V150" s="940"/>
      <c r="X150" s="930"/>
      <c r="Y150" s="930"/>
      <c r="AH150" s="930"/>
      <c r="AI150" s="935"/>
      <c r="AJ150" s="936"/>
      <c r="AK150" s="940"/>
    </row>
    <row r="151" spans="1:37" x14ac:dyDescent="0.2">
      <c r="A151" s="719">
        <v>139</v>
      </c>
      <c r="B151" s="735" t="s">
        <v>391</v>
      </c>
      <c r="C151" s="736" t="s">
        <v>392</v>
      </c>
      <c r="D151" s="938">
        <f t="shared" si="15"/>
        <v>0</v>
      </c>
      <c r="E151" s="938">
        <f t="shared" si="12"/>
        <v>0</v>
      </c>
      <c r="F151" s="942">
        <v>0</v>
      </c>
      <c r="G151" s="942">
        <v>0</v>
      </c>
      <c r="H151" s="928">
        <f t="shared" si="13"/>
        <v>0</v>
      </c>
      <c r="I151" s="942">
        <v>0</v>
      </c>
      <c r="J151" s="942">
        <v>0</v>
      </c>
      <c r="K151" s="938">
        <f t="shared" si="14"/>
        <v>0</v>
      </c>
      <c r="L151" s="942">
        <v>0</v>
      </c>
      <c r="M151" s="942"/>
      <c r="N151" s="939">
        <v>0</v>
      </c>
      <c r="O151" s="939">
        <v>0</v>
      </c>
      <c r="P151" s="939">
        <v>0</v>
      </c>
      <c r="Q151" s="939">
        <v>0</v>
      </c>
      <c r="R151" s="939">
        <v>0</v>
      </c>
      <c r="S151" s="939">
        <v>0</v>
      </c>
      <c r="T151" s="934"/>
      <c r="V151" s="940"/>
      <c r="X151" s="930"/>
      <c r="Y151" s="930"/>
      <c r="AH151" s="930"/>
      <c r="AI151" s="935"/>
      <c r="AJ151" s="936"/>
      <c r="AK151" s="940"/>
    </row>
    <row r="152" spans="1:37" x14ac:dyDescent="0.2">
      <c r="A152" s="719">
        <v>140</v>
      </c>
      <c r="B152" s="719" t="s">
        <v>393</v>
      </c>
      <c r="C152" s="737" t="s">
        <v>394</v>
      </c>
      <c r="D152" s="938">
        <f t="shared" si="15"/>
        <v>0</v>
      </c>
      <c r="E152" s="938">
        <f t="shared" si="12"/>
        <v>0</v>
      </c>
      <c r="F152" s="942">
        <v>0</v>
      </c>
      <c r="G152" s="942">
        <v>0</v>
      </c>
      <c r="H152" s="928">
        <f t="shared" si="13"/>
        <v>0</v>
      </c>
      <c r="I152" s="942">
        <v>0</v>
      </c>
      <c r="J152" s="942">
        <v>0</v>
      </c>
      <c r="K152" s="938">
        <f t="shared" si="14"/>
        <v>0</v>
      </c>
      <c r="L152" s="942">
        <v>0</v>
      </c>
      <c r="M152" s="942"/>
      <c r="N152" s="939">
        <v>0</v>
      </c>
      <c r="O152" s="939">
        <v>0</v>
      </c>
      <c r="P152" s="939">
        <v>0</v>
      </c>
      <c r="Q152" s="939">
        <v>0</v>
      </c>
      <c r="R152" s="939">
        <v>0</v>
      </c>
      <c r="S152" s="939">
        <v>0</v>
      </c>
      <c r="T152" s="934"/>
      <c r="V152" s="940"/>
      <c r="X152" s="930"/>
      <c r="Y152" s="930"/>
      <c r="AH152" s="930"/>
      <c r="AI152" s="935"/>
      <c r="AJ152" s="936"/>
      <c r="AK152" s="940"/>
    </row>
  </sheetData>
  <mergeCells count="22">
    <mergeCell ref="L5:R5"/>
    <mergeCell ref="A8:C8"/>
    <mergeCell ref="A9:C9"/>
    <mergeCell ref="A10:C10"/>
    <mergeCell ref="A93:A95"/>
    <mergeCell ref="B93:B95"/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53"/>
  <sheetViews>
    <sheetView zoomScale="80" zoomScaleNormal="80" workbookViewId="0">
      <pane xSplit="3" ySplit="11" topLeftCell="D117" activePane="bottomRight" state="frozen"/>
      <selection pane="topRight" activeCell="D1" sqref="D1"/>
      <selection pane="bottomLeft" activeCell="A12" sqref="A12"/>
      <selection pane="bottomRight" activeCell="E163" sqref="E163"/>
    </sheetView>
  </sheetViews>
  <sheetFormatPr defaultRowHeight="15" x14ac:dyDescent="0.25"/>
  <cols>
    <col min="1" max="2" width="9.140625" style="943"/>
    <col min="3" max="3" width="28.28515625" style="943" customWidth="1"/>
    <col min="4" max="4" width="16" style="943" customWidth="1"/>
    <col min="5" max="5" width="15.5703125" style="943" customWidth="1"/>
    <col min="6" max="6" width="16" style="943" customWidth="1"/>
    <col min="7" max="7" width="13.42578125" style="943" customWidth="1"/>
    <col min="8" max="8" width="16.42578125" style="943" customWidth="1"/>
    <col min="9" max="9" width="13" style="943" customWidth="1"/>
    <col min="10" max="10" width="15" style="943" customWidth="1"/>
    <col min="11" max="11" width="13.140625" style="943" customWidth="1"/>
    <col min="12" max="12" width="19.140625" style="943" customWidth="1"/>
    <col min="13" max="13" width="9.140625" style="943"/>
    <col min="14" max="14" width="13.42578125" style="943" customWidth="1"/>
    <col min="15" max="16384" width="9.140625" style="943"/>
  </cols>
  <sheetData>
    <row r="1" spans="1:14" ht="21.75" customHeight="1" x14ac:dyDescent="0.25">
      <c r="A1" s="1050" t="s">
        <v>766</v>
      </c>
      <c r="B1" s="1050"/>
      <c r="C1" s="1050"/>
      <c r="D1" s="1050"/>
      <c r="E1" s="1050"/>
      <c r="F1" s="1050"/>
      <c r="G1" s="1050"/>
      <c r="H1" s="1050"/>
      <c r="I1" s="1050"/>
      <c r="J1" s="1050"/>
      <c r="K1" s="1050"/>
      <c r="L1" s="1050"/>
    </row>
    <row r="2" spans="1:14" x14ac:dyDescent="0.25">
      <c r="J2" s="944"/>
    </row>
    <row r="3" spans="1:14" ht="24.75" customHeight="1" x14ac:dyDescent="0.25">
      <c r="A3" s="1051" t="s">
        <v>0</v>
      </c>
      <c r="B3" s="1052" t="s">
        <v>1</v>
      </c>
      <c r="C3" s="1051" t="s">
        <v>2</v>
      </c>
      <c r="D3" s="1055" t="s">
        <v>767</v>
      </c>
      <c r="E3" s="1055"/>
      <c r="F3" s="1055"/>
      <c r="G3" s="1055"/>
      <c r="H3" s="1055"/>
      <c r="I3" s="1055"/>
      <c r="J3" s="1055"/>
      <c r="K3" s="1055"/>
      <c r="L3" s="1056" t="s">
        <v>763</v>
      </c>
    </row>
    <row r="4" spans="1:14" ht="15" customHeight="1" x14ac:dyDescent="0.25">
      <c r="A4" s="1051"/>
      <c r="B4" s="1053"/>
      <c r="C4" s="1051"/>
      <c r="D4" s="1055" t="s">
        <v>3</v>
      </c>
      <c r="E4" s="1055" t="s">
        <v>4</v>
      </c>
      <c r="F4" s="1055"/>
      <c r="G4" s="1055"/>
      <c r="H4" s="1055"/>
      <c r="I4" s="1055"/>
      <c r="J4" s="1055"/>
      <c r="K4" s="1055"/>
      <c r="L4" s="1056"/>
    </row>
    <row r="5" spans="1:14" ht="44.25" customHeight="1" x14ac:dyDescent="0.25">
      <c r="A5" s="1051"/>
      <c r="B5" s="1053"/>
      <c r="C5" s="1051"/>
      <c r="D5" s="1055"/>
      <c r="E5" s="1057" t="s">
        <v>768</v>
      </c>
      <c r="F5" s="1057"/>
      <c r="G5" s="1057"/>
      <c r="H5" s="1057"/>
      <c r="I5" s="1056" t="s">
        <v>769</v>
      </c>
      <c r="J5" s="1058"/>
      <c r="K5" s="1058"/>
      <c r="L5" s="1056"/>
    </row>
    <row r="6" spans="1:14" ht="35.25" customHeight="1" x14ac:dyDescent="0.25">
      <c r="A6" s="1051"/>
      <c r="B6" s="1053"/>
      <c r="C6" s="1051"/>
      <c r="D6" s="1055"/>
      <c r="E6" s="1065" t="s">
        <v>340</v>
      </c>
      <c r="F6" s="1065" t="s">
        <v>341</v>
      </c>
      <c r="G6" s="1065"/>
      <c r="H6" s="1065"/>
      <c r="I6" s="1065" t="s">
        <v>341</v>
      </c>
      <c r="J6" s="1065"/>
      <c r="K6" s="1065"/>
      <c r="L6" s="1056"/>
    </row>
    <row r="7" spans="1:14" ht="42.75" customHeight="1" x14ac:dyDescent="0.25">
      <c r="A7" s="1051"/>
      <c r="B7" s="1054"/>
      <c r="C7" s="1051"/>
      <c r="D7" s="1055"/>
      <c r="E7" s="1065"/>
      <c r="F7" s="945" t="s">
        <v>297</v>
      </c>
      <c r="G7" s="945" t="s">
        <v>345</v>
      </c>
      <c r="H7" s="946" t="s">
        <v>346</v>
      </c>
      <c r="I7" s="945" t="s">
        <v>297</v>
      </c>
      <c r="J7" s="945" t="s">
        <v>345</v>
      </c>
      <c r="K7" s="946" t="s">
        <v>346</v>
      </c>
      <c r="L7" s="1056"/>
    </row>
    <row r="8" spans="1:14" x14ac:dyDescent="0.25">
      <c r="A8" s="947">
        <v>1</v>
      </c>
      <c r="B8" s="947">
        <v>2</v>
      </c>
      <c r="C8" s="947">
        <v>3</v>
      </c>
      <c r="D8" s="948"/>
      <c r="E8" s="948"/>
      <c r="F8" s="948"/>
      <c r="G8" s="948"/>
      <c r="H8" s="948"/>
      <c r="I8" s="948"/>
      <c r="J8" s="948"/>
      <c r="K8" s="948"/>
      <c r="L8" s="948"/>
    </row>
    <row r="9" spans="1:14" s="950" customFormat="1" x14ac:dyDescent="0.25">
      <c r="A9" s="1066" t="s">
        <v>6</v>
      </c>
      <c r="B9" s="1066"/>
      <c r="C9" s="1066"/>
      <c r="D9" s="949">
        <f>D10+D11</f>
        <v>1321258</v>
      </c>
      <c r="E9" s="949">
        <f t="shared" ref="E9:L9" si="0">E10+E11</f>
        <v>654</v>
      </c>
      <c r="F9" s="949">
        <f t="shared" si="0"/>
        <v>1000892</v>
      </c>
      <c r="G9" s="949">
        <f t="shared" si="0"/>
        <v>172015</v>
      </c>
      <c r="H9" s="949">
        <f t="shared" si="0"/>
        <v>828877</v>
      </c>
      <c r="I9" s="949">
        <f t="shared" si="0"/>
        <v>319712</v>
      </c>
      <c r="J9" s="949">
        <f t="shared" si="0"/>
        <v>15080</v>
      </c>
      <c r="K9" s="949">
        <f t="shared" si="0"/>
        <v>304632</v>
      </c>
      <c r="L9" s="949">
        <f t="shared" si="0"/>
        <v>1025004</v>
      </c>
      <c r="N9" s="951"/>
    </row>
    <row r="10" spans="1:14" ht="15" customHeight="1" x14ac:dyDescent="0.25">
      <c r="A10" s="1038" t="s">
        <v>14</v>
      </c>
      <c r="B10" s="1039"/>
      <c r="C10" s="1040"/>
      <c r="D10" s="948"/>
      <c r="E10" s="948"/>
      <c r="F10" s="948"/>
      <c r="G10" s="948"/>
      <c r="H10" s="948"/>
      <c r="I10" s="948"/>
      <c r="J10" s="948"/>
      <c r="K10" s="948"/>
      <c r="L10" s="948">
        <v>8</v>
      </c>
    </row>
    <row r="11" spans="1:14" s="950" customFormat="1" x14ac:dyDescent="0.25">
      <c r="A11" s="1067" t="s">
        <v>15</v>
      </c>
      <c r="B11" s="1068"/>
      <c r="C11" s="1069"/>
      <c r="D11" s="949">
        <f>E11+F11+I11</f>
        <v>1321258</v>
      </c>
      <c r="E11" s="949">
        <f>SUM(E12:E153)</f>
        <v>654</v>
      </c>
      <c r="F11" s="949">
        <f>G11+H11</f>
        <v>1000892</v>
      </c>
      <c r="G11" s="949">
        <f>SUM(G12:G153)</f>
        <v>172015</v>
      </c>
      <c r="H11" s="949">
        <f>SUM(H12:H153)</f>
        <v>828877</v>
      </c>
      <c r="I11" s="949">
        <f>J11+K11</f>
        <v>319712</v>
      </c>
      <c r="J11" s="949">
        <f>SUM(J12:J153)</f>
        <v>15080</v>
      </c>
      <c r="K11" s="949">
        <f>SUM(K12:K153)</f>
        <v>304632</v>
      </c>
      <c r="L11" s="949">
        <f>SUM(L12:L153)</f>
        <v>1024996</v>
      </c>
    </row>
    <row r="12" spans="1:14" x14ac:dyDescent="0.25">
      <c r="A12" s="843">
        <v>1</v>
      </c>
      <c r="B12" s="844" t="s">
        <v>16</v>
      </c>
      <c r="C12" s="845" t="s">
        <v>17</v>
      </c>
      <c r="D12" s="948">
        <f t="shared" ref="D12:D75" si="1">E12+F12+I12</f>
        <v>10620</v>
      </c>
      <c r="E12" s="948">
        <v>0</v>
      </c>
      <c r="F12" s="948">
        <f t="shared" ref="F12:F75" si="2">G12+H12</f>
        <v>8644</v>
      </c>
      <c r="G12" s="948">
        <v>1555</v>
      </c>
      <c r="H12" s="948">
        <v>7089</v>
      </c>
      <c r="I12" s="948">
        <f t="shared" ref="I12:I75" si="3">J12+K12</f>
        <v>1976</v>
      </c>
      <c r="J12" s="948">
        <v>656</v>
      </c>
      <c r="K12" s="948">
        <v>1320</v>
      </c>
      <c r="L12" s="948">
        <v>8935</v>
      </c>
    </row>
    <row r="13" spans="1:14" x14ac:dyDescent="0.25">
      <c r="A13" s="843">
        <v>2</v>
      </c>
      <c r="B13" s="846" t="s">
        <v>18</v>
      </c>
      <c r="C13" s="845" t="s">
        <v>19</v>
      </c>
      <c r="D13" s="948">
        <f t="shared" si="1"/>
        <v>7720</v>
      </c>
      <c r="E13" s="948">
        <v>0</v>
      </c>
      <c r="F13" s="948">
        <f t="shared" si="2"/>
        <v>5826</v>
      </c>
      <c r="G13" s="948">
        <v>1155</v>
      </c>
      <c r="H13" s="948">
        <v>4671</v>
      </c>
      <c r="I13" s="948">
        <f t="shared" si="3"/>
        <v>1894</v>
      </c>
      <c r="J13" s="948">
        <v>40</v>
      </c>
      <c r="K13" s="948">
        <v>1854</v>
      </c>
      <c r="L13" s="948">
        <v>5618</v>
      </c>
    </row>
    <row r="14" spans="1:14" x14ac:dyDescent="0.25">
      <c r="A14" s="843">
        <v>3</v>
      </c>
      <c r="B14" s="847" t="s">
        <v>20</v>
      </c>
      <c r="C14" s="848" t="s">
        <v>21</v>
      </c>
      <c r="D14" s="948">
        <f t="shared" si="1"/>
        <v>21542</v>
      </c>
      <c r="E14" s="948">
        <v>0</v>
      </c>
      <c r="F14" s="948">
        <f t="shared" si="2"/>
        <v>18011</v>
      </c>
      <c r="G14" s="948">
        <v>2568</v>
      </c>
      <c r="H14" s="948">
        <v>15443</v>
      </c>
      <c r="I14" s="948">
        <f t="shared" si="3"/>
        <v>3531</v>
      </c>
      <c r="J14" s="948">
        <v>564</v>
      </c>
      <c r="K14" s="948">
        <v>2967</v>
      </c>
      <c r="L14" s="948">
        <v>14933</v>
      </c>
    </row>
    <row r="15" spans="1:14" x14ac:dyDescent="0.25">
      <c r="A15" s="843">
        <v>4</v>
      </c>
      <c r="B15" s="844" t="s">
        <v>22</v>
      </c>
      <c r="C15" s="845" t="s">
        <v>23</v>
      </c>
      <c r="D15" s="948">
        <f t="shared" si="1"/>
        <v>4048</v>
      </c>
      <c r="E15" s="948">
        <v>0</v>
      </c>
      <c r="F15" s="948">
        <f t="shared" si="2"/>
        <v>2719</v>
      </c>
      <c r="G15" s="948">
        <v>446</v>
      </c>
      <c r="H15" s="948">
        <v>2273</v>
      </c>
      <c r="I15" s="948">
        <f t="shared" si="3"/>
        <v>1329</v>
      </c>
      <c r="J15" s="948">
        <v>0</v>
      </c>
      <c r="K15" s="948">
        <v>1329</v>
      </c>
      <c r="L15" s="948">
        <v>5064</v>
      </c>
    </row>
    <row r="16" spans="1:14" ht="24" x14ac:dyDescent="0.25">
      <c r="A16" s="843">
        <v>5</v>
      </c>
      <c r="B16" s="844" t="s">
        <v>24</v>
      </c>
      <c r="C16" s="845" t="s">
        <v>25</v>
      </c>
      <c r="D16" s="948">
        <f t="shared" si="1"/>
        <v>9267</v>
      </c>
      <c r="E16" s="948">
        <v>0</v>
      </c>
      <c r="F16" s="948">
        <f t="shared" si="2"/>
        <v>8267</v>
      </c>
      <c r="G16" s="948">
        <v>1085</v>
      </c>
      <c r="H16" s="948">
        <v>7182</v>
      </c>
      <c r="I16" s="948">
        <f t="shared" si="3"/>
        <v>1000</v>
      </c>
      <c r="J16" s="948">
        <v>0</v>
      </c>
      <c r="K16" s="948">
        <v>1000</v>
      </c>
      <c r="L16" s="948">
        <v>5698</v>
      </c>
    </row>
    <row r="17" spans="1:12" x14ac:dyDescent="0.25">
      <c r="A17" s="843">
        <v>6</v>
      </c>
      <c r="B17" s="847" t="s">
        <v>26</v>
      </c>
      <c r="C17" s="848" t="s">
        <v>27</v>
      </c>
      <c r="D17" s="948">
        <f t="shared" si="1"/>
        <v>52911</v>
      </c>
      <c r="E17" s="948">
        <v>0</v>
      </c>
      <c r="F17" s="948">
        <f t="shared" si="2"/>
        <v>38022</v>
      </c>
      <c r="G17" s="948">
        <v>6365</v>
      </c>
      <c r="H17" s="948">
        <v>31657</v>
      </c>
      <c r="I17" s="948">
        <f t="shared" si="3"/>
        <v>14889</v>
      </c>
      <c r="J17" s="948">
        <v>628</v>
      </c>
      <c r="K17" s="948">
        <v>14261</v>
      </c>
      <c r="L17" s="948">
        <v>46860</v>
      </c>
    </row>
    <row r="18" spans="1:12" x14ac:dyDescent="0.25">
      <c r="A18" s="843">
        <v>7</v>
      </c>
      <c r="B18" s="849" t="s">
        <v>28</v>
      </c>
      <c r="C18" s="32" t="s">
        <v>29</v>
      </c>
      <c r="D18" s="948">
        <f t="shared" si="1"/>
        <v>18159</v>
      </c>
      <c r="E18" s="948">
        <v>0</v>
      </c>
      <c r="F18" s="948">
        <f t="shared" si="2"/>
        <v>15284</v>
      </c>
      <c r="G18" s="948">
        <v>1872</v>
      </c>
      <c r="H18" s="948">
        <v>13412</v>
      </c>
      <c r="I18" s="948">
        <f t="shared" si="3"/>
        <v>2875</v>
      </c>
      <c r="J18" s="948">
        <v>20</v>
      </c>
      <c r="K18" s="948">
        <v>2855</v>
      </c>
      <c r="L18" s="948">
        <v>15539</v>
      </c>
    </row>
    <row r="19" spans="1:12" x14ac:dyDescent="0.25">
      <c r="A19" s="843">
        <v>8</v>
      </c>
      <c r="B19" s="847" t="s">
        <v>30</v>
      </c>
      <c r="C19" s="848" t="s">
        <v>31</v>
      </c>
      <c r="D19" s="948">
        <f t="shared" si="1"/>
        <v>5436</v>
      </c>
      <c r="E19" s="948">
        <v>0</v>
      </c>
      <c r="F19" s="948">
        <f t="shared" si="2"/>
        <v>1710</v>
      </c>
      <c r="G19" s="948">
        <v>849</v>
      </c>
      <c r="H19" s="948">
        <v>861</v>
      </c>
      <c r="I19" s="948">
        <f t="shared" si="3"/>
        <v>3726</v>
      </c>
      <c r="J19" s="948">
        <v>0</v>
      </c>
      <c r="K19" s="948">
        <v>3726</v>
      </c>
      <c r="L19" s="948">
        <v>6227</v>
      </c>
    </row>
    <row r="20" spans="1:12" x14ac:dyDescent="0.25">
      <c r="A20" s="843">
        <v>9</v>
      </c>
      <c r="B20" s="847" t="s">
        <v>32</v>
      </c>
      <c r="C20" s="848" t="s">
        <v>33</v>
      </c>
      <c r="D20" s="948">
        <f t="shared" si="1"/>
        <v>7593</v>
      </c>
      <c r="E20" s="948">
        <v>0</v>
      </c>
      <c r="F20" s="948">
        <f t="shared" si="2"/>
        <v>6783</v>
      </c>
      <c r="G20" s="948">
        <v>652</v>
      </c>
      <c r="H20" s="948">
        <v>6131</v>
      </c>
      <c r="I20" s="948">
        <f t="shared" si="3"/>
        <v>810</v>
      </c>
      <c r="J20" s="948">
        <v>72</v>
      </c>
      <c r="K20" s="948">
        <v>738</v>
      </c>
      <c r="L20" s="948">
        <v>7377</v>
      </c>
    </row>
    <row r="21" spans="1:12" x14ac:dyDescent="0.25">
      <c r="A21" s="843">
        <v>10</v>
      </c>
      <c r="B21" s="847" t="s">
        <v>34</v>
      </c>
      <c r="C21" s="848" t="s">
        <v>35</v>
      </c>
      <c r="D21" s="948">
        <f t="shared" si="1"/>
        <v>11957</v>
      </c>
      <c r="E21" s="948">
        <v>0</v>
      </c>
      <c r="F21" s="948">
        <f t="shared" si="2"/>
        <v>9860</v>
      </c>
      <c r="G21" s="948">
        <v>972</v>
      </c>
      <c r="H21" s="948">
        <v>8888</v>
      </c>
      <c r="I21" s="948">
        <f t="shared" si="3"/>
        <v>2097</v>
      </c>
      <c r="J21" s="948">
        <v>0</v>
      </c>
      <c r="K21" s="948">
        <v>2097</v>
      </c>
      <c r="L21" s="948">
        <v>9011</v>
      </c>
    </row>
    <row r="22" spans="1:12" x14ac:dyDescent="0.25">
      <c r="A22" s="843">
        <v>11</v>
      </c>
      <c r="B22" s="847" t="s">
        <v>36</v>
      </c>
      <c r="C22" s="848" t="s">
        <v>37</v>
      </c>
      <c r="D22" s="948">
        <f t="shared" si="1"/>
        <v>9966</v>
      </c>
      <c r="E22" s="948">
        <v>0</v>
      </c>
      <c r="F22" s="948">
        <f t="shared" si="2"/>
        <v>7591</v>
      </c>
      <c r="G22" s="948">
        <v>957</v>
      </c>
      <c r="H22" s="948">
        <v>6634</v>
      </c>
      <c r="I22" s="948">
        <f t="shared" si="3"/>
        <v>2375</v>
      </c>
      <c r="J22" s="948">
        <v>24</v>
      </c>
      <c r="K22" s="948">
        <v>2351</v>
      </c>
      <c r="L22" s="948">
        <v>8641</v>
      </c>
    </row>
    <row r="23" spans="1:12" x14ac:dyDescent="0.25">
      <c r="A23" s="843">
        <v>12</v>
      </c>
      <c r="B23" s="847" t="s">
        <v>38</v>
      </c>
      <c r="C23" s="848" t="s">
        <v>39</v>
      </c>
      <c r="D23" s="948">
        <f t="shared" si="1"/>
        <v>16078</v>
      </c>
      <c r="E23" s="948">
        <v>0</v>
      </c>
      <c r="F23" s="948">
        <f t="shared" si="2"/>
        <v>10521</v>
      </c>
      <c r="G23" s="948">
        <v>1681</v>
      </c>
      <c r="H23" s="948">
        <v>8840</v>
      </c>
      <c r="I23" s="948">
        <f t="shared" si="3"/>
        <v>5557</v>
      </c>
      <c r="J23" s="948">
        <v>40</v>
      </c>
      <c r="K23" s="948">
        <v>5517</v>
      </c>
      <c r="L23" s="948">
        <v>14669</v>
      </c>
    </row>
    <row r="24" spans="1:12" x14ac:dyDescent="0.25">
      <c r="A24" s="850">
        <v>13</v>
      </c>
      <c r="B24" s="847" t="s">
        <v>40</v>
      </c>
      <c r="C24" s="848" t="s">
        <v>41</v>
      </c>
      <c r="D24" s="948">
        <f t="shared" si="1"/>
        <v>0</v>
      </c>
      <c r="E24" s="948">
        <v>0</v>
      </c>
      <c r="F24" s="948">
        <f t="shared" si="2"/>
        <v>0</v>
      </c>
      <c r="G24" s="948">
        <v>0</v>
      </c>
      <c r="H24" s="948">
        <v>0</v>
      </c>
      <c r="I24" s="948">
        <f t="shared" si="3"/>
        <v>0</v>
      </c>
      <c r="J24" s="948">
        <v>0</v>
      </c>
      <c r="K24" s="948">
        <v>0</v>
      </c>
      <c r="L24" s="948">
        <v>0</v>
      </c>
    </row>
    <row r="25" spans="1:12" ht="24" x14ac:dyDescent="0.25">
      <c r="A25" s="843">
        <v>14</v>
      </c>
      <c r="B25" s="844" t="s">
        <v>42</v>
      </c>
      <c r="C25" s="848" t="s">
        <v>43</v>
      </c>
      <c r="D25" s="948">
        <f t="shared" si="1"/>
        <v>0</v>
      </c>
      <c r="E25" s="948">
        <v>0</v>
      </c>
      <c r="F25" s="948">
        <f t="shared" si="2"/>
        <v>0</v>
      </c>
      <c r="G25" s="948">
        <v>0</v>
      </c>
      <c r="H25" s="948">
        <v>0</v>
      </c>
      <c r="I25" s="948">
        <f t="shared" si="3"/>
        <v>0</v>
      </c>
      <c r="J25" s="948">
        <v>0</v>
      </c>
      <c r="K25" s="948">
        <v>0</v>
      </c>
      <c r="L25" s="948">
        <v>0</v>
      </c>
    </row>
    <row r="26" spans="1:12" x14ac:dyDescent="0.25">
      <c r="A26" s="850">
        <v>15</v>
      </c>
      <c r="B26" s="847" t="s">
        <v>44</v>
      </c>
      <c r="C26" s="848" t="s">
        <v>45</v>
      </c>
      <c r="D26" s="948">
        <f t="shared" si="1"/>
        <v>6313</v>
      </c>
      <c r="E26" s="948">
        <v>0</v>
      </c>
      <c r="F26" s="948">
        <f t="shared" si="2"/>
        <v>5461</v>
      </c>
      <c r="G26" s="948">
        <v>778</v>
      </c>
      <c r="H26" s="948">
        <v>4683</v>
      </c>
      <c r="I26" s="948">
        <f t="shared" si="3"/>
        <v>852</v>
      </c>
      <c r="J26" s="948">
        <v>0</v>
      </c>
      <c r="K26" s="948">
        <v>852</v>
      </c>
      <c r="L26" s="948">
        <v>6357</v>
      </c>
    </row>
    <row r="27" spans="1:12" x14ac:dyDescent="0.25">
      <c r="A27" s="843">
        <v>16</v>
      </c>
      <c r="B27" s="847" t="s">
        <v>46</v>
      </c>
      <c r="C27" s="848" t="s">
        <v>47</v>
      </c>
      <c r="D27" s="948">
        <f t="shared" si="1"/>
        <v>9605</v>
      </c>
      <c r="E27" s="948">
        <v>0</v>
      </c>
      <c r="F27" s="948">
        <f t="shared" si="2"/>
        <v>7092</v>
      </c>
      <c r="G27" s="948">
        <v>649</v>
      </c>
      <c r="H27" s="948">
        <v>6443</v>
      </c>
      <c r="I27" s="948">
        <f t="shared" si="3"/>
        <v>2513</v>
      </c>
      <c r="J27" s="948">
        <v>0</v>
      </c>
      <c r="K27" s="948">
        <v>2513</v>
      </c>
      <c r="L27" s="948">
        <v>6446</v>
      </c>
    </row>
    <row r="28" spans="1:12" x14ac:dyDescent="0.25">
      <c r="A28" s="850">
        <v>17</v>
      </c>
      <c r="B28" s="847" t="s">
        <v>48</v>
      </c>
      <c r="C28" s="848" t="s">
        <v>49</v>
      </c>
      <c r="D28" s="948">
        <f t="shared" si="1"/>
        <v>9979</v>
      </c>
      <c r="E28" s="948">
        <v>0</v>
      </c>
      <c r="F28" s="948">
        <f t="shared" si="2"/>
        <v>7657</v>
      </c>
      <c r="G28" s="948">
        <v>1567</v>
      </c>
      <c r="H28" s="948">
        <v>6090</v>
      </c>
      <c r="I28" s="948">
        <f t="shared" si="3"/>
        <v>2322</v>
      </c>
      <c r="J28" s="948">
        <v>0</v>
      </c>
      <c r="K28" s="948">
        <v>2322</v>
      </c>
      <c r="L28" s="948">
        <v>7622</v>
      </c>
    </row>
    <row r="29" spans="1:12" x14ac:dyDescent="0.25">
      <c r="A29" s="843">
        <v>18</v>
      </c>
      <c r="B29" s="847" t="s">
        <v>50</v>
      </c>
      <c r="C29" s="848" t="s">
        <v>51</v>
      </c>
      <c r="D29" s="948">
        <f t="shared" si="1"/>
        <v>22658</v>
      </c>
      <c r="E29" s="948">
        <v>0</v>
      </c>
      <c r="F29" s="948">
        <f t="shared" si="2"/>
        <v>17014</v>
      </c>
      <c r="G29" s="948">
        <v>2510</v>
      </c>
      <c r="H29" s="948">
        <v>14504</v>
      </c>
      <c r="I29" s="948">
        <f t="shared" si="3"/>
        <v>5644</v>
      </c>
      <c r="J29" s="948">
        <v>340</v>
      </c>
      <c r="K29" s="948">
        <v>5304</v>
      </c>
      <c r="L29" s="948">
        <v>13025</v>
      </c>
    </row>
    <row r="30" spans="1:12" x14ac:dyDescent="0.25">
      <c r="A30" s="850">
        <v>19</v>
      </c>
      <c r="B30" s="844" t="s">
        <v>52</v>
      </c>
      <c r="C30" s="845" t="s">
        <v>53</v>
      </c>
      <c r="D30" s="948">
        <f t="shared" si="1"/>
        <v>6972</v>
      </c>
      <c r="E30" s="948">
        <v>0</v>
      </c>
      <c r="F30" s="948">
        <f t="shared" si="2"/>
        <v>3088</v>
      </c>
      <c r="G30" s="948">
        <v>1109</v>
      </c>
      <c r="H30" s="948">
        <v>1979</v>
      </c>
      <c r="I30" s="948">
        <f t="shared" si="3"/>
        <v>3884</v>
      </c>
      <c r="J30" s="948">
        <v>100</v>
      </c>
      <c r="K30" s="948">
        <v>3784</v>
      </c>
      <c r="L30" s="948">
        <v>3339</v>
      </c>
    </row>
    <row r="31" spans="1:12" x14ac:dyDescent="0.25">
      <c r="A31" s="843">
        <v>20</v>
      </c>
      <c r="B31" s="844" t="s">
        <v>54</v>
      </c>
      <c r="C31" s="845" t="s">
        <v>55</v>
      </c>
      <c r="D31" s="948">
        <f t="shared" si="1"/>
        <v>5727</v>
      </c>
      <c r="E31" s="948">
        <v>0</v>
      </c>
      <c r="F31" s="948">
        <f t="shared" si="2"/>
        <v>5244</v>
      </c>
      <c r="G31" s="948">
        <v>1078</v>
      </c>
      <c r="H31" s="948">
        <v>4166</v>
      </c>
      <c r="I31" s="948">
        <f t="shared" si="3"/>
        <v>483</v>
      </c>
      <c r="J31" s="948">
        <v>0</v>
      </c>
      <c r="K31" s="948">
        <v>483</v>
      </c>
      <c r="L31" s="948">
        <v>4550</v>
      </c>
    </row>
    <row r="32" spans="1:12" x14ac:dyDescent="0.25">
      <c r="A32" s="850">
        <v>21</v>
      </c>
      <c r="B32" s="844" t="s">
        <v>56</v>
      </c>
      <c r="C32" s="845" t="s">
        <v>57</v>
      </c>
      <c r="D32" s="948">
        <f t="shared" si="1"/>
        <v>22456</v>
      </c>
      <c r="E32" s="948">
        <v>0</v>
      </c>
      <c r="F32" s="948">
        <f t="shared" si="2"/>
        <v>13395</v>
      </c>
      <c r="G32" s="948">
        <v>2275</v>
      </c>
      <c r="H32" s="948">
        <v>11120</v>
      </c>
      <c r="I32" s="948">
        <f t="shared" si="3"/>
        <v>9061</v>
      </c>
      <c r="J32" s="948">
        <v>910</v>
      </c>
      <c r="K32" s="948">
        <v>8151</v>
      </c>
      <c r="L32" s="948">
        <v>17600</v>
      </c>
    </row>
    <row r="33" spans="1:12" x14ac:dyDescent="0.25">
      <c r="A33" s="843">
        <v>22</v>
      </c>
      <c r="B33" s="844" t="s">
        <v>58</v>
      </c>
      <c r="C33" s="845" t="s">
        <v>59</v>
      </c>
      <c r="D33" s="948">
        <f t="shared" si="1"/>
        <v>14461</v>
      </c>
      <c r="E33" s="948">
        <v>0</v>
      </c>
      <c r="F33" s="948">
        <f t="shared" si="2"/>
        <v>9303</v>
      </c>
      <c r="G33" s="948">
        <v>1515</v>
      </c>
      <c r="H33" s="948">
        <v>7788</v>
      </c>
      <c r="I33" s="948">
        <f t="shared" si="3"/>
        <v>5158</v>
      </c>
      <c r="J33" s="948">
        <v>306</v>
      </c>
      <c r="K33" s="948">
        <v>4852</v>
      </c>
      <c r="L33" s="948">
        <v>17702</v>
      </c>
    </row>
    <row r="34" spans="1:12" x14ac:dyDescent="0.25">
      <c r="A34" s="850">
        <v>23</v>
      </c>
      <c r="B34" s="847" t="s">
        <v>60</v>
      </c>
      <c r="C34" s="848" t="s">
        <v>61</v>
      </c>
      <c r="D34" s="948">
        <f t="shared" si="1"/>
        <v>4198</v>
      </c>
      <c r="E34" s="948">
        <v>0</v>
      </c>
      <c r="F34" s="948">
        <f t="shared" si="2"/>
        <v>3043</v>
      </c>
      <c r="G34" s="948">
        <v>332</v>
      </c>
      <c r="H34" s="948">
        <v>2711</v>
      </c>
      <c r="I34" s="948">
        <f t="shared" si="3"/>
        <v>1155</v>
      </c>
      <c r="J34" s="948">
        <v>78</v>
      </c>
      <c r="K34" s="948">
        <v>1077</v>
      </c>
      <c r="L34" s="948">
        <v>2092</v>
      </c>
    </row>
    <row r="35" spans="1:12" x14ac:dyDescent="0.25">
      <c r="A35" s="843">
        <v>24</v>
      </c>
      <c r="B35" s="847" t="s">
        <v>62</v>
      </c>
      <c r="C35" s="848" t="s">
        <v>63</v>
      </c>
      <c r="D35" s="948">
        <f t="shared" si="1"/>
        <v>0</v>
      </c>
      <c r="E35" s="948">
        <v>0</v>
      </c>
      <c r="F35" s="948">
        <f t="shared" si="2"/>
        <v>0</v>
      </c>
      <c r="G35" s="948">
        <v>0</v>
      </c>
      <c r="H35" s="948">
        <v>0</v>
      </c>
      <c r="I35" s="948">
        <f t="shared" si="3"/>
        <v>0</v>
      </c>
      <c r="J35" s="948">
        <v>0</v>
      </c>
      <c r="K35" s="948">
        <v>0</v>
      </c>
      <c r="L35" s="948">
        <v>0</v>
      </c>
    </row>
    <row r="36" spans="1:12" ht="24" x14ac:dyDescent="0.25">
      <c r="A36" s="850">
        <v>25</v>
      </c>
      <c r="B36" s="847" t="s">
        <v>64</v>
      </c>
      <c r="C36" s="848" t="s">
        <v>65</v>
      </c>
      <c r="D36" s="948">
        <f t="shared" si="1"/>
        <v>0</v>
      </c>
      <c r="E36" s="948">
        <v>0</v>
      </c>
      <c r="F36" s="948">
        <f t="shared" si="2"/>
        <v>0</v>
      </c>
      <c r="G36" s="948">
        <v>0</v>
      </c>
      <c r="H36" s="948">
        <v>0</v>
      </c>
      <c r="I36" s="948">
        <f t="shared" si="3"/>
        <v>0</v>
      </c>
      <c r="J36" s="948">
        <v>0</v>
      </c>
      <c r="K36" s="948">
        <v>0</v>
      </c>
      <c r="L36" s="948">
        <v>0</v>
      </c>
    </row>
    <row r="37" spans="1:12" x14ac:dyDescent="0.25">
      <c r="A37" s="843">
        <v>26</v>
      </c>
      <c r="B37" s="844" t="s">
        <v>66</v>
      </c>
      <c r="C37" s="32" t="s">
        <v>67</v>
      </c>
      <c r="D37" s="948">
        <f t="shared" si="1"/>
        <v>58776</v>
      </c>
      <c r="E37" s="948">
        <v>0</v>
      </c>
      <c r="F37" s="948">
        <f t="shared" si="2"/>
        <v>54904</v>
      </c>
      <c r="G37" s="948">
        <v>6718</v>
      </c>
      <c r="H37" s="948">
        <v>48186</v>
      </c>
      <c r="I37" s="948">
        <f t="shared" si="3"/>
        <v>3872</v>
      </c>
      <c r="J37" s="948">
        <v>147</v>
      </c>
      <c r="K37" s="948">
        <v>3725</v>
      </c>
      <c r="L37" s="948">
        <v>43837</v>
      </c>
    </row>
    <row r="38" spans="1:12" x14ac:dyDescent="0.25">
      <c r="A38" s="850">
        <v>27</v>
      </c>
      <c r="B38" s="847" t="s">
        <v>68</v>
      </c>
      <c r="C38" s="848" t="s">
        <v>69</v>
      </c>
      <c r="D38" s="948">
        <f t="shared" si="1"/>
        <v>7824</v>
      </c>
      <c r="E38" s="948">
        <v>0</v>
      </c>
      <c r="F38" s="948">
        <f t="shared" si="2"/>
        <v>4563</v>
      </c>
      <c r="G38" s="948">
        <v>1131</v>
      </c>
      <c r="H38" s="948">
        <v>3432</v>
      </c>
      <c r="I38" s="948">
        <f t="shared" si="3"/>
        <v>3261</v>
      </c>
      <c r="J38" s="948">
        <v>42</v>
      </c>
      <c r="K38" s="948">
        <v>3219</v>
      </c>
      <c r="L38" s="948">
        <v>11602</v>
      </c>
    </row>
    <row r="39" spans="1:12" x14ac:dyDescent="0.25">
      <c r="A39" s="843">
        <v>28</v>
      </c>
      <c r="B39" s="847" t="s">
        <v>70</v>
      </c>
      <c r="C39" s="848" t="s">
        <v>71</v>
      </c>
      <c r="D39" s="948">
        <f t="shared" si="1"/>
        <v>5463</v>
      </c>
      <c r="E39" s="948">
        <v>0</v>
      </c>
      <c r="F39" s="948">
        <f t="shared" si="2"/>
        <v>0</v>
      </c>
      <c r="G39" s="948">
        <v>0</v>
      </c>
      <c r="H39" s="948">
        <v>0</v>
      </c>
      <c r="I39" s="948">
        <f t="shared" si="3"/>
        <v>5463</v>
      </c>
      <c r="J39" s="948">
        <v>0</v>
      </c>
      <c r="K39" s="948">
        <v>5463</v>
      </c>
      <c r="L39" s="948">
        <v>0</v>
      </c>
    </row>
    <row r="40" spans="1:12" x14ac:dyDescent="0.25">
      <c r="A40" s="850">
        <v>29</v>
      </c>
      <c r="B40" s="846" t="s">
        <v>72</v>
      </c>
      <c r="C40" s="32" t="s">
        <v>73</v>
      </c>
      <c r="D40" s="948">
        <f t="shared" si="1"/>
        <v>0</v>
      </c>
      <c r="E40" s="948">
        <v>0</v>
      </c>
      <c r="F40" s="948">
        <f t="shared" si="2"/>
        <v>0</v>
      </c>
      <c r="G40" s="948">
        <v>0</v>
      </c>
      <c r="H40" s="948">
        <v>0</v>
      </c>
      <c r="I40" s="948">
        <f t="shared" si="3"/>
        <v>0</v>
      </c>
      <c r="J40" s="948">
        <v>0</v>
      </c>
      <c r="K40" s="948">
        <v>0</v>
      </c>
      <c r="L40" s="948">
        <v>0</v>
      </c>
    </row>
    <row r="41" spans="1:12" x14ac:dyDescent="0.25">
      <c r="A41" s="843">
        <v>30</v>
      </c>
      <c r="B41" s="844" t="s">
        <v>74</v>
      </c>
      <c r="C41" s="845" t="s">
        <v>357</v>
      </c>
      <c r="D41" s="948">
        <f t="shared" si="1"/>
        <v>0</v>
      </c>
      <c r="E41" s="948">
        <v>0</v>
      </c>
      <c r="F41" s="948">
        <f t="shared" si="2"/>
        <v>0</v>
      </c>
      <c r="G41" s="948">
        <v>0</v>
      </c>
      <c r="H41" s="948">
        <v>0</v>
      </c>
      <c r="I41" s="948">
        <f t="shared" si="3"/>
        <v>0</v>
      </c>
      <c r="J41" s="948">
        <v>0</v>
      </c>
      <c r="K41" s="948">
        <v>0</v>
      </c>
      <c r="L41" s="948">
        <v>0</v>
      </c>
    </row>
    <row r="42" spans="1:12" ht="24" x14ac:dyDescent="0.25">
      <c r="A42" s="850">
        <v>31</v>
      </c>
      <c r="B42" s="847" t="s">
        <v>75</v>
      </c>
      <c r="C42" s="848" t="s">
        <v>76</v>
      </c>
      <c r="D42" s="948">
        <f t="shared" si="1"/>
        <v>1051</v>
      </c>
      <c r="E42" s="948">
        <v>0</v>
      </c>
      <c r="F42" s="948">
        <f t="shared" si="2"/>
        <v>1051</v>
      </c>
      <c r="G42" s="948">
        <v>180</v>
      </c>
      <c r="H42" s="948">
        <v>871</v>
      </c>
      <c r="I42" s="948">
        <f t="shared" si="3"/>
        <v>0</v>
      </c>
      <c r="J42" s="948">
        <v>0</v>
      </c>
      <c r="K42" s="948">
        <v>0</v>
      </c>
      <c r="L42" s="948">
        <v>156</v>
      </c>
    </row>
    <row r="43" spans="1:12" x14ac:dyDescent="0.25">
      <c r="A43" s="843">
        <v>32</v>
      </c>
      <c r="B43" s="846" t="s">
        <v>77</v>
      </c>
      <c r="C43" s="845" t="s">
        <v>78</v>
      </c>
      <c r="D43" s="948">
        <f t="shared" si="1"/>
        <v>21148</v>
      </c>
      <c r="E43" s="948">
        <v>0</v>
      </c>
      <c r="F43" s="948">
        <f t="shared" si="2"/>
        <v>18904</v>
      </c>
      <c r="G43" s="948">
        <v>4877</v>
      </c>
      <c r="H43" s="948">
        <v>14027</v>
      </c>
      <c r="I43" s="948">
        <f t="shared" si="3"/>
        <v>2244</v>
      </c>
      <c r="J43" s="948">
        <v>645</v>
      </c>
      <c r="K43" s="948">
        <v>1599</v>
      </c>
      <c r="L43" s="948">
        <v>18204</v>
      </c>
    </row>
    <row r="44" spans="1:12" x14ac:dyDescent="0.25">
      <c r="A44" s="850">
        <v>33</v>
      </c>
      <c r="B44" s="849" t="s">
        <v>79</v>
      </c>
      <c r="C44" s="32" t="s">
        <v>80</v>
      </c>
      <c r="D44" s="948">
        <f t="shared" si="1"/>
        <v>44023</v>
      </c>
      <c r="E44" s="948">
        <v>0</v>
      </c>
      <c r="F44" s="948">
        <f t="shared" si="2"/>
        <v>33066</v>
      </c>
      <c r="G44" s="948">
        <v>5220</v>
      </c>
      <c r="H44" s="948">
        <v>27846</v>
      </c>
      <c r="I44" s="948">
        <f t="shared" si="3"/>
        <v>10957</v>
      </c>
      <c r="J44" s="948">
        <v>100</v>
      </c>
      <c r="K44" s="948">
        <v>10857</v>
      </c>
      <c r="L44" s="948">
        <v>26101</v>
      </c>
    </row>
    <row r="45" spans="1:12" x14ac:dyDescent="0.25">
      <c r="A45" s="843">
        <v>34</v>
      </c>
      <c r="B45" s="846" t="s">
        <v>81</v>
      </c>
      <c r="C45" s="845" t="s">
        <v>82</v>
      </c>
      <c r="D45" s="948">
        <f t="shared" si="1"/>
        <v>5060</v>
      </c>
      <c r="E45" s="948">
        <v>0</v>
      </c>
      <c r="F45" s="948">
        <f t="shared" si="2"/>
        <v>3948</v>
      </c>
      <c r="G45" s="948">
        <v>511</v>
      </c>
      <c r="H45" s="948">
        <v>3437</v>
      </c>
      <c r="I45" s="948">
        <f t="shared" si="3"/>
        <v>1112</v>
      </c>
      <c r="J45" s="948">
        <v>0</v>
      </c>
      <c r="K45" s="948">
        <v>1112</v>
      </c>
      <c r="L45" s="948">
        <v>4276</v>
      </c>
    </row>
    <row r="46" spans="1:12" x14ac:dyDescent="0.25">
      <c r="A46" s="850">
        <v>35</v>
      </c>
      <c r="B46" s="847" t="s">
        <v>83</v>
      </c>
      <c r="C46" s="848" t="s">
        <v>84</v>
      </c>
      <c r="D46" s="948">
        <f t="shared" si="1"/>
        <v>25961</v>
      </c>
      <c r="E46" s="948">
        <v>0</v>
      </c>
      <c r="F46" s="948">
        <f t="shared" si="2"/>
        <v>20461</v>
      </c>
      <c r="G46" s="948">
        <v>3918</v>
      </c>
      <c r="H46" s="948">
        <v>16543</v>
      </c>
      <c r="I46" s="948">
        <f t="shared" si="3"/>
        <v>5500</v>
      </c>
      <c r="J46" s="948">
        <v>270</v>
      </c>
      <c r="K46" s="948">
        <v>5230</v>
      </c>
      <c r="L46" s="948">
        <v>16198</v>
      </c>
    </row>
    <row r="47" spans="1:12" x14ac:dyDescent="0.25">
      <c r="A47" s="843">
        <v>36</v>
      </c>
      <c r="B47" s="846" t="s">
        <v>85</v>
      </c>
      <c r="C47" s="845" t="s">
        <v>86</v>
      </c>
      <c r="D47" s="948">
        <f t="shared" si="1"/>
        <v>8655</v>
      </c>
      <c r="E47" s="948">
        <v>0</v>
      </c>
      <c r="F47" s="948">
        <f t="shared" si="2"/>
        <v>6040</v>
      </c>
      <c r="G47" s="948">
        <v>911</v>
      </c>
      <c r="H47" s="948">
        <v>5129</v>
      </c>
      <c r="I47" s="948">
        <f t="shared" si="3"/>
        <v>2615</v>
      </c>
      <c r="J47" s="948">
        <v>22</v>
      </c>
      <c r="K47" s="948">
        <v>2593</v>
      </c>
      <c r="L47" s="948">
        <v>6751</v>
      </c>
    </row>
    <row r="48" spans="1:12" x14ac:dyDescent="0.25">
      <c r="A48" s="850">
        <v>37</v>
      </c>
      <c r="B48" s="844" t="s">
        <v>87</v>
      </c>
      <c r="C48" s="845" t="s">
        <v>88</v>
      </c>
      <c r="D48" s="948">
        <f t="shared" si="1"/>
        <v>22051</v>
      </c>
      <c r="E48" s="948">
        <v>0</v>
      </c>
      <c r="F48" s="948">
        <f t="shared" si="2"/>
        <v>13940</v>
      </c>
      <c r="G48" s="948">
        <v>3484</v>
      </c>
      <c r="H48" s="948">
        <v>10456</v>
      </c>
      <c r="I48" s="948">
        <f t="shared" si="3"/>
        <v>8111</v>
      </c>
      <c r="J48" s="948">
        <v>605</v>
      </c>
      <c r="K48" s="948">
        <v>7506</v>
      </c>
      <c r="L48" s="948">
        <v>30682</v>
      </c>
    </row>
    <row r="49" spans="1:12" x14ac:dyDescent="0.25">
      <c r="A49" s="843">
        <v>38</v>
      </c>
      <c r="B49" s="851" t="s">
        <v>89</v>
      </c>
      <c r="C49" s="852" t="s">
        <v>90</v>
      </c>
      <c r="D49" s="948">
        <f t="shared" si="1"/>
        <v>7860</v>
      </c>
      <c r="E49" s="948">
        <v>0</v>
      </c>
      <c r="F49" s="948">
        <f t="shared" si="2"/>
        <v>6147</v>
      </c>
      <c r="G49" s="948">
        <v>1174</v>
      </c>
      <c r="H49" s="948">
        <v>4973</v>
      </c>
      <c r="I49" s="948">
        <f t="shared" si="3"/>
        <v>1713</v>
      </c>
      <c r="J49" s="948">
        <v>144</v>
      </c>
      <c r="K49" s="948">
        <v>1569</v>
      </c>
      <c r="L49" s="948">
        <v>6892</v>
      </c>
    </row>
    <row r="50" spans="1:12" x14ac:dyDescent="0.25">
      <c r="A50" s="850">
        <v>39</v>
      </c>
      <c r="B50" s="844" t="s">
        <v>91</v>
      </c>
      <c r="C50" s="845" t="s">
        <v>92</v>
      </c>
      <c r="D50" s="948">
        <f t="shared" si="1"/>
        <v>5072</v>
      </c>
      <c r="E50" s="948">
        <v>0</v>
      </c>
      <c r="F50" s="948">
        <f t="shared" si="2"/>
        <v>3560</v>
      </c>
      <c r="G50" s="948">
        <v>496</v>
      </c>
      <c r="H50" s="948">
        <v>3064</v>
      </c>
      <c r="I50" s="948">
        <f t="shared" si="3"/>
        <v>1512</v>
      </c>
      <c r="J50" s="948">
        <v>66</v>
      </c>
      <c r="K50" s="948">
        <v>1446</v>
      </c>
      <c r="L50" s="948">
        <v>7075</v>
      </c>
    </row>
    <row r="51" spans="1:12" x14ac:dyDescent="0.25">
      <c r="A51" s="843">
        <v>40</v>
      </c>
      <c r="B51" s="849" t="s">
        <v>93</v>
      </c>
      <c r="C51" s="32" t="s">
        <v>94</v>
      </c>
      <c r="D51" s="948">
        <f t="shared" si="1"/>
        <v>15379</v>
      </c>
      <c r="E51" s="948">
        <v>0</v>
      </c>
      <c r="F51" s="948">
        <f t="shared" si="2"/>
        <v>10503</v>
      </c>
      <c r="G51" s="948">
        <v>1249</v>
      </c>
      <c r="H51" s="948">
        <v>9254</v>
      </c>
      <c r="I51" s="948">
        <f t="shared" si="3"/>
        <v>4876</v>
      </c>
      <c r="J51" s="948">
        <v>0</v>
      </c>
      <c r="K51" s="948">
        <v>4876</v>
      </c>
      <c r="L51" s="948">
        <v>11151</v>
      </c>
    </row>
    <row r="52" spans="1:12" x14ac:dyDescent="0.25">
      <c r="A52" s="850">
        <v>41</v>
      </c>
      <c r="B52" s="847" t="s">
        <v>95</v>
      </c>
      <c r="C52" s="848" t="s">
        <v>96</v>
      </c>
      <c r="D52" s="948">
        <f t="shared" si="1"/>
        <v>4501</v>
      </c>
      <c r="E52" s="948">
        <v>0</v>
      </c>
      <c r="F52" s="948">
        <f t="shared" si="2"/>
        <v>3020</v>
      </c>
      <c r="G52" s="948">
        <v>729</v>
      </c>
      <c r="H52" s="948">
        <v>2291</v>
      </c>
      <c r="I52" s="948">
        <f t="shared" si="3"/>
        <v>1481</v>
      </c>
      <c r="J52" s="948">
        <v>276</v>
      </c>
      <c r="K52" s="948">
        <v>1205</v>
      </c>
      <c r="L52" s="948">
        <v>4778</v>
      </c>
    </row>
    <row r="53" spans="1:12" x14ac:dyDescent="0.25">
      <c r="A53" s="843">
        <v>42</v>
      </c>
      <c r="B53" s="846" t="s">
        <v>97</v>
      </c>
      <c r="C53" s="845" t="s">
        <v>98</v>
      </c>
      <c r="D53" s="948">
        <f t="shared" si="1"/>
        <v>3669</v>
      </c>
      <c r="E53" s="948">
        <v>0</v>
      </c>
      <c r="F53" s="948">
        <f t="shared" si="2"/>
        <v>3669</v>
      </c>
      <c r="G53" s="948">
        <v>978</v>
      </c>
      <c r="H53" s="948">
        <v>2691</v>
      </c>
      <c r="I53" s="948">
        <f t="shared" si="3"/>
        <v>0</v>
      </c>
      <c r="J53" s="948">
        <v>0</v>
      </c>
      <c r="K53" s="948">
        <v>0</v>
      </c>
      <c r="L53" s="948">
        <v>1380</v>
      </c>
    </row>
    <row r="54" spans="1:12" x14ac:dyDescent="0.25">
      <c r="A54" s="850">
        <v>43</v>
      </c>
      <c r="B54" s="847" t="s">
        <v>99</v>
      </c>
      <c r="C54" s="848" t="s">
        <v>100</v>
      </c>
      <c r="D54" s="948">
        <f t="shared" si="1"/>
        <v>26876</v>
      </c>
      <c r="E54" s="948">
        <v>0</v>
      </c>
      <c r="F54" s="948">
        <f t="shared" si="2"/>
        <v>19254</v>
      </c>
      <c r="G54" s="948">
        <v>5778</v>
      </c>
      <c r="H54" s="948">
        <v>13476</v>
      </c>
      <c r="I54" s="948">
        <f t="shared" si="3"/>
        <v>7622</v>
      </c>
      <c r="J54" s="948">
        <v>902</v>
      </c>
      <c r="K54" s="948">
        <v>6720</v>
      </c>
      <c r="L54" s="948">
        <v>30550</v>
      </c>
    </row>
    <row r="55" spans="1:12" x14ac:dyDescent="0.25">
      <c r="A55" s="843">
        <v>44</v>
      </c>
      <c r="B55" s="844" t="s">
        <v>101</v>
      </c>
      <c r="C55" s="845" t="s">
        <v>102</v>
      </c>
      <c r="D55" s="948">
        <f t="shared" si="1"/>
        <v>9160</v>
      </c>
      <c r="E55" s="948">
        <v>0</v>
      </c>
      <c r="F55" s="948">
        <f t="shared" si="2"/>
        <v>6781</v>
      </c>
      <c r="G55" s="948">
        <v>805</v>
      </c>
      <c r="H55" s="948">
        <v>5976</v>
      </c>
      <c r="I55" s="948">
        <f t="shared" si="3"/>
        <v>2379</v>
      </c>
      <c r="J55" s="948">
        <v>700</v>
      </c>
      <c r="K55" s="948">
        <v>1679</v>
      </c>
      <c r="L55" s="948">
        <v>7669</v>
      </c>
    </row>
    <row r="56" spans="1:12" x14ac:dyDescent="0.25">
      <c r="A56" s="850">
        <v>45</v>
      </c>
      <c r="B56" s="844" t="s">
        <v>103</v>
      </c>
      <c r="C56" s="845" t="s">
        <v>104</v>
      </c>
      <c r="D56" s="948">
        <f t="shared" si="1"/>
        <v>13589</v>
      </c>
      <c r="E56" s="948">
        <v>0</v>
      </c>
      <c r="F56" s="948">
        <f t="shared" si="2"/>
        <v>12185</v>
      </c>
      <c r="G56" s="948">
        <v>2420</v>
      </c>
      <c r="H56" s="948">
        <v>9765</v>
      </c>
      <c r="I56" s="948">
        <f t="shared" si="3"/>
        <v>1404</v>
      </c>
      <c r="J56" s="948">
        <v>104</v>
      </c>
      <c r="K56" s="948">
        <v>1300</v>
      </c>
      <c r="L56" s="948">
        <v>11826</v>
      </c>
    </row>
    <row r="57" spans="1:12" x14ac:dyDescent="0.25">
      <c r="A57" s="843">
        <v>46</v>
      </c>
      <c r="B57" s="847" t="s">
        <v>105</v>
      </c>
      <c r="C57" s="848" t="s">
        <v>106</v>
      </c>
      <c r="D57" s="948">
        <f t="shared" si="1"/>
        <v>5263</v>
      </c>
      <c r="E57" s="948">
        <v>0</v>
      </c>
      <c r="F57" s="948">
        <f t="shared" si="2"/>
        <v>4235</v>
      </c>
      <c r="G57" s="948">
        <v>666</v>
      </c>
      <c r="H57" s="948">
        <v>3569</v>
      </c>
      <c r="I57" s="948">
        <f t="shared" si="3"/>
        <v>1028</v>
      </c>
      <c r="J57" s="948">
        <v>204</v>
      </c>
      <c r="K57" s="948">
        <v>824</v>
      </c>
      <c r="L57" s="948">
        <v>6876</v>
      </c>
    </row>
    <row r="58" spans="1:12" x14ac:dyDescent="0.25">
      <c r="A58" s="850">
        <v>47</v>
      </c>
      <c r="B58" s="847" t="s">
        <v>107</v>
      </c>
      <c r="C58" s="848" t="s">
        <v>108</v>
      </c>
      <c r="D58" s="948">
        <f t="shared" si="1"/>
        <v>13597</v>
      </c>
      <c r="E58" s="948">
        <v>0</v>
      </c>
      <c r="F58" s="948">
        <f t="shared" si="2"/>
        <v>12034</v>
      </c>
      <c r="G58" s="948">
        <v>2073</v>
      </c>
      <c r="H58" s="948">
        <v>9961</v>
      </c>
      <c r="I58" s="948">
        <f t="shared" si="3"/>
        <v>1563</v>
      </c>
      <c r="J58" s="948">
        <v>69</v>
      </c>
      <c r="K58" s="948">
        <v>1494</v>
      </c>
      <c r="L58" s="948">
        <v>10643</v>
      </c>
    </row>
    <row r="59" spans="1:12" x14ac:dyDescent="0.25">
      <c r="A59" s="843">
        <v>48</v>
      </c>
      <c r="B59" s="846" t="s">
        <v>109</v>
      </c>
      <c r="C59" s="845" t="s">
        <v>110</v>
      </c>
      <c r="D59" s="948">
        <f t="shared" si="1"/>
        <v>11622</v>
      </c>
      <c r="E59" s="948">
        <v>0</v>
      </c>
      <c r="F59" s="948">
        <f t="shared" si="2"/>
        <v>5728</v>
      </c>
      <c r="G59" s="948">
        <v>1199</v>
      </c>
      <c r="H59" s="948">
        <v>4529</v>
      </c>
      <c r="I59" s="948">
        <f t="shared" si="3"/>
        <v>5894</v>
      </c>
      <c r="J59" s="948">
        <v>0</v>
      </c>
      <c r="K59" s="948">
        <v>5894</v>
      </c>
      <c r="L59" s="948">
        <v>10150</v>
      </c>
    </row>
    <row r="60" spans="1:12" x14ac:dyDescent="0.25">
      <c r="A60" s="850">
        <v>49</v>
      </c>
      <c r="B60" s="847" t="s">
        <v>111</v>
      </c>
      <c r="C60" s="848" t="s">
        <v>112</v>
      </c>
      <c r="D60" s="948">
        <f t="shared" si="1"/>
        <v>6576</v>
      </c>
      <c r="E60" s="948">
        <v>0</v>
      </c>
      <c r="F60" s="948">
        <f t="shared" si="2"/>
        <v>5320</v>
      </c>
      <c r="G60" s="948">
        <v>601</v>
      </c>
      <c r="H60" s="948">
        <v>4719</v>
      </c>
      <c r="I60" s="948">
        <f t="shared" si="3"/>
        <v>1256</v>
      </c>
      <c r="J60" s="948">
        <v>0</v>
      </c>
      <c r="K60" s="948">
        <v>1256</v>
      </c>
      <c r="L60" s="948">
        <v>3976</v>
      </c>
    </row>
    <row r="61" spans="1:12" x14ac:dyDescent="0.25">
      <c r="A61" s="843">
        <v>50</v>
      </c>
      <c r="B61" s="846" t="s">
        <v>113</v>
      </c>
      <c r="C61" s="845" t="s">
        <v>114</v>
      </c>
      <c r="D61" s="948">
        <f t="shared" si="1"/>
        <v>8420</v>
      </c>
      <c r="E61" s="948">
        <v>0</v>
      </c>
      <c r="F61" s="948">
        <f t="shared" si="2"/>
        <v>5881</v>
      </c>
      <c r="G61" s="948">
        <v>1022</v>
      </c>
      <c r="H61" s="948">
        <v>4859</v>
      </c>
      <c r="I61" s="948">
        <f t="shared" si="3"/>
        <v>2539</v>
      </c>
      <c r="J61" s="948">
        <v>346</v>
      </c>
      <c r="K61" s="948">
        <v>2193</v>
      </c>
      <c r="L61" s="948">
        <v>5429</v>
      </c>
    </row>
    <row r="62" spans="1:12" x14ac:dyDescent="0.25">
      <c r="A62" s="850">
        <v>51</v>
      </c>
      <c r="B62" s="847" t="s">
        <v>115</v>
      </c>
      <c r="C62" s="848" t="s">
        <v>116</v>
      </c>
      <c r="D62" s="948">
        <f t="shared" si="1"/>
        <v>16764</v>
      </c>
      <c r="E62" s="948">
        <v>0</v>
      </c>
      <c r="F62" s="948">
        <f t="shared" si="2"/>
        <v>14750</v>
      </c>
      <c r="G62" s="948">
        <v>1186</v>
      </c>
      <c r="H62" s="948">
        <v>13564</v>
      </c>
      <c r="I62" s="948">
        <f t="shared" si="3"/>
        <v>2014</v>
      </c>
      <c r="J62" s="948">
        <v>101</v>
      </c>
      <c r="K62" s="948">
        <v>1913</v>
      </c>
      <c r="L62" s="948">
        <v>12912</v>
      </c>
    </row>
    <row r="63" spans="1:12" x14ac:dyDescent="0.25">
      <c r="A63" s="843">
        <v>52</v>
      </c>
      <c r="B63" s="847" t="s">
        <v>117</v>
      </c>
      <c r="C63" s="848" t="s">
        <v>118</v>
      </c>
      <c r="D63" s="948">
        <f t="shared" si="1"/>
        <v>34555</v>
      </c>
      <c r="E63" s="948">
        <v>0</v>
      </c>
      <c r="F63" s="948">
        <f t="shared" si="2"/>
        <v>26658</v>
      </c>
      <c r="G63" s="948">
        <v>4353</v>
      </c>
      <c r="H63" s="948">
        <v>22305</v>
      </c>
      <c r="I63" s="948">
        <f t="shared" si="3"/>
        <v>7897</v>
      </c>
      <c r="J63" s="948">
        <v>0</v>
      </c>
      <c r="K63" s="948">
        <v>7897</v>
      </c>
      <c r="L63" s="948">
        <v>35668</v>
      </c>
    </row>
    <row r="64" spans="1:12" x14ac:dyDescent="0.25">
      <c r="A64" s="850">
        <v>53</v>
      </c>
      <c r="B64" s="847" t="s">
        <v>119</v>
      </c>
      <c r="C64" s="848" t="s">
        <v>120</v>
      </c>
      <c r="D64" s="948">
        <f t="shared" si="1"/>
        <v>5891</v>
      </c>
      <c r="E64" s="948">
        <v>0</v>
      </c>
      <c r="F64" s="948">
        <f t="shared" si="2"/>
        <v>4902</v>
      </c>
      <c r="G64" s="948">
        <v>636</v>
      </c>
      <c r="H64" s="948">
        <v>4266</v>
      </c>
      <c r="I64" s="948">
        <f t="shared" si="3"/>
        <v>989</v>
      </c>
      <c r="J64" s="948">
        <v>0</v>
      </c>
      <c r="K64" s="948">
        <v>989</v>
      </c>
      <c r="L64" s="948">
        <v>5969</v>
      </c>
    </row>
    <row r="65" spans="1:12" x14ac:dyDescent="0.25">
      <c r="A65" s="843">
        <v>54</v>
      </c>
      <c r="B65" s="847" t="s">
        <v>121</v>
      </c>
      <c r="C65" s="848" t="s">
        <v>122</v>
      </c>
      <c r="D65" s="948">
        <f t="shared" si="1"/>
        <v>0</v>
      </c>
      <c r="E65" s="948">
        <v>0</v>
      </c>
      <c r="F65" s="948">
        <f t="shared" si="2"/>
        <v>0</v>
      </c>
      <c r="G65" s="948">
        <v>0</v>
      </c>
      <c r="H65" s="948">
        <v>0</v>
      </c>
      <c r="I65" s="948">
        <f t="shared" si="3"/>
        <v>0</v>
      </c>
      <c r="J65" s="948">
        <v>0</v>
      </c>
      <c r="K65" s="948">
        <v>0</v>
      </c>
      <c r="L65" s="948">
        <v>0</v>
      </c>
    </row>
    <row r="66" spans="1:12" x14ac:dyDescent="0.25">
      <c r="A66" s="850">
        <v>55</v>
      </c>
      <c r="B66" s="847" t="s">
        <v>123</v>
      </c>
      <c r="C66" s="848" t="s">
        <v>124</v>
      </c>
      <c r="D66" s="948">
        <f t="shared" si="1"/>
        <v>0</v>
      </c>
      <c r="E66" s="948">
        <v>0</v>
      </c>
      <c r="F66" s="948">
        <f t="shared" si="2"/>
        <v>0</v>
      </c>
      <c r="G66" s="948">
        <v>0</v>
      </c>
      <c r="H66" s="948">
        <v>0</v>
      </c>
      <c r="I66" s="948">
        <f t="shared" si="3"/>
        <v>0</v>
      </c>
      <c r="J66" s="948">
        <v>0</v>
      </c>
      <c r="K66" s="948">
        <v>0</v>
      </c>
      <c r="L66" s="948">
        <v>0</v>
      </c>
    </row>
    <row r="67" spans="1:12" ht="24" x14ac:dyDescent="0.25">
      <c r="A67" s="843">
        <v>56</v>
      </c>
      <c r="B67" s="853" t="s">
        <v>125</v>
      </c>
      <c r="C67" s="32" t="s">
        <v>126</v>
      </c>
      <c r="D67" s="948">
        <f t="shared" si="1"/>
        <v>0</v>
      </c>
      <c r="E67" s="948">
        <v>0</v>
      </c>
      <c r="F67" s="948">
        <f t="shared" si="2"/>
        <v>0</v>
      </c>
      <c r="G67" s="948">
        <v>0</v>
      </c>
      <c r="H67" s="948">
        <v>0</v>
      </c>
      <c r="I67" s="948">
        <f t="shared" si="3"/>
        <v>0</v>
      </c>
      <c r="J67" s="948">
        <v>0</v>
      </c>
      <c r="K67" s="948">
        <v>0</v>
      </c>
      <c r="L67" s="948">
        <v>0</v>
      </c>
    </row>
    <row r="68" spans="1:12" ht="24" x14ac:dyDescent="0.25">
      <c r="A68" s="850">
        <v>57</v>
      </c>
      <c r="B68" s="847" t="s">
        <v>127</v>
      </c>
      <c r="C68" s="848" t="s">
        <v>128</v>
      </c>
      <c r="D68" s="948">
        <f t="shared" si="1"/>
        <v>10107</v>
      </c>
      <c r="E68" s="948">
        <v>0</v>
      </c>
      <c r="F68" s="948">
        <f t="shared" si="2"/>
        <v>0</v>
      </c>
      <c r="G68" s="948">
        <v>0</v>
      </c>
      <c r="H68" s="948">
        <v>0</v>
      </c>
      <c r="I68" s="948">
        <f t="shared" si="3"/>
        <v>10107</v>
      </c>
      <c r="J68" s="948">
        <v>360</v>
      </c>
      <c r="K68" s="948">
        <v>9747</v>
      </c>
      <c r="L68" s="948">
        <v>0</v>
      </c>
    </row>
    <row r="69" spans="1:12" ht="24" x14ac:dyDescent="0.25">
      <c r="A69" s="843">
        <v>58</v>
      </c>
      <c r="B69" s="846" t="s">
        <v>129</v>
      </c>
      <c r="C69" s="848" t="s">
        <v>130</v>
      </c>
      <c r="D69" s="948">
        <f t="shared" si="1"/>
        <v>11348</v>
      </c>
      <c r="E69" s="948">
        <v>0</v>
      </c>
      <c r="F69" s="948">
        <f t="shared" si="2"/>
        <v>0</v>
      </c>
      <c r="G69" s="948">
        <v>0</v>
      </c>
      <c r="H69" s="948">
        <v>0</v>
      </c>
      <c r="I69" s="948">
        <f t="shared" si="3"/>
        <v>11348</v>
      </c>
      <c r="J69" s="948">
        <v>516</v>
      </c>
      <c r="K69" s="948">
        <v>10832</v>
      </c>
      <c r="L69" s="948">
        <v>0</v>
      </c>
    </row>
    <row r="70" spans="1:12" ht="24" x14ac:dyDescent="0.25">
      <c r="A70" s="850">
        <v>59</v>
      </c>
      <c r="B70" s="849" t="s">
        <v>131</v>
      </c>
      <c r="C70" s="32" t="s">
        <v>132</v>
      </c>
      <c r="D70" s="948">
        <f t="shared" si="1"/>
        <v>26055</v>
      </c>
      <c r="E70" s="948">
        <v>0</v>
      </c>
      <c r="F70" s="948">
        <f t="shared" si="2"/>
        <v>0</v>
      </c>
      <c r="G70" s="948">
        <v>0</v>
      </c>
      <c r="H70" s="948">
        <v>0</v>
      </c>
      <c r="I70" s="948">
        <f t="shared" si="3"/>
        <v>26055</v>
      </c>
      <c r="J70" s="948">
        <v>0</v>
      </c>
      <c r="K70" s="948">
        <v>26055</v>
      </c>
      <c r="L70" s="948">
        <v>0</v>
      </c>
    </row>
    <row r="71" spans="1:12" ht="24" x14ac:dyDescent="0.25">
      <c r="A71" s="843">
        <v>60</v>
      </c>
      <c r="B71" s="846" t="s">
        <v>133</v>
      </c>
      <c r="C71" s="848" t="s">
        <v>134</v>
      </c>
      <c r="D71" s="948">
        <f t="shared" si="1"/>
        <v>23694</v>
      </c>
      <c r="E71" s="948">
        <v>0</v>
      </c>
      <c r="F71" s="948">
        <f t="shared" si="2"/>
        <v>0</v>
      </c>
      <c r="G71" s="948">
        <v>0</v>
      </c>
      <c r="H71" s="948">
        <v>0</v>
      </c>
      <c r="I71" s="948">
        <f t="shared" si="3"/>
        <v>23694</v>
      </c>
      <c r="J71" s="948">
        <v>0</v>
      </c>
      <c r="K71" s="948">
        <v>23694</v>
      </c>
      <c r="L71" s="948">
        <v>0</v>
      </c>
    </row>
    <row r="72" spans="1:12" ht="24" x14ac:dyDescent="0.25">
      <c r="A72" s="850">
        <v>61</v>
      </c>
      <c r="B72" s="847" t="s">
        <v>135</v>
      </c>
      <c r="C72" s="848" t="s">
        <v>136</v>
      </c>
      <c r="D72" s="948">
        <f t="shared" si="1"/>
        <v>12431</v>
      </c>
      <c r="E72" s="948">
        <v>0</v>
      </c>
      <c r="F72" s="948">
        <f t="shared" si="2"/>
        <v>0</v>
      </c>
      <c r="G72" s="948">
        <v>0</v>
      </c>
      <c r="H72" s="948">
        <v>0</v>
      </c>
      <c r="I72" s="948">
        <f t="shared" si="3"/>
        <v>12431</v>
      </c>
      <c r="J72" s="948">
        <v>1141</v>
      </c>
      <c r="K72" s="948">
        <v>11290</v>
      </c>
      <c r="L72" s="948">
        <v>0</v>
      </c>
    </row>
    <row r="73" spans="1:12" ht="36" x14ac:dyDescent="0.25">
      <c r="A73" s="843">
        <v>62</v>
      </c>
      <c r="B73" s="844" t="s">
        <v>137</v>
      </c>
      <c r="C73" s="848" t="s">
        <v>138</v>
      </c>
      <c r="D73" s="948">
        <f t="shared" si="1"/>
        <v>0</v>
      </c>
      <c r="E73" s="948">
        <v>0</v>
      </c>
      <c r="F73" s="948">
        <f t="shared" si="2"/>
        <v>0</v>
      </c>
      <c r="G73" s="948">
        <v>0</v>
      </c>
      <c r="H73" s="948">
        <v>0</v>
      </c>
      <c r="I73" s="948">
        <f t="shared" si="3"/>
        <v>0</v>
      </c>
      <c r="J73" s="948">
        <v>0</v>
      </c>
      <c r="K73" s="948">
        <v>0</v>
      </c>
      <c r="L73" s="948">
        <v>0</v>
      </c>
    </row>
    <row r="74" spans="1:12" ht="36" x14ac:dyDescent="0.25">
      <c r="A74" s="850">
        <v>63</v>
      </c>
      <c r="B74" s="844" t="s">
        <v>139</v>
      </c>
      <c r="C74" s="848" t="s">
        <v>140</v>
      </c>
      <c r="D74" s="948">
        <f t="shared" si="1"/>
        <v>0</v>
      </c>
      <c r="E74" s="948">
        <v>0</v>
      </c>
      <c r="F74" s="948">
        <f t="shared" si="2"/>
        <v>0</v>
      </c>
      <c r="G74" s="948">
        <v>0</v>
      </c>
      <c r="H74" s="948">
        <v>0</v>
      </c>
      <c r="I74" s="948">
        <f t="shared" si="3"/>
        <v>0</v>
      </c>
      <c r="J74" s="948">
        <v>0</v>
      </c>
      <c r="K74" s="948">
        <v>0</v>
      </c>
      <c r="L74" s="948">
        <v>0</v>
      </c>
    </row>
    <row r="75" spans="1:12" x14ac:dyDescent="0.25">
      <c r="A75" s="843">
        <v>64</v>
      </c>
      <c r="B75" s="846" t="s">
        <v>141</v>
      </c>
      <c r="C75" s="848" t="s">
        <v>142</v>
      </c>
      <c r="D75" s="948">
        <f t="shared" si="1"/>
        <v>22257</v>
      </c>
      <c r="E75" s="948">
        <v>0</v>
      </c>
      <c r="F75" s="948">
        <f t="shared" si="2"/>
        <v>22257</v>
      </c>
      <c r="G75" s="948">
        <v>4760</v>
      </c>
      <c r="H75" s="948">
        <v>17497</v>
      </c>
      <c r="I75" s="948">
        <f t="shared" si="3"/>
        <v>0</v>
      </c>
      <c r="J75" s="948">
        <v>0</v>
      </c>
      <c r="K75" s="948">
        <v>0</v>
      </c>
      <c r="L75" s="948">
        <v>26470</v>
      </c>
    </row>
    <row r="76" spans="1:12" x14ac:dyDescent="0.25">
      <c r="A76" s="850">
        <v>65</v>
      </c>
      <c r="B76" s="846" t="s">
        <v>143</v>
      </c>
      <c r="C76" s="845" t="s">
        <v>144</v>
      </c>
      <c r="D76" s="948">
        <f t="shared" ref="D76:D139" si="4">E76+F76+I76</f>
        <v>41782</v>
      </c>
      <c r="E76" s="948">
        <v>0</v>
      </c>
      <c r="F76" s="948">
        <f t="shared" ref="F76:F139" si="5">G76+H76</f>
        <v>41782</v>
      </c>
      <c r="G76" s="948">
        <v>4652</v>
      </c>
      <c r="H76" s="948">
        <v>37130</v>
      </c>
      <c r="I76" s="948">
        <f t="shared" ref="I76:I139" si="6">J76+K76</f>
        <v>0</v>
      </c>
      <c r="J76" s="948">
        <v>0</v>
      </c>
      <c r="K76" s="948">
        <v>0</v>
      </c>
      <c r="L76" s="948">
        <v>30027</v>
      </c>
    </row>
    <row r="77" spans="1:12" x14ac:dyDescent="0.25">
      <c r="A77" s="843">
        <v>66</v>
      </c>
      <c r="B77" s="846" t="s">
        <v>145</v>
      </c>
      <c r="C77" s="848" t="s">
        <v>146</v>
      </c>
      <c r="D77" s="948">
        <f t="shared" si="4"/>
        <v>60904</v>
      </c>
      <c r="E77" s="948">
        <v>0</v>
      </c>
      <c r="F77" s="948">
        <f t="shared" si="5"/>
        <v>60904</v>
      </c>
      <c r="G77" s="948">
        <v>9311</v>
      </c>
      <c r="H77" s="948">
        <v>51593</v>
      </c>
      <c r="I77" s="948">
        <f t="shared" si="6"/>
        <v>0</v>
      </c>
      <c r="J77" s="948">
        <v>0</v>
      </c>
      <c r="K77" s="948">
        <v>0</v>
      </c>
      <c r="L77" s="948">
        <v>42131</v>
      </c>
    </row>
    <row r="78" spans="1:12" ht="24" x14ac:dyDescent="0.25">
      <c r="A78" s="850">
        <v>67</v>
      </c>
      <c r="B78" s="846" t="s">
        <v>147</v>
      </c>
      <c r="C78" s="848" t="s">
        <v>148</v>
      </c>
      <c r="D78" s="948">
        <f t="shared" si="4"/>
        <v>7</v>
      </c>
      <c r="E78" s="948">
        <v>7</v>
      </c>
      <c r="F78" s="948">
        <f t="shared" si="5"/>
        <v>0</v>
      </c>
      <c r="G78" s="948">
        <v>0</v>
      </c>
      <c r="H78" s="948">
        <v>0</v>
      </c>
      <c r="I78" s="948">
        <f t="shared" si="6"/>
        <v>0</v>
      </c>
      <c r="J78" s="948">
        <v>0</v>
      </c>
      <c r="K78" s="948">
        <v>0</v>
      </c>
      <c r="L78" s="948">
        <v>7</v>
      </c>
    </row>
    <row r="79" spans="1:12" ht="24" x14ac:dyDescent="0.25">
      <c r="A79" s="843">
        <v>68</v>
      </c>
      <c r="B79" s="844" t="s">
        <v>149</v>
      </c>
      <c r="C79" s="848" t="s">
        <v>150</v>
      </c>
      <c r="D79" s="948">
        <f t="shared" si="4"/>
        <v>1</v>
      </c>
      <c r="E79" s="948">
        <v>1</v>
      </c>
      <c r="F79" s="948">
        <f t="shared" si="5"/>
        <v>0</v>
      </c>
      <c r="G79" s="948">
        <v>0</v>
      </c>
      <c r="H79" s="948">
        <v>0</v>
      </c>
      <c r="I79" s="948">
        <f t="shared" si="6"/>
        <v>0</v>
      </c>
      <c r="J79" s="948">
        <v>0</v>
      </c>
      <c r="K79" s="948">
        <v>0</v>
      </c>
      <c r="L79" s="948">
        <v>0</v>
      </c>
    </row>
    <row r="80" spans="1:12" ht="24" x14ac:dyDescent="0.25">
      <c r="A80" s="850">
        <v>69</v>
      </c>
      <c r="B80" s="846" t="s">
        <v>151</v>
      </c>
      <c r="C80" s="848" t="s">
        <v>152</v>
      </c>
      <c r="D80" s="948">
        <f t="shared" si="4"/>
        <v>13</v>
      </c>
      <c r="E80" s="948">
        <v>13</v>
      </c>
      <c r="F80" s="948">
        <f t="shared" si="5"/>
        <v>0</v>
      </c>
      <c r="G80" s="948">
        <v>0</v>
      </c>
      <c r="H80" s="948">
        <v>0</v>
      </c>
      <c r="I80" s="948">
        <f t="shared" si="6"/>
        <v>0</v>
      </c>
      <c r="J80" s="948">
        <v>0</v>
      </c>
      <c r="K80" s="948">
        <v>0</v>
      </c>
      <c r="L80" s="948">
        <v>12</v>
      </c>
    </row>
    <row r="81" spans="1:12" ht="24" x14ac:dyDescent="0.25">
      <c r="A81" s="843">
        <v>70</v>
      </c>
      <c r="B81" s="846" t="s">
        <v>153</v>
      </c>
      <c r="C81" s="848" t="s">
        <v>154</v>
      </c>
      <c r="D81" s="948">
        <f t="shared" si="4"/>
        <v>571</v>
      </c>
      <c r="E81" s="948">
        <v>571</v>
      </c>
      <c r="F81" s="948">
        <f t="shared" si="5"/>
        <v>0</v>
      </c>
      <c r="G81" s="948">
        <v>0</v>
      </c>
      <c r="H81" s="948">
        <v>0</v>
      </c>
      <c r="I81" s="948">
        <f t="shared" si="6"/>
        <v>0</v>
      </c>
      <c r="J81" s="948">
        <v>0</v>
      </c>
      <c r="K81" s="948">
        <v>0</v>
      </c>
      <c r="L81" s="948">
        <v>19</v>
      </c>
    </row>
    <row r="82" spans="1:12" ht="24" x14ac:dyDescent="0.25">
      <c r="A82" s="850">
        <v>71</v>
      </c>
      <c r="B82" s="844" t="s">
        <v>155</v>
      </c>
      <c r="C82" s="848" t="s">
        <v>156</v>
      </c>
      <c r="D82" s="948">
        <f t="shared" si="4"/>
        <v>0</v>
      </c>
      <c r="E82" s="948">
        <v>0</v>
      </c>
      <c r="F82" s="948">
        <f t="shared" si="5"/>
        <v>0</v>
      </c>
      <c r="G82" s="948">
        <v>0</v>
      </c>
      <c r="H82" s="948">
        <v>0</v>
      </c>
      <c r="I82" s="948">
        <f t="shared" si="6"/>
        <v>0</v>
      </c>
      <c r="J82" s="948">
        <v>0</v>
      </c>
      <c r="K82" s="948">
        <v>0</v>
      </c>
      <c r="L82" s="948">
        <v>0</v>
      </c>
    </row>
    <row r="83" spans="1:12" ht="24" x14ac:dyDescent="0.25">
      <c r="A83" s="843">
        <v>72</v>
      </c>
      <c r="B83" s="844" t="s">
        <v>157</v>
      </c>
      <c r="C83" s="848" t="s">
        <v>158</v>
      </c>
      <c r="D83" s="948">
        <f t="shared" si="4"/>
        <v>6</v>
      </c>
      <c r="E83" s="948">
        <v>6</v>
      </c>
      <c r="F83" s="948">
        <f t="shared" si="5"/>
        <v>0</v>
      </c>
      <c r="G83" s="948">
        <v>0</v>
      </c>
      <c r="H83" s="948">
        <v>0</v>
      </c>
      <c r="I83" s="948">
        <f t="shared" si="6"/>
        <v>0</v>
      </c>
      <c r="J83" s="948">
        <v>0</v>
      </c>
      <c r="K83" s="948">
        <v>0</v>
      </c>
      <c r="L83" s="948">
        <v>10</v>
      </c>
    </row>
    <row r="84" spans="1:12" ht="24" x14ac:dyDescent="0.25">
      <c r="A84" s="850">
        <v>73</v>
      </c>
      <c r="B84" s="844" t="s">
        <v>159</v>
      </c>
      <c r="C84" s="848" t="s">
        <v>160</v>
      </c>
      <c r="D84" s="948">
        <f t="shared" si="4"/>
        <v>0</v>
      </c>
      <c r="E84" s="948">
        <v>0</v>
      </c>
      <c r="F84" s="948">
        <f t="shared" si="5"/>
        <v>0</v>
      </c>
      <c r="G84" s="948">
        <v>0</v>
      </c>
      <c r="H84" s="948">
        <v>0</v>
      </c>
      <c r="I84" s="948">
        <f t="shared" si="6"/>
        <v>0</v>
      </c>
      <c r="J84" s="948">
        <v>0</v>
      </c>
      <c r="K84" s="948">
        <v>0</v>
      </c>
      <c r="L84" s="948">
        <v>0</v>
      </c>
    </row>
    <row r="85" spans="1:12" ht="24" x14ac:dyDescent="0.25">
      <c r="A85" s="843">
        <v>74</v>
      </c>
      <c r="B85" s="847" t="s">
        <v>161</v>
      </c>
      <c r="C85" s="848" t="s">
        <v>162</v>
      </c>
      <c r="D85" s="948">
        <f t="shared" si="4"/>
        <v>26956</v>
      </c>
      <c r="E85" s="948">
        <v>0</v>
      </c>
      <c r="F85" s="948">
        <f t="shared" si="5"/>
        <v>14356</v>
      </c>
      <c r="G85" s="948">
        <v>4129</v>
      </c>
      <c r="H85" s="948">
        <v>10227</v>
      </c>
      <c r="I85" s="948">
        <f t="shared" si="6"/>
        <v>12600</v>
      </c>
      <c r="J85" s="948">
        <v>375</v>
      </c>
      <c r="K85" s="948">
        <v>12225</v>
      </c>
      <c r="L85" s="948">
        <v>25904</v>
      </c>
    </row>
    <row r="86" spans="1:12" x14ac:dyDescent="0.25">
      <c r="A86" s="850">
        <v>75</v>
      </c>
      <c r="B86" s="844" t="s">
        <v>163</v>
      </c>
      <c r="C86" s="848" t="s">
        <v>164</v>
      </c>
      <c r="D86" s="948">
        <f t="shared" si="4"/>
        <v>49161</v>
      </c>
      <c r="E86" s="948">
        <v>0</v>
      </c>
      <c r="F86" s="948">
        <f t="shared" si="5"/>
        <v>48661</v>
      </c>
      <c r="G86" s="948">
        <v>9297</v>
      </c>
      <c r="H86" s="948">
        <v>39364</v>
      </c>
      <c r="I86" s="948">
        <f t="shared" si="6"/>
        <v>500</v>
      </c>
      <c r="J86" s="948">
        <v>0</v>
      </c>
      <c r="K86" s="948">
        <v>500</v>
      </c>
      <c r="L86" s="948">
        <v>37113</v>
      </c>
    </row>
    <row r="87" spans="1:12" x14ac:dyDescent="0.25">
      <c r="A87" s="843">
        <v>76</v>
      </c>
      <c r="B87" s="847" t="s">
        <v>165</v>
      </c>
      <c r="C87" s="848" t="s">
        <v>166</v>
      </c>
      <c r="D87" s="948">
        <f t="shared" si="4"/>
        <v>31524</v>
      </c>
      <c r="E87" s="948">
        <v>0</v>
      </c>
      <c r="F87" s="948">
        <f t="shared" si="5"/>
        <v>31524</v>
      </c>
      <c r="G87" s="948">
        <v>5206</v>
      </c>
      <c r="H87" s="948">
        <v>26318</v>
      </c>
      <c r="I87" s="948">
        <f t="shared" si="6"/>
        <v>0</v>
      </c>
      <c r="J87" s="948">
        <v>0</v>
      </c>
      <c r="K87" s="948">
        <v>0</v>
      </c>
      <c r="L87" s="948">
        <v>31971</v>
      </c>
    </row>
    <row r="88" spans="1:12" x14ac:dyDescent="0.25">
      <c r="A88" s="850">
        <v>77</v>
      </c>
      <c r="B88" s="849" t="s">
        <v>167</v>
      </c>
      <c r="C88" s="32" t="s">
        <v>168</v>
      </c>
      <c r="D88" s="948">
        <f t="shared" si="4"/>
        <v>16193</v>
      </c>
      <c r="E88" s="948">
        <v>0</v>
      </c>
      <c r="F88" s="948">
        <f t="shared" si="5"/>
        <v>16193</v>
      </c>
      <c r="G88" s="948">
        <v>3340</v>
      </c>
      <c r="H88" s="948">
        <v>12853</v>
      </c>
      <c r="I88" s="948">
        <f t="shared" si="6"/>
        <v>0</v>
      </c>
      <c r="J88" s="948">
        <v>0</v>
      </c>
      <c r="K88" s="948">
        <v>0</v>
      </c>
      <c r="L88" s="948">
        <v>10306</v>
      </c>
    </row>
    <row r="89" spans="1:12" x14ac:dyDescent="0.25">
      <c r="A89" s="843">
        <v>78</v>
      </c>
      <c r="B89" s="844" t="s">
        <v>169</v>
      </c>
      <c r="C89" s="848" t="s">
        <v>170</v>
      </c>
      <c r="D89" s="948">
        <f t="shared" si="4"/>
        <v>48309</v>
      </c>
      <c r="E89" s="948">
        <v>0</v>
      </c>
      <c r="F89" s="948">
        <f t="shared" si="5"/>
        <v>48309</v>
      </c>
      <c r="G89" s="948">
        <v>8993</v>
      </c>
      <c r="H89" s="948">
        <v>39316</v>
      </c>
      <c r="I89" s="948">
        <f t="shared" si="6"/>
        <v>0</v>
      </c>
      <c r="J89" s="948">
        <v>0</v>
      </c>
      <c r="K89" s="948">
        <v>0</v>
      </c>
      <c r="L89" s="948">
        <v>58440</v>
      </c>
    </row>
    <row r="90" spans="1:12" x14ac:dyDescent="0.25">
      <c r="A90" s="850">
        <v>79</v>
      </c>
      <c r="B90" s="849" t="s">
        <v>171</v>
      </c>
      <c r="C90" s="32" t="s">
        <v>172</v>
      </c>
      <c r="D90" s="948">
        <f t="shared" si="4"/>
        <v>23053</v>
      </c>
      <c r="E90" s="948">
        <v>0</v>
      </c>
      <c r="F90" s="948">
        <f t="shared" si="5"/>
        <v>0</v>
      </c>
      <c r="G90" s="948">
        <v>0</v>
      </c>
      <c r="H90" s="948">
        <v>0</v>
      </c>
      <c r="I90" s="948">
        <f t="shared" si="6"/>
        <v>23053</v>
      </c>
      <c r="J90" s="948">
        <v>1056</v>
      </c>
      <c r="K90" s="948">
        <v>21997</v>
      </c>
      <c r="L90" s="948">
        <v>0</v>
      </c>
    </row>
    <row r="91" spans="1:12" x14ac:dyDescent="0.25">
      <c r="A91" s="843">
        <v>80</v>
      </c>
      <c r="B91" s="844" t="s">
        <v>173</v>
      </c>
      <c r="C91" s="848" t="s">
        <v>174</v>
      </c>
      <c r="D91" s="948">
        <f t="shared" si="4"/>
        <v>41471</v>
      </c>
      <c r="E91" s="948">
        <v>0</v>
      </c>
      <c r="F91" s="948">
        <f t="shared" si="5"/>
        <v>41471</v>
      </c>
      <c r="G91" s="948">
        <v>6878</v>
      </c>
      <c r="H91" s="948">
        <v>34593</v>
      </c>
      <c r="I91" s="948">
        <f t="shared" si="6"/>
        <v>0</v>
      </c>
      <c r="J91" s="948">
        <v>0</v>
      </c>
      <c r="K91" s="948">
        <v>0</v>
      </c>
      <c r="L91" s="948">
        <v>37572</v>
      </c>
    </row>
    <row r="92" spans="1:12" x14ac:dyDescent="0.25">
      <c r="A92" s="850">
        <v>81</v>
      </c>
      <c r="B92" s="849" t="s">
        <v>175</v>
      </c>
      <c r="C92" s="32" t="s">
        <v>746</v>
      </c>
      <c r="D92" s="948">
        <f t="shared" si="4"/>
        <v>0</v>
      </c>
      <c r="E92" s="948">
        <v>0</v>
      </c>
      <c r="F92" s="948">
        <f t="shared" si="5"/>
        <v>0</v>
      </c>
      <c r="G92" s="948">
        <v>0</v>
      </c>
      <c r="H92" s="948">
        <v>0</v>
      </c>
      <c r="I92" s="948">
        <f t="shared" si="6"/>
        <v>0</v>
      </c>
      <c r="J92" s="948">
        <v>0</v>
      </c>
      <c r="K92" s="948">
        <v>0</v>
      </c>
      <c r="L92" s="948">
        <v>0</v>
      </c>
    </row>
    <row r="93" spans="1:12" x14ac:dyDescent="0.25">
      <c r="A93" s="843">
        <v>82</v>
      </c>
      <c r="B93" s="846" t="s">
        <v>177</v>
      </c>
      <c r="C93" s="848" t="s">
        <v>358</v>
      </c>
      <c r="D93" s="948">
        <f t="shared" si="4"/>
        <v>0</v>
      </c>
      <c r="E93" s="948">
        <v>0</v>
      </c>
      <c r="F93" s="948">
        <f t="shared" si="5"/>
        <v>0</v>
      </c>
      <c r="G93" s="948">
        <v>0</v>
      </c>
      <c r="H93" s="948">
        <v>0</v>
      </c>
      <c r="I93" s="948">
        <f t="shared" si="6"/>
        <v>0</v>
      </c>
      <c r="J93" s="948">
        <v>0</v>
      </c>
      <c r="K93" s="948">
        <v>0</v>
      </c>
      <c r="L93" s="948">
        <v>0</v>
      </c>
    </row>
    <row r="94" spans="1:12" ht="55.5" customHeight="1" x14ac:dyDescent="0.25">
      <c r="A94" s="1059">
        <v>83</v>
      </c>
      <c r="B94" s="1062" t="s">
        <v>178</v>
      </c>
      <c r="C94" s="32" t="s">
        <v>744</v>
      </c>
      <c r="D94" s="948">
        <f t="shared" si="4"/>
        <v>462</v>
      </c>
      <c r="E94" s="948">
        <v>0</v>
      </c>
      <c r="F94" s="948">
        <f t="shared" si="5"/>
        <v>462</v>
      </c>
      <c r="G94" s="948">
        <v>128</v>
      </c>
      <c r="H94" s="948">
        <v>334</v>
      </c>
      <c r="I94" s="948">
        <f t="shared" si="6"/>
        <v>0</v>
      </c>
      <c r="J94" s="948">
        <v>0</v>
      </c>
      <c r="K94" s="948">
        <v>0</v>
      </c>
      <c r="L94" s="948">
        <v>194</v>
      </c>
    </row>
    <row r="95" spans="1:12" ht="24" x14ac:dyDescent="0.25">
      <c r="A95" s="1060"/>
      <c r="B95" s="1063"/>
      <c r="C95" s="848" t="s">
        <v>180</v>
      </c>
      <c r="D95" s="948">
        <f t="shared" si="4"/>
        <v>0</v>
      </c>
      <c r="E95" s="948">
        <v>0</v>
      </c>
      <c r="F95" s="948">
        <f t="shared" si="5"/>
        <v>0</v>
      </c>
      <c r="G95" s="948">
        <v>0</v>
      </c>
      <c r="H95" s="948">
        <v>0</v>
      </c>
      <c r="I95" s="948">
        <f t="shared" si="6"/>
        <v>0</v>
      </c>
      <c r="J95" s="948">
        <v>0</v>
      </c>
      <c r="K95" s="948">
        <v>0</v>
      </c>
      <c r="L95" s="948">
        <v>0</v>
      </c>
    </row>
    <row r="96" spans="1:12" ht="48" x14ac:dyDescent="0.25">
      <c r="A96" s="1061"/>
      <c r="B96" s="1064"/>
      <c r="C96" s="307" t="s">
        <v>509</v>
      </c>
      <c r="D96" s="948">
        <f t="shared" si="4"/>
        <v>0</v>
      </c>
      <c r="E96" s="948">
        <v>0</v>
      </c>
      <c r="F96" s="948">
        <f t="shared" si="5"/>
        <v>0</v>
      </c>
      <c r="G96" s="948">
        <v>0</v>
      </c>
      <c r="H96" s="948">
        <v>0</v>
      </c>
      <c r="I96" s="948">
        <f t="shared" si="6"/>
        <v>0</v>
      </c>
      <c r="J96" s="948">
        <v>0</v>
      </c>
      <c r="K96" s="948">
        <v>0</v>
      </c>
      <c r="L96" s="948">
        <v>0</v>
      </c>
    </row>
    <row r="97" spans="1:12" ht="24" x14ac:dyDescent="0.25">
      <c r="A97" s="843">
        <v>84</v>
      </c>
      <c r="B97" s="846" t="s">
        <v>181</v>
      </c>
      <c r="C97" s="845" t="s">
        <v>182</v>
      </c>
      <c r="D97" s="948">
        <f t="shared" si="4"/>
        <v>0</v>
      </c>
      <c r="E97" s="948">
        <v>0</v>
      </c>
      <c r="F97" s="948">
        <f t="shared" si="5"/>
        <v>0</v>
      </c>
      <c r="G97" s="948">
        <v>0</v>
      </c>
      <c r="H97" s="948">
        <v>0</v>
      </c>
      <c r="I97" s="948">
        <f t="shared" si="6"/>
        <v>0</v>
      </c>
      <c r="J97" s="948">
        <v>0</v>
      </c>
      <c r="K97" s="948">
        <v>0</v>
      </c>
      <c r="L97" s="948">
        <v>0</v>
      </c>
    </row>
    <row r="98" spans="1:12" x14ac:dyDescent="0.25">
      <c r="A98" s="843">
        <v>85</v>
      </c>
      <c r="B98" s="846" t="s">
        <v>183</v>
      </c>
      <c r="C98" s="32" t="s">
        <v>184</v>
      </c>
      <c r="D98" s="948">
        <f t="shared" si="4"/>
        <v>1641</v>
      </c>
      <c r="E98" s="948">
        <v>0</v>
      </c>
      <c r="F98" s="948">
        <f t="shared" si="5"/>
        <v>1641</v>
      </c>
      <c r="G98" s="948">
        <v>0</v>
      </c>
      <c r="H98" s="948">
        <v>1641</v>
      </c>
      <c r="I98" s="948">
        <f t="shared" si="6"/>
        <v>0</v>
      </c>
      <c r="J98" s="948">
        <v>0</v>
      </c>
      <c r="K98" s="948">
        <v>0</v>
      </c>
      <c r="L98" s="948">
        <v>2169</v>
      </c>
    </row>
    <row r="99" spans="1:12" x14ac:dyDescent="0.25">
      <c r="A99" s="843">
        <v>86</v>
      </c>
      <c r="B99" s="847" t="s">
        <v>185</v>
      </c>
      <c r="C99" s="848" t="s">
        <v>186</v>
      </c>
      <c r="D99" s="948">
        <f t="shared" si="4"/>
        <v>7934</v>
      </c>
      <c r="E99" s="948">
        <v>0</v>
      </c>
      <c r="F99" s="948">
        <f t="shared" si="5"/>
        <v>7934</v>
      </c>
      <c r="G99" s="948">
        <v>1552</v>
      </c>
      <c r="H99" s="948">
        <v>6382</v>
      </c>
      <c r="I99" s="948">
        <f t="shared" si="6"/>
        <v>0</v>
      </c>
      <c r="J99" s="948">
        <v>0</v>
      </c>
      <c r="K99" s="948">
        <v>0</v>
      </c>
      <c r="L99" s="948">
        <v>6690</v>
      </c>
    </row>
    <row r="100" spans="1:12" x14ac:dyDescent="0.25">
      <c r="A100" s="843">
        <v>87</v>
      </c>
      <c r="B100" s="846" t="s">
        <v>187</v>
      </c>
      <c r="C100" s="845" t="s">
        <v>188</v>
      </c>
      <c r="D100" s="948">
        <f t="shared" si="4"/>
        <v>5969</v>
      </c>
      <c r="E100" s="948">
        <v>0</v>
      </c>
      <c r="F100" s="948">
        <f t="shared" si="5"/>
        <v>5004</v>
      </c>
      <c r="G100" s="948">
        <v>733</v>
      </c>
      <c r="H100" s="948">
        <v>4271</v>
      </c>
      <c r="I100" s="948">
        <f t="shared" si="6"/>
        <v>965</v>
      </c>
      <c r="J100" s="948">
        <v>82</v>
      </c>
      <c r="K100" s="948">
        <v>883</v>
      </c>
      <c r="L100" s="948">
        <v>4580</v>
      </c>
    </row>
    <row r="101" spans="1:12" x14ac:dyDescent="0.25">
      <c r="A101" s="843">
        <v>88</v>
      </c>
      <c r="B101" s="847" t="s">
        <v>189</v>
      </c>
      <c r="C101" s="848" t="s">
        <v>190</v>
      </c>
      <c r="D101" s="948">
        <f t="shared" si="4"/>
        <v>5380</v>
      </c>
      <c r="E101" s="948">
        <v>0</v>
      </c>
      <c r="F101" s="948">
        <f t="shared" si="5"/>
        <v>4342</v>
      </c>
      <c r="G101" s="948">
        <v>557</v>
      </c>
      <c r="H101" s="948">
        <v>3785</v>
      </c>
      <c r="I101" s="948">
        <f t="shared" si="6"/>
        <v>1038</v>
      </c>
      <c r="J101" s="948">
        <v>26</v>
      </c>
      <c r="K101" s="948">
        <v>1012</v>
      </c>
      <c r="L101" s="948">
        <v>3583</v>
      </c>
    </row>
    <row r="102" spans="1:12" x14ac:dyDescent="0.25">
      <c r="A102" s="843">
        <v>89</v>
      </c>
      <c r="B102" s="847" t="s">
        <v>191</v>
      </c>
      <c r="C102" s="848" t="s">
        <v>192</v>
      </c>
      <c r="D102" s="948">
        <f t="shared" si="4"/>
        <v>13686</v>
      </c>
      <c r="E102" s="948">
        <v>0</v>
      </c>
      <c r="F102" s="948">
        <f t="shared" si="5"/>
        <v>9904</v>
      </c>
      <c r="G102" s="948">
        <v>2115</v>
      </c>
      <c r="H102" s="948">
        <v>7789</v>
      </c>
      <c r="I102" s="948">
        <f t="shared" si="6"/>
        <v>3782</v>
      </c>
      <c r="J102" s="948">
        <v>0</v>
      </c>
      <c r="K102" s="948">
        <v>3782</v>
      </c>
      <c r="L102" s="948">
        <v>13140</v>
      </c>
    </row>
    <row r="103" spans="1:12" x14ac:dyDescent="0.25">
      <c r="A103" s="843">
        <v>90</v>
      </c>
      <c r="B103" s="846" t="s">
        <v>193</v>
      </c>
      <c r="C103" s="32" t="s">
        <v>194</v>
      </c>
      <c r="D103" s="948">
        <f t="shared" si="4"/>
        <v>6381</v>
      </c>
      <c r="E103" s="948">
        <v>0</v>
      </c>
      <c r="F103" s="948">
        <f t="shared" si="5"/>
        <v>5242</v>
      </c>
      <c r="G103" s="948">
        <v>827</v>
      </c>
      <c r="H103" s="948">
        <v>4415</v>
      </c>
      <c r="I103" s="948">
        <f t="shared" si="6"/>
        <v>1139</v>
      </c>
      <c r="J103" s="948">
        <v>244</v>
      </c>
      <c r="K103" s="948">
        <v>895</v>
      </c>
      <c r="L103" s="948">
        <v>5264</v>
      </c>
    </row>
    <row r="104" spans="1:12" x14ac:dyDescent="0.25">
      <c r="A104" s="843">
        <v>91</v>
      </c>
      <c r="B104" s="846" t="s">
        <v>195</v>
      </c>
      <c r="C104" s="845" t="s">
        <v>196</v>
      </c>
      <c r="D104" s="948">
        <f t="shared" si="4"/>
        <v>13895</v>
      </c>
      <c r="E104" s="948">
        <v>0</v>
      </c>
      <c r="F104" s="948">
        <f t="shared" si="5"/>
        <v>9975</v>
      </c>
      <c r="G104" s="948">
        <v>2684</v>
      </c>
      <c r="H104" s="948">
        <v>7291</v>
      </c>
      <c r="I104" s="948">
        <f t="shared" si="6"/>
        <v>3920</v>
      </c>
      <c r="J104" s="948">
        <v>582</v>
      </c>
      <c r="K104" s="948">
        <v>3338</v>
      </c>
      <c r="L104" s="948">
        <v>10485</v>
      </c>
    </row>
    <row r="105" spans="1:12" x14ac:dyDescent="0.25">
      <c r="A105" s="843">
        <v>92</v>
      </c>
      <c r="B105" s="844" t="s">
        <v>197</v>
      </c>
      <c r="C105" s="845" t="s">
        <v>198</v>
      </c>
      <c r="D105" s="948">
        <f t="shared" si="4"/>
        <v>12466</v>
      </c>
      <c r="E105" s="948">
        <v>0</v>
      </c>
      <c r="F105" s="948">
        <f t="shared" si="5"/>
        <v>9894</v>
      </c>
      <c r="G105" s="948">
        <v>1212</v>
      </c>
      <c r="H105" s="948">
        <v>8682</v>
      </c>
      <c r="I105" s="948">
        <f t="shared" si="6"/>
        <v>2572</v>
      </c>
      <c r="J105" s="948">
        <v>0</v>
      </c>
      <c r="K105" s="948">
        <v>2572</v>
      </c>
      <c r="L105" s="948">
        <v>9656</v>
      </c>
    </row>
    <row r="106" spans="1:12" x14ac:dyDescent="0.25">
      <c r="A106" s="843">
        <v>93</v>
      </c>
      <c r="B106" s="844" t="s">
        <v>199</v>
      </c>
      <c r="C106" s="845" t="s">
        <v>200</v>
      </c>
      <c r="D106" s="948">
        <f t="shared" si="4"/>
        <v>9902</v>
      </c>
      <c r="E106" s="948">
        <v>0</v>
      </c>
      <c r="F106" s="948">
        <f t="shared" si="5"/>
        <v>7448</v>
      </c>
      <c r="G106" s="948">
        <v>1433</v>
      </c>
      <c r="H106" s="948">
        <v>6015</v>
      </c>
      <c r="I106" s="948">
        <f t="shared" si="6"/>
        <v>2454</v>
      </c>
      <c r="J106" s="948">
        <v>220</v>
      </c>
      <c r="K106" s="948">
        <v>2234</v>
      </c>
      <c r="L106" s="948">
        <v>8391</v>
      </c>
    </row>
    <row r="107" spans="1:12" x14ac:dyDescent="0.25">
      <c r="A107" s="843">
        <v>94</v>
      </c>
      <c r="B107" s="847" t="s">
        <v>201</v>
      </c>
      <c r="C107" s="848" t="s">
        <v>202</v>
      </c>
      <c r="D107" s="948">
        <f t="shared" si="4"/>
        <v>3637</v>
      </c>
      <c r="E107" s="948">
        <v>0</v>
      </c>
      <c r="F107" s="948">
        <f t="shared" si="5"/>
        <v>2976</v>
      </c>
      <c r="G107" s="948">
        <v>607</v>
      </c>
      <c r="H107" s="948">
        <v>2369</v>
      </c>
      <c r="I107" s="948">
        <f t="shared" si="6"/>
        <v>661</v>
      </c>
      <c r="J107" s="948">
        <v>160</v>
      </c>
      <c r="K107" s="948">
        <v>501</v>
      </c>
      <c r="L107" s="948">
        <v>4993</v>
      </c>
    </row>
    <row r="108" spans="1:12" x14ac:dyDescent="0.25">
      <c r="A108" s="843">
        <v>95</v>
      </c>
      <c r="B108" s="849" t="s">
        <v>203</v>
      </c>
      <c r="C108" s="32" t="s">
        <v>204</v>
      </c>
      <c r="D108" s="948">
        <f t="shared" si="4"/>
        <v>11149</v>
      </c>
      <c r="E108" s="948">
        <v>0</v>
      </c>
      <c r="F108" s="948">
        <f t="shared" si="5"/>
        <v>8311</v>
      </c>
      <c r="G108" s="948">
        <v>954</v>
      </c>
      <c r="H108" s="948">
        <v>7357</v>
      </c>
      <c r="I108" s="948">
        <f t="shared" si="6"/>
        <v>2838</v>
      </c>
      <c r="J108" s="948">
        <v>336</v>
      </c>
      <c r="K108" s="948">
        <v>2502</v>
      </c>
      <c r="L108" s="948">
        <v>7220</v>
      </c>
    </row>
    <row r="109" spans="1:12" x14ac:dyDescent="0.25">
      <c r="A109" s="843">
        <v>96</v>
      </c>
      <c r="B109" s="844" t="s">
        <v>205</v>
      </c>
      <c r="C109" s="845" t="s">
        <v>206</v>
      </c>
      <c r="D109" s="948">
        <f t="shared" si="4"/>
        <v>6982</v>
      </c>
      <c r="E109" s="948">
        <v>0</v>
      </c>
      <c r="F109" s="948">
        <f t="shared" si="5"/>
        <v>5696</v>
      </c>
      <c r="G109" s="948">
        <v>1356</v>
      </c>
      <c r="H109" s="948">
        <v>4340</v>
      </c>
      <c r="I109" s="948">
        <f t="shared" si="6"/>
        <v>1286</v>
      </c>
      <c r="J109" s="948">
        <v>164</v>
      </c>
      <c r="K109" s="948">
        <v>1122</v>
      </c>
      <c r="L109" s="948">
        <v>6929</v>
      </c>
    </row>
    <row r="110" spans="1:12" x14ac:dyDescent="0.25">
      <c r="A110" s="843">
        <v>97</v>
      </c>
      <c r="B110" s="846" t="s">
        <v>207</v>
      </c>
      <c r="C110" s="845" t="s">
        <v>208</v>
      </c>
      <c r="D110" s="948">
        <f t="shared" si="4"/>
        <v>7166</v>
      </c>
      <c r="E110" s="948">
        <v>0</v>
      </c>
      <c r="F110" s="948">
        <f t="shared" si="5"/>
        <v>4956</v>
      </c>
      <c r="G110" s="948">
        <v>1115</v>
      </c>
      <c r="H110" s="948">
        <v>3841</v>
      </c>
      <c r="I110" s="948">
        <f t="shared" si="6"/>
        <v>2210</v>
      </c>
      <c r="J110" s="948">
        <v>50</v>
      </c>
      <c r="K110" s="948">
        <v>2160</v>
      </c>
      <c r="L110" s="948">
        <v>6409</v>
      </c>
    </row>
    <row r="111" spans="1:12" x14ac:dyDescent="0.25">
      <c r="A111" s="843">
        <v>98</v>
      </c>
      <c r="B111" s="847" t="s">
        <v>209</v>
      </c>
      <c r="C111" s="848" t="s">
        <v>210</v>
      </c>
      <c r="D111" s="948">
        <f t="shared" si="4"/>
        <v>5488</v>
      </c>
      <c r="E111" s="948">
        <v>0</v>
      </c>
      <c r="F111" s="948">
        <f t="shared" si="5"/>
        <v>4537</v>
      </c>
      <c r="G111" s="948">
        <v>612</v>
      </c>
      <c r="H111" s="948">
        <v>3925</v>
      </c>
      <c r="I111" s="948">
        <f t="shared" si="6"/>
        <v>951</v>
      </c>
      <c r="J111" s="948">
        <v>16</v>
      </c>
      <c r="K111" s="948">
        <v>935</v>
      </c>
      <c r="L111" s="948">
        <v>4346</v>
      </c>
    </row>
    <row r="112" spans="1:12" x14ac:dyDescent="0.25">
      <c r="A112" s="843">
        <v>99</v>
      </c>
      <c r="B112" s="847" t="s">
        <v>211</v>
      </c>
      <c r="C112" s="848" t="s">
        <v>212</v>
      </c>
      <c r="D112" s="948">
        <f t="shared" si="4"/>
        <v>9878</v>
      </c>
      <c r="E112" s="948">
        <v>0</v>
      </c>
      <c r="F112" s="948">
        <f t="shared" si="5"/>
        <v>8227</v>
      </c>
      <c r="G112" s="948">
        <v>1472</v>
      </c>
      <c r="H112" s="948">
        <v>6755</v>
      </c>
      <c r="I112" s="948">
        <f t="shared" si="6"/>
        <v>1651</v>
      </c>
      <c r="J112" s="948">
        <v>0</v>
      </c>
      <c r="K112" s="948">
        <v>1651</v>
      </c>
      <c r="L112" s="948">
        <v>8378</v>
      </c>
    </row>
    <row r="113" spans="1:12" x14ac:dyDescent="0.25">
      <c r="A113" s="843">
        <v>100</v>
      </c>
      <c r="B113" s="844" t="s">
        <v>213</v>
      </c>
      <c r="C113" s="845" t="s">
        <v>214</v>
      </c>
      <c r="D113" s="948">
        <f t="shared" si="4"/>
        <v>18093</v>
      </c>
      <c r="E113" s="948">
        <v>0</v>
      </c>
      <c r="F113" s="948">
        <f t="shared" si="5"/>
        <v>11583</v>
      </c>
      <c r="G113" s="948">
        <v>1731</v>
      </c>
      <c r="H113" s="948">
        <v>9852</v>
      </c>
      <c r="I113" s="948">
        <f t="shared" si="6"/>
        <v>6510</v>
      </c>
      <c r="J113" s="948">
        <v>179</v>
      </c>
      <c r="K113" s="948">
        <v>6331</v>
      </c>
      <c r="L113" s="948">
        <v>12853</v>
      </c>
    </row>
    <row r="114" spans="1:12" x14ac:dyDescent="0.25">
      <c r="A114" s="843">
        <v>101</v>
      </c>
      <c r="B114" s="846" t="s">
        <v>215</v>
      </c>
      <c r="C114" s="845" t="s">
        <v>216</v>
      </c>
      <c r="D114" s="948">
        <f t="shared" si="4"/>
        <v>7195</v>
      </c>
      <c r="E114" s="948">
        <v>0</v>
      </c>
      <c r="F114" s="948">
        <f t="shared" si="5"/>
        <v>5301</v>
      </c>
      <c r="G114" s="948">
        <v>1439</v>
      </c>
      <c r="H114" s="948">
        <v>3862</v>
      </c>
      <c r="I114" s="948">
        <f t="shared" si="6"/>
        <v>1894</v>
      </c>
      <c r="J114" s="948">
        <v>186</v>
      </c>
      <c r="K114" s="948">
        <v>1708</v>
      </c>
      <c r="L114" s="948">
        <v>7049</v>
      </c>
    </row>
    <row r="115" spans="1:12" x14ac:dyDescent="0.25">
      <c r="A115" s="843">
        <v>102</v>
      </c>
      <c r="B115" s="844" t="s">
        <v>217</v>
      </c>
      <c r="C115" s="848" t="s">
        <v>218</v>
      </c>
      <c r="D115" s="948">
        <f t="shared" si="4"/>
        <v>28</v>
      </c>
      <c r="E115" s="948">
        <v>28</v>
      </c>
      <c r="F115" s="948">
        <f t="shared" si="5"/>
        <v>0</v>
      </c>
      <c r="G115" s="948">
        <v>0</v>
      </c>
      <c r="H115" s="948">
        <v>0</v>
      </c>
      <c r="I115" s="948">
        <f t="shared" si="6"/>
        <v>0</v>
      </c>
      <c r="J115" s="948">
        <v>0</v>
      </c>
      <c r="K115" s="948">
        <v>0</v>
      </c>
      <c r="L115" s="948">
        <v>0</v>
      </c>
    </row>
    <row r="116" spans="1:12" x14ac:dyDescent="0.25">
      <c r="A116" s="843">
        <v>103</v>
      </c>
      <c r="B116" s="844" t="s">
        <v>219</v>
      </c>
      <c r="C116" s="845" t="s">
        <v>220</v>
      </c>
      <c r="D116" s="948">
        <f t="shared" si="4"/>
        <v>0</v>
      </c>
      <c r="E116" s="948">
        <v>0</v>
      </c>
      <c r="F116" s="948">
        <f t="shared" si="5"/>
        <v>0</v>
      </c>
      <c r="G116" s="948">
        <v>0</v>
      </c>
      <c r="H116" s="948">
        <v>0</v>
      </c>
      <c r="I116" s="948">
        <f t="shared" si="6"/>
        <v>0</v>
      </c>
      <c r="J116" s="948">
        <v>0</v>
      </c>
      <c r="K116" s="948">
        <v>0</v>
      </c>
      <c r="L116" s="948">
        <v>0</v>
      </c>
    </row>
    <row r="117" spans="1:12" x14ac:dyDescent="0.25">
      <c r="A117" s="843">
        <v>104</v>
      </c>
      <c r="B117" s="847" t="s">
        <v>221</v>
      </c>
      <c r="C117" s="848" t="s">
        <v>222</v>
      </c>
      <c r="D117" s="948">
        <f t="shared" si="4"/>
        <v>0</v>
      </c>
      <c r="E117" s="948">
        <v>0</v>
      </c>
      <c r="F117" s="948">
        <f t="shared" si="5"/>
        <v>0</v>
      </c>
      <c r="G117" s="948">
        <v>0</v>
      </c>
      <c r="H117" s="948">
        <v>0</v>
      </c>
      <c r="I117" s="948">
        <f t="shared" si="6"/>
        <v>0</v>
      </c>
      <c r="J117" s="948">
        <v>0</v>
      </c>
      <c r="K117" s="948">
        <v>0</v>
      </c>
      <c r="L117" s="948">
        <v>0</v>
      </c>
    </row>
    <row r="118" spans="1:12" x14ac:dyDescent="0.25">
      <c r="A118" s="843">
        <v>105</v>
      </c>
      <c r="B118" s="847" t="s">
        <v>223</v>
      </c>
      <c r="C118" s="848" t="s">
        <v>224</v>
      </c>
      <c r="D118" s="948">
        <f t="shared" si="4"/>
        <v>0</v>
      </c>
      <c r="E118" s="948">
        <v>0</v>
      </c>
      <c r="F118" s="948">
        <f t="shared" si="5"/>
        <v>0</v>
      </c>
      <c r="G118" s="948">
        <v>0</v>
      </c>
      <c r="H118" s="948">
        <v>0</v>
      </c>
      <c r="I118" s="948">
        <f t="shared" si="6"/>
        <v>0</v>
      </c>
      <c r="J118" s="948">
        <v>0</v>
      </c>
      <c r="K118" s="948">
        <v>0</v>
      </c>
      <c r="L118" s="948">
        <v>0</v>
      </c>
    </row>
    <row r="119" spans="1:12" x14ac:dyDescent="0.25">
      <c r="A119" s="843">
        <v>106</v>
      </c>
      <c r="B119" s="847" t="s">
        <v>225</v>
      </c>
      <c r="C119" s="848" t="s">
        <v>226</v>
      </c>
      <c r="D119" s="948">
        <f t="shared" si="4"/>
        <v>0</v>
      </c>
      <c r="E119" s="948">
        <v>0</v>
      </c>
      <c r="F119" s="948">
        <f t="shared" si="5"/>
        <v>0</v>
      </c>
      <c r="G119" s="948">
        <v>0</v>
      </c>
      <c r="H119" s="948">
        <v>0</v>
      </c>
      <c r="I119" s="948">
        <f t="shared" si="6"/>
        <v>0</v>
      </c>
      <c r="J119" s="948">
        <v>0</v>
      </c>
      <c r="K119" s="948">
        <v>0</v>
      </c>
      <c r="L119" s="948">
        <v>0</v>
      </c>
    </row>
    <row r="120" spans="1:12" ht="24" x14ac:dyDescent="0.25">
      <c r="A120" s="843">
        <v>107</v>
      </c>
      <c r="B120" s="847" t="s">
        <v>227</v>
      </c>
      <c r="C120" s="848" t="s">
        <v>228</v>
      </c>
      <c r="D120" s="948">
        <f t="shared" si="4"/>
        <v>0</v>
      </c>
      <c r="E120" s="948">
        <v>0</v>
      </c>
      <c r="F120" s="948">
        <f t="shared" si="5"/>
        <v>0</v>
      </c>
      <c r="G120" s="948">
        <v>0</v>
      </c>
      <c r="H120" s="948">
        <v>0</v>
      </c>
      <c r="I120" s="948">
        <f t="shared" si="6"/>
        <v>0</v>
      </c>
      <c r="J120" s="948">
        <v>0</v>
      </c>
      <c r="K120" s="948">
        <v>0</v>
      </c>
      <c r="L120" s="948">
        <v>0</v>
      </c>
    </row>
    <row r="121" spans="1:12" x14ac:dyDescent="0.25">
      <c r="A121" s="843">
        <v>108</v>
      </c>
      <c r="B121" s="847" t="s">
        <v>229</v>
      </c>
      <c r="C121" s="848" t="s">
        <v>230</v>
      </c>
      <c r="D121" s="948">
        <f t="shared" si="4"/>
        <v>0</v>
      </c>
      <c r="E121" s="948">
        <v>0</v>
      </c>
      <c r="F121" s="948">
        <f t="shared" si="5"/>
        <v>0</v>
      </c>
      <c r="G121" s="948">
        <v>0</v>
      </c>
      <c r="H121" s="948">
        <v>0</v>
      </c>
      <c r="I121" s="948">
        <f t="shared" si="6"/>
        <v>0</v>
      </c>
      <c r="J121" s="948">
        <v>0</v>
      </c>
      <c r="K121" s="948">
        <v>0</v>
      </c>
      <c r="L121" s="948">
        <v>0</v>
      </c>
    </row>
    <row r="122" spans="1:12" x14ac:dyDescent="0.25">
      <c r="A122" s="843">
        <v>109</v>
      </c>
      <c r="B122" s="847" t="s">
        <v>231</v>
      </c>
      <c r="C122" s="848" t="s">
        <v>232</v>
      </c>
      <c r="D122" s="948">
        <f t="shared" si="4"/>
        <v>8</v>
      </c>
      <c r="E122" s="948">
        <v>8</v>
      </c>
      <c r="F122" s="948">
        <f t="shared" si="5"/>
        <v>0</v>
      </c>
      <c r="G122" s="948">
        <v>0</v>
      </c>
      <c r="H122" s="948">
        <v>0</v>
      </c>
      <c r="I122" s="948">
        <f t="shared" si="6"/>
        <v>0</v>
      </c>
      <c r="J122" s="948">
        <v>0</v>
      </c>
      <c r="K122" s="948">
        <v>0</v>
      </c>
      <c r="L122" s="948">
        <v>0</v>
      </c>
    </row>
    <row r="123" spans="1:12" x14ac:dyDescent="0.25">
      <c r="A123" s="843">
        <v>110</v>
      </c>
      <c r="B123" s="854" t="s">
        <v>233</v>
      </c>
      <c r="C123" s="855" t="s">
        <v>234</v>
      </c>
      <c r="D123" s="948">
        <f t="shared" si="4"/>
        <v>0</v>
      </c>
      <c r="E123" s="948">
        <v>0</v>
      </c>
      <c r="F123" s="948">
        <f t="shared" si="5"/>
        <v>0</v>
      </c>
      <c r="G123" s="948">
        <v>0</v>
      </c>
      <c r="H123" s="948">
        <v>0</v>
      </c>
      <c r="I123" s="948">
        <f t="shared" si="6"/>
        <v>0</v>
      </c>
      <c r="J123" s="948">
        <v>0</v>
      </c>
      <c r="K123" s="948">
        <v>0</v>
      </c>
      <c r="L123" s="948">
        <v>0</v>
      </c>
    </row>
    <row r="124" spans="1:12" x14ac:dyDescent="0.25">
      <c r="A124" s="843">
        <v>111</v>
      </c>
      <c r="B124" s="854" t="s">
        <v>235</v>
      </c>
      <c r="C124" s="855" t="s">
        <v>236</v>
      </c>
      <c r="D124" s="948">
        <f t="shared" si="4"/>
        <v>0</v>
      </c>
      <c r="E124" s="948">
        <v>0</v>
      </c>
      <c r="F124" s="948">
        <f t="shared" si="5"/>
        <v>0</v>
      </c>
      <c r="G124" s="948">
        <v>0</v>
      </c>
      <c r="H124" s="948">
        <v>0</v>
      </c>
      <c r="I124" s="948">
        <f t="shared" si="6"/>
        <v>0</v>
      </c>
      <c r="J124" s="948">
        <v>0</v>
      </c>
      <c r="K124" s="948">
        <v>0</v>
      </c>
      <c r="L124" s="948">
        <v>0</v>
      </c>
    </row>
    <row r="125" spans="1:12" x14ac:dyDescent="0.25">
      <c r="A125" s="843">
        <v>112</v>
      </c>
      <c r="B125" s="846" t="s">
        <v>237</v>
      </c>
      <c r="C125" s="845" t="s">
        <v>238</v>
      </c>
      <c r="D125" s="948">
        <f t="shared" si="4"/>
        <v>0</v>
      </c>
      <c r="E125" s="948">
        <v>0</v>
      </c>
      <c r="F125" s="948">
        <f t="shared" si="5"/>
        <v>0</v>
      </c>
      <c r="G125" s="948">
        <v>0</v>
      </c>
      <c r="H125" s="948">
        <v>0</v>
      </c>
      <c r="I125" s="948">
        <f t="shared" si="6"/>
        <v>0</v>
      </c>
      <c r="J125" s="948">
        <v>0</v>
      </c>
      <c r="K125" s="948">
        <v>0</v>
      </c>
      <c r="L125" s="948">
        <v>0</v>
      </c>
    </row>
    <row r="126" spans="1:12" x14ac:dyDescent="0.25">
      <c r="A126" s="843">
        <v>113</v>
      </c>
      <c r="B126" s="847" t="s">
        <v>239</v>
      </c>
      <c r="C126" s="848" t="s">
        <v>240</v>
      </c>
      <c r="D126" s="948">
        <f t="shared" si="4"/>
        <v>0</v>
      </c>
      <c r="E126" s="948">
        <v>0</v>
      </c>
      <c r="F126" s="948">
        <f t="shared" si="5"/>
        <v>0</v>
      </c>
      <c r="G126" s="948">
        <v>0</v>
      </c>
      <c r="H126" s="948">
        <v>0</v>
      </c>
      <c r="I126" s="948">
        <f t="shared" si="6"/>
        <v>0</v>
      </c>
      <c r="J126" s="948">
        <v>0</v>
      </c>
      <c r="K126" s="948">
        <v>0</v>
      </c>
      <c r="L126" s="948">
        <v>0</v>
      </c>
    </row>
    <row r="127" spans="1:12" ht="24" x14ac:dyDescent="0.25">
      <c r="A127" s="843">
        <v>114</v>
      </c>
      <c r="B127" s="844" t="s">
        <v>241</v>
      </c>
      <c r="C127" s="856" t="s">
        <v>242</v>
      </c>
      <c r="D127" s="948">
        <f t="shared" si="4"/>
        <v>0</v>
      </c>
      <c r="E127" s="948">
        <v>0</v>
      </c>
      <c r="F127" s="948">
        <f t="shared" si="5"/>
        <v>0</v>
      </c>
      <c r="G127" s="948">
        <v>0</v>
      </c>
      <c r="H127" s="948">
        <v>0</v>
      </c>
      <c r="I127" s="948">
        <f t="shared" si="6"/>
        <v>0</v>
      </c>
      <c r="J127" s="948">
        <v>0</v>
      </c>
      <c r="K127" s="948">
        <v>0</v>
      </c>
      <c r="L127" s="948">
        <v>0</v>
      </c>
    </row>
    <row r="128" spans="1:12" x14ac:dyDescent="0.25">
      <c r="A128" s="843">
        <v>115</v>
      </c>
      <c r="B128" s="847" t="s">
        <v>243</v>
      </c>
      <c r="C128" s="32" t="s">
        <v>385</v>
      </c>
      <c r="D128" s="948">
        <f t="shared" si="4"/>
        <v>0</v>
      </c>
      <c r="E128" s="948">
        <v>0</v>
      </c>
      <c r="F128" s="948">
        <f t="shared" si="5"/>
        <v>0</v>
      </c>
      <c r="G128" s="948">
        <v>0</v>
      </c>
      <c r="H128" s="948">
        <v>0</v>
      </c>
      <c r="I128" s="948">
        <f t="shared" si="6"/>
        <v>0</v>
      </c>
      <c r="J128" s="948">
        <v>0</v>
      </c>
      <c r="K128" s="948">
        <v>0</v>
      </c>
      <c r="L128" s="948">
        <v>0</v>
      </c>
    </row>
    <row r="129" spans="1:12" x14ac:dyDescent="0.25">
      <c r="A129" s="843">
        <v>116</v>
      </c>
      <c r="B129" s="846" t="s">
        <v>244</v>
      </c>
      <c r="C129" s="848" t="s">
        <v>245</v>
      </c>
      <c r="D129" s="948">
        <f t="shared" si="4"/>
        <v>0</v>
      </c>
      <c r="E129" s="948">
        <v>0</v>
      </c>
      <c r="F129" s="948">
        <f t="shared" si="5"/>
        <v>0</v>
      </c>
      <c r="G129" s="948">
        <v>0</v>
      </c>
      <c r="H129" s="948">
        <v>0</v>
      </c>
      <c r="I129" s="948">
        <f t="shared" si="6"/>
        <v>0</v>
      </c>
      <c r="J129" s="948">
        <v>0</v>
      </c>
      <c r="K129" s="948">
        <v>0</v>
      </c>
      <c r="L129" s="948">
        <v>0</v>
      </c>
    </row>
    <row r="130" spans="1:12" x14ac:dyDescent="0.25">
      <c r="A130" s="843">
        <v>117</v>
      </c>
      <c r="B130" s="846" t="s">
        <v>246</v>
      </c>
      <c r="C130" s="848" t="s">
        <v>247</v>
      </c>
      <c r="D130" s="948">
        <f t="shared" si="4"/>
        <v>0</v>
      </c>
      <c r="E130" s="948">
        <v>0</v>
      </c>
      <c r="F130" s="948">
        <f t="shared" si="5"/>
        <v>0</v>
      </c>
      <c r="G130" s="948">
        <v>0</v>
      </c>
      <c r="H130" s="948">
        <v>0</v>
      </c>
      <c r="I130" s="948">
        <f t="shared" si="6"/>
        <v>0</v>
      </c>
      <c r="J130" s="948">
        <v>0</v>
      </c>
      <c r="K130" s="948">
        <v>0</v>
      </c>
      <c r="L130" s="948">
        <v>0</v>
      </c>
    </row>
    <row r="131" spans="1:12" x14ac:dyDescent="0.25">
      <c r="A131" s="843">
        <v>118</v>
      </c>
      <c r="B131" s="846" t="s">
        <v>248</v>
      </c>
      <c r="C131" s="848" t="s">
        <v>249</v>
      </c>
      <c r="D131" s="948">
        <f t="shared" si="4"/>
        <v>0</v>
      </c>
      <c r="E131" s="948">
        <v>0</v>
      </c>
      <c r="F131" s="948">
        <f t="shared" si="5"/>
        <v>0</v>
      </c>
      <c r="G131" s="948">
        <v>0</v>
      </c>
      <c r="H131" s="948">
        <v>0</v>
      </c>
      <c r="I131" s="948">
        <f t="shared" si="6"/>
        <v>0</v>
      </c>
      <c r="J131" s="948">
        <v>0</v>
      </c>
      <c r="K131" s="948">
        <v>0</v>
      </c>
      <c r="L131" s="948">
        <v>0</v>
      </c>
    </row>
    <row r="132" spans="1:12" x14ac:dyDescent="0.25">
      <c r="A132" s="843">
        <v>119</v>
      </c>
      <c r="B132" s="844" t="s">
        <v>250</v>
      </c>
      <c r="C132" s="845" t="s">
        <v>251</v>
      </c>
      <c r="D132" s="948">
        <f t="shared" si="4"/>
        <v>8</v>
      </c>
      <c r="E132" s="948">
        <v>8</v>
      </c>
      <c r="F132" s="948">
        <f t="shared" si="5"/>
        <v>0</v>
      </c>
      <c r="G132" s="948">
        <v>0</v>
      </c>
      <c r="H132" s="948">
        <v>0</v>
      </c>
      <c r="I132" s="948">
        <f t="shared" si="6"/>
        <v>0</v>
      </c>
      <c r="J132" s="948">
        <v>0</v>
      </c>
      <c r="K132" s="948">
        <v>0</v>
      </c>
      <c r="L132" s="948">
        <v>0</v>
      </c>
    </row>
    <row r="133" spans="1:12" x14ac:dyDescent="0.25">
      <c r="A133" s="843">
        <v>120</v>
      </c>
      <c r="B133" s="846" t="s">
        <v>252</v>
      </c>
      <c r="C133" s="845" t="s">
        <v>253</v>
      </c>
      <c r="D133" s="948">
        <f t="shared" si="4"/>
        <v>0</v>
      </c>
      <c r="E133" s="948">
        <v>0</v>
      </c>
      <c r="F133" s="948">
        <f t="shared" si="5"/>
        <v>0</v>
      </c>
      <c r="G133" s="948">
        <v>0</v>
      </c>
      <c r="H133" s="948">
        <v>0</v>
      </c>
      <c r="I133" s="948">
        <f t="shared" si="6"/>
        <v>0</v>
      </c>
      <c r="J133" s="948">
        <v>0</v>
      </c>
      <c r="K133" s="948">
        <v>0</v>
      </c>
      <c r="L133" s="948">
        <v>0</v>
      </c>
    </row>
    <row r="134" spans="1:12" x14ac:dyDescent="0.25">
      <c r="A134" s="843">
        <v>121</v>
      </c>
      <c r="B134" s="847" t="s">
        <v>254</v>
      </c>
      <c r="C134" s="848" t="s">
        <v>255</v>
      </c>
      <c r="D134" s="948">
        <f t="shared" si="4"/>
        <v>12</v>
      </c>
      <c r="E134" s="948">
        <v>12</v>
      </c>
      <c r="F134" s="948">
        <f t="shared" si="5"/>
        <v>0</v>
      </c>
      <c r="G134" s="948">
        <v>0</v>
      </c>
      <c r="H134" s="948">
        <v>0</v>
      </c>
      <c r="I134" s="948">
        <f t="shared" si="6"/>
        <v>0</v>
      </c>
      <c r="J134" s="948">
        <v>0</v>
      </c>
      <c r="K134" s="948">
        <v>0</v>
      </c>
      <c r="L134" s="948">
        <v>0</v>
      </c>
    </row>
    <row r="135" spans="1:12" x14ac:dyDescent="0.25">
      <c r="A135" s="843">
        <v>122</v>
      </c>
      <c r="B135" s="847" t="s">
        <v>256</v>
      </c>
      <c r="C135" s="848" t="s">
        <v>257</v>
      </c>
      <c r="D135" s="948">
        <f t="shared" si="4"/>
        <v>0</v>
      </c>
      <c r="E135" s="948">
        <v>0</v>
      </c>
      <c r="F135" s="948">
        <f t="shared" si="5"/>
        <v>0</v>
      </c>
      <c r="G135" s="948">
        <v>0</v>
      </c>
      <c r="H135" s="948">
        <v>0</v>
      </c>
      <c r="I135" s="948">
        <f t="shared" si="6"/>
        <v>0</v>
      </c>
      <c r="J135" s="948">
        <v>0</v>
      </c>
      <c r="K135" s="948">
        <v>0</v>
      </c>
      <c r="L135" s="948">
        <v>0</v>
      </c>
    </row>
    <row r="136" spans="1:12" x14ac:dyDescent="0.25">
      <c r="A136" s="843">
        <v>123</v>
      </c>
      <c r="B136" s="847" t="s">
        <v>258</v>
      </c>
      <c r="C136" s="848" t="s">
        <v>259</v>
      </c>
      <c r="D136" s="948">
        <f t="shared" si="4"/>
        <v>0</v>
      </c>
      <c r="E136" s="948">
        <v>0</v>
      </c>
      <c r="F136" s="948">
        <f t="shared" si="5"/>
        <v>0</v>
      </c>
      <c r="G136" s="948">
        <v>0</v>
      </c>
      <c r="H136" s="948">
        <v>0</v>
      </c>
      <c r="I136" s="948">
        <f t="shared" si="6"/>
        <v>0</v>
      </c>
      <c r="J136" s="948">
        <v>0</v>
      </c>
      <c r="K136" s="948">
        <v>0</v>
      </c>
      <c r="L136" s="948">
        <v>0</v>
      </c>
    </row>
    <row r="137" spans="1:12" x14ac:dyDescent="0.25">
      <c r="A137" s="843">
        <v>124</v>
      </c>
      <c r="B137" s="847" t="s">
        <v>260</v>
      </c>
      <c r="C137" s="848" t="s">
        <v>261</v>
      </c>
      <c r="D137" s="948">
        <f t="shared" si="4"/>
        <v>0</v>
      </c>
      <c r="E137" s="948">
        <v>0</v>
      </c>
      <c r="F137" s="948">
        <f t="shared" si="5"/>
        <v>0</v>
      </c>
      <c r="G137" s="948">
        <v>0</v>
      </c>
      <c r="H137" s="948">
        <v>0</v>
      </c>
      <c r="I137" s="948">
        <f t="shared" si="6"/>
        <v>0</v>
      </c>
      <c r="J137" s="948">
        <v>0</v>
      </c>
      <c r="K137" s="948">
        <v>0</v>
      </c>
      <c r="L137" s="948">
        <v>0</v>
      </c>
    </row>
    <row r="138" spans="1:12" x14ac:dyDescent="0.25">
      <c r="A138" s="843">
        <v>125</v>
      </c>
      <c r="B138" s="847" t="s">
        <v>262</v>
      </c>
      <c r="C138" s="848" t="s">
        <v>263</v>
      </c>
      <c r="D138" s="948">
        <f t="shared" si="4"/>
        <v>0</v>
      </c>
      <c r="E138" s="948">
        <v>0</v>
      </c>
      <c r="F138" s="948">
        <f t="shared" si="5"/>
        <v>0</v>
      </c>
      <c r="G138" s="948">
        <v>0</v>
      </c>
      <c r="H138" s="948">
        <v>0</v>
      </c>
      <c r="I138" s="948">
        <f t="shared" si="6"/>
        <v>0</v>
      </c>
      <c r="J138" s="948">
        <v>0</v>
      </c>
      <c r="K138" s="948">
        <v>0</v>
      </c>
      <c r="L138" s="948">
        <v>0</v>
      </c>
    </row>
    <row r="139" spans="1:12" x14ac:dyDescent="0.25">
      <c r="A139" s="843">
        <v>126</v>
      </c>
      <c r="B139" s="844" t="s">
        <v>264</v>
      </c>
      <c r="C139" s="845" t="s">
        <v>265</v>
      </c>
      <c r="D139" s="948">
        <f t="shared" si="4"/>
        <v>0</v>
      </c>
      <c r="E139" s="948">
        <v>0</v>
      </c>
      <c r="F139" s="948">
        <f t="shared" si="5"/>
        <v>0</v>
      </c>
      <c r="G139" s="948">
        <v>0</v>
      </c>
      <c r="H139" s="948">
        <v>0</v>
      </c>
      <c r="I139" s="948">
        <f t="shared" si="6"/>
        <v>0</v>
      </c>
      <c r="J139" s="948">
        <v>0</v>
      </c>
      <c r="K139" s="948">
        <v>0</v>
      </c>
      <c r="L139" s="948">
        <v>0</v>
      </c>
    </row>
    <row r="140" spans="1:12" x14ac:dyDescent="0.25">
      <c r="A140" s="843">
        <v>127</v>
      </c>
      <c r="B140" s="844" t="s">
        <v>266</v>
      </c>
      <c r="C140" s="848" t="s">
        <v>267</v>
      </c>
      <c r="D140" s="948">
        <f t="shared" ref="D140:D153" si="7">E140+F140+I140</f>
        <v>0</v>
      </c>
      <c r="E140" s="948">
        <v>0</v>
      </c>
      <c r="F140" s="948">
        <f t="shared" ref="F140:F153" si="8">G140+H140</f>
        <v>0</v>
      </c>
      <c r="G140" s="948">
        <v>0</v>
      </c>
      <c r="H140" s="948">
        <v>0</v>
      </c>
      <c r="I140" s="948">
        <f t="shared" ref="I140:I153" si="9">J140+K140</f>
        <v>0</v>
      </c>
      <c r="J140" s="948">
        <v>0</v>
      </c>
      <c r="K140" s="948">
        <v>0</v>
      </c>
      <c r="L140" s="948">
        <v>0</v>
      </c>
    </row>
    <row r="141" spans="1:12" x14ac:dyDescent="0.25">
      <c r="A141" s="843">
        <v>128</v>
      </c>
      <c r="B141" s="849" t="s">
        <v>268</v>
      </c>
      <c r="C141" s="32" t="s">
        <v>269</v>
      </c>
      <c r="D141" s="948">
        <f t="shared" si="7"/>
        <v>0</v>
      </c>
      <c r="E141" s="948">
        <v>0</v>
      </c>
      <c r="F141" s="948">
        <f t="shared" si="8"/>
        <v>0</v>
      </c>
      <c r="G141" s="948">
        <v>0</v>
      </c>
      <c r="H141" s="948">
        <v>0</v>
      </c>
      <c r="I141" s="948">
        <f t="shared" si="9"/>
        <v>0</v>
      </c>
      <c r="J141" s="948">
        <v>0</v>
      </c>
      <c r="K141" s="948">
        <v>0</v>
      </c>
      <c r="L141" s="948">
        <v>0</v>
      </c>
    </row>
    <row r="142" spans="1:12" x14ac:dyDescent="0.25">
      <c r="A142" s="843">
        <v>129</v>
      </c>
      <c r="B142" s="847" t="s">
        <v>270</v>
      </c>
      <c r="C142" s="848" t="s">
        <v>271</v>
      </c>
      <c r="D142" s="948">
        <f t="shared" si="7"/>
        <v>0</v>
      </c>
      <c r="E142" s="948">
        <v>0</v>
      </c>
      <c r="F142" s="948">
        <f t="shared" si="8"/>
        <v>0</v>
      </c>
      <c r="G142" s="948">
        <v>0</v>
      </c>
      <c r="H142" s="948">
        <v>0</v>
      </c>
      <c r="I142" s="948">
        <f t="shared" si="9"/>
        <v>0</v>
      </c>
      <c r="J142" s="948">
        <v>0</v>
      </c>
      <c r="K142" s="948">
        <v>0</v>
      </c>
      <c r="L142" s="948">
        <v>0</v>
      </c>
    </row>
    <row r="143" spans="1:12" x14ac:dyDescent="0.25">
      <c r="A143" s="843">
        <v>130</v>
      </c>
      <c r="B143" s="847" t="s">
        <v>272</v>
      </c>
      <c r="C143" s="848" t="s">
        <v>273</v>
      </c>
      <c r="D143" s="948">
        <f t="shared" si="7"/>
        <v>0</v>
      </c>
      <c r="E143" s="948">
        <v>0</v>
      </c>
      <c r="F143" s="948">
        <f t="shared" si="8"/>
        <v>0</v>
      </c>
      <c r="G143" s="948">
        <v>0</v>
      </c>
      <c r="H143" s="948">
        <v>0</v>
      </c>
      <c r="I143" s="948">
        <f t="shared" si="9"/>
        <v>0</v>
      </c>
      <c r="J143" s="948">
        <v>0</v>
      </c>
      <c r="K143" s="948">
        <v>0</v>
      </c>
      <c r="L143" s="948">
        <v>0</v>
      </c>
    </row>
    <row r="144" spans="1:12" x14ac:dyDescent="0.25">
      <c r="A144" s="843">
        <v>131</v>
      </c>
      <c r="B144" s="847" t="s">
        <v>274</v>
      </c>
      <c r="C144" s="848" t="s">
        <v>275</v>
      </c>
      <c r="D144" s="948">
        <f t="shared" si="7"/>
        <v>0</v>
      </c>
      <c r="E144" s="948">
        <v>0</v>
      </c>
      <c r="F144" s="948">
        <f t="shared" si="8"/>
        <v>0</v>
      </c>
      <c r="G144" s="948">
        <v>0</v>
      </c>
      <c r="H144" s="948">
        <v>0</v>
      </c>
      <c r="I144" s="948">
        <f t="shared" si="9"/>
        <v>0</v>
      </c>
      <c r="J144" s="948">
        <v>0</v>
      </c>
      <c r="K144" s="948">
        <v>0</v>
      </c>
      <c r="L144" s="948">
        <v>0</v>
      </c>
    </row>
    <row r="145" spans="1:12" x14ac:dyDescent="0.25">
      <c r="A145" s="843">
        <v>132</v>
      </c>
      <c r="B145" s="849" t="s">
        <v>276</v>
      </c>
      <c r="C145" s="32" t="s">
        <v>277</v>
      </c>
      <c r="D145" s="948">
        <f t="shared" si="7"/>
        <v>25255</v>
      </c>
      <c r="E145" s="948">
        <v>0</v>
      </c>
      <c r="F145" s="948">
        <f t="shared" si="8"/>
        <v>25255</v>
      </c>
      <c r="G145" s="948">
        <v>2924</v>
      </c>
      <c r="H145" s="948">
        <v>22331</v>
      </c>
      <c r="I145" s="948">
        <f t="shared" si="9"/>
        <v>0</v>
      </c>
      <c r="J145" s="948">
        <v>0</v>
      </c>
      <c r="K145" s="948">
        <v>0</v>
      </c>
      <c r="L145" s="948">
        <v>20130</v>
      </c>
    </row>
    <row r="146" spans="1:12" x14ac:dyDescent="0.25">
      <c r="A146" s="843">
        <v>133</v>
      </c>
      <c r="B146" s="846" t="s">
        <v>278</v>
      </c>
      <c r="C146" s="32" t="s">
        <v>279</v>
      </c>
      <c r="D146" s="948">
        <f t="shared" si="7"/>
        <v>36328</v>
      </c>
      <c r="E146" s="948">
        <v>0</v>
      </c>
      <c r="F146" s="948">
        <f t="shared" si="8"/>
        <v>30708</v>
      </c>
      <c r="G146" s="948">
        <v>7713</v>
      </c>
      <c r="H146" s="948">
        <v>22995</v>
      </c>
      <c r="I146" s="948">
        <f t="shared" si="9"/>
        <v>5620</v>
      </c>
      <c r="J146" s="948">
        <v>866</v>
      </c>
      <c r="K146" s="948">
        <v>4754</v>
      </c>
      <c r="L146" s="948">
        <v>24499</v>
      </c>
    </row>
    <row r="147" spans="1:12" x14ac:dyDescent="0.25">
      <c r="A147" s="843">
        <v>134</v>
      </c>
      <c r="B147" s="847" t="s">
        <v>280</v>
      </c>
      <c r="C147" s="848" t="s">
        <v>281</v>
      </c>
      <c r="D147" s="948">
        <f t="shared" si="7"/>
        <v>0</v>
      </c>
      <c r="E147" s="948">
        <v>0</v>
      </c>
      <c r="F147" s="948">
        <f t="shared" si="8"/>
        <v>0</v>
      </c>
      <c r="G147" s="948">
        <v>0</v>
      </c>
      <c r="H147" s="948">
        <v>0</v>
      </c>
      <c r="I147" s="948">
        <f t="shared" si="9"/>
        <v>0</v>
      </c>
      <c r="J147" s="948">
        <v>0</v>
      </c>
      <c r="K147" s="948">
        <v>0</v>
      </c>
      <c r="L147" s="948">
        <v>0</v>
      </c>
    </row>
    <row r="148" spans="1:12" x14ac:dyDescent="0.25">
      <c r="A148" s="843">
        <v>135</v>
      </c>
      <c r="B148" s="844" t="s">
        <v>282</v>
      </c>
      <c r="C148" s="845" t="s">
        <v>283</v>
      </c>
      <c r="D148" s="948">
        <f t="shared" si="7"/>
        <v>0</v>
      </c>
      <c r="E148" s="948">
        <v>0</v>
      </c>
      <c r="F148" s="948">
        <f t="shared" si="8"/>
        <v>0</v>
      </c>
      <c r="G148" s="948">
        <v>0</v>
      </c>
      <c r="H148" s="948">
        <v>0</v>
      </c>
      <c r="I148" s="948">
        <f t="shared" si="9"/>
        <v>0</v>
      </c>
      <c r="J148" s="948">
        <v>0</v>
      </c>
      <c r="K148" s="948">
        <v>0</v>
      </c>
      <c r="L148" s="948">
        <v>0</v>
      </c>
    </row>
    <row r="149" spans="1:12" ht="27" customHeight="1" x14ac:dyDescent="0.25">
      <c r="A149" s="843">
        <v>136</v>
      </c>
      <c r="B149" s="857" t="s">
        <v>284</v>
      </c>
      <c r="C149" s="858" t="s">
        <v>285</v>
      </c>
      <c r="D149" s="948">
        <f t="shared" si="7"/>
        <v>0</v>
      </c>
      <c r="E149" s="948">
        <v>0</v>
      </c>
      <c r="F149" s="948">
        <f t="shared" si="8"/>
        <v>0</v>
      </c>
      <c r="G149" s="948">
        <v>0</v>
      </c>
      <c r="H149" s="948">
        <v>0</v>
      </c>
      <c r="I149" s="948">
        <f t="shared" si="9"/>
        <v>0</v>
      </c>
      <c r="J149" s="948">
        <v>0</v>
      </c>
      <c r="K149" s="948">
        <v>0</v>
      </c>
      <c r="L149" s="948">
        <v>0</v>
      </c>
    </row>
    <row r="150" spans="1:12" x14ac:dyDescent="0.25">
      <c r="A150" s="843">
        <v>137</v>
      </c>
      <c r="B150" s="40" t="s">
        <v>387</v>
      </c>
      <c r="C150" s="859" t="s">
        <v>388</v>
      </c>
      <c r="D150" s="948">
        <f t="shared" si="7"/>
        <v>0</v>
      </c>
      <c r="E150" s="948">
        <v>0</v>
      </c>
      <c r="F150" s="948">
        <f t="shared" si="8"/>
        <v>0</v>
      </c>
      <c r="G150" s="948">
        <v>0</v>
      </c>
      <c r="H150" s="948">
        <v>0</v>
      </c>
      <c r="I150" s="948">
        <f t="shared" si="9"/>
        <v>0</v>
      </c>
      <c r="J150" s="948">
        <v>0</v>
      </c>
      <c r="K150" s="948">
        <v>0</v>
      </c>
      <c r="L150" s="948">
        <v>0</v>
      </c>
    </row>
    <row r="151" spans="1:12" x14ac:dyDescent="0.25">
      <c r="A151" s="843">
        <v>138</v>
      </c>
      <c r="B151" s="41" t="s">
        <v>389</v>
      </c>
      <c r="C151" s="860" t="s">
        <v>390</v>
      </c>
      <c r="D151" s="948">
        <f t="shared" si="7"/>
        <v>0</v>
      </c>
      <c r="E151" s="948">
        <v>0</v>
      </c>
      <c r="F151" s="948">
        <f t="shared" si="8"/>
        <v>0</v>
      </c>
      <c r="G151" s="948">
        <v>0</v>
      </c>
      <c r="H151" s="948">
        <v>0</v>
      </c>
      <c r="I151" s="948">
        <f t="shared" si="9"/>
        <v>0</v>
      </c>
      <c r="J151" s="948">
        <v>0</v>
      </c>
      <c r="K151" s="948">
        <v>0</v>
      </c>
      <c r="L151" s="948">
        <v>0</v>
      </c>
    </row>
    <row r="152" spans="1:12" x14ac:dyDescent="0.25">
      <c r="A152" s="843">
        <v>139</v>
      </c>
      <c r="B152" s="42" t="s">
        <v>391</v>
      </c>
      <c r="C152" s="861" t="s">
        <v>392</v>
      </c>
      <c r="D152" s="948">
        <f t="shared" si="7"/>
        <v>0</v>
      </c>
      <c r="E152" s="948">
        <v>0</v>
      </c>
      <c r="F152" s="948">
        <f t="shared" si="8"/>
        <v>0</v>
      </c>
      <c r="G152" s="948">
        <v>0</v>
      </c>
      <c r="H152" s="948">
        <v>0</v>
      </c>
      <c r="I152" s="948">
        <f t="shared" si="9"/>
        <v>0</v>
      </c>
      <c r="J152" s="948">
        <v>0</v>
      </c>
      <c r="K152" s="948">
        <v>0</v>
      </c>
      <c r="L152" s="948">
        <v>0</v>
      </c>
    </row>
    <row r="153" spans="1:12" x14ac:dyDescent="0.25">
      <c r="A153" s="843">
        <v>140</v>
      </c>
      <c r="B153" s="843" t="s">
        <v>393</v>
      </c>
      <c r="C153" s="862" t="s">
        <v>394</v>
      </c>
      <c r="D153" s="948">
        <f t="shared" si="7"/>
        <v>0</v>
      </c>
      <c r="E153" s="948">
        <v>0</v>
      </c>
      <c r="F153" s="948">
        <f t="shared" si="8"/>
        <v>0</v>
      </c>
      <c r="G153" s="948">
        <v>0</v>
      </c>
      <c r="H153" s="948">
        <v>0</v>
      </c>
      <c r="I153" s="948">
        <f t="shared" si="9"/>
        <v>0</v>
      </c>
      <c r="J153" s="948">
        <v>0</v>
      </c>
      <c r="K153" s="948">
        <v>0</v>
      </c>
      <c r="L153" s="948">
        <v>0</v>
      </c>
    </row>
  </sheetData>
  <mergeCells count="18">
    <mergeCell ref="A94:A96"/>
    <mergeCell ref="B94:B96"/>
    <mergeCell ref="E6:E7"/>
    <mergeCell ref="F6:H6"/>
    <mergeCell ref="I6:K6"/>
    <mergeCell ref="A9:C9"/>
    <mergeCell ref="A10:C10"/>
    <mergeCell ref="A11:C11"/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158"/>
  <sheetViews>
    <sheetView workbookViewId="0">
      <pane xSplit="3" ySplit="7" topLeftCell="D128" activePane="bottomRight" state="frozen"/>
      <selection pane="topRight" activeCell="D1" sqref="D1"/>
      <selection pane="bottomLeft" activeCell="A8" sqref="A8"/>
      <selection pane="bottomRight" activeCell="M161" sqref="M161"/>
    </sheetView>
  </sheetViews>
  <sheetFormatPr defaultRowHeight="12" x14ac:dyDescent="0.2"/>
  <cols>
    <col min="1" max="1" width="6.140625" style="952" customWidth="1"/>
    <col min="2" max="2" width="9.140625" style="952"/>
    <col min="3" max="3" width="33.140625" style="952" customWidth="1"/>
    <col min="4" max="4" width="13.140625" style="952" customWidth="1"/>
    <col min="5" max="5" width="15.28515625" style="952" customWidth="1"/>
    <col min="6" max="6" width="23.7109375" style="952" customWidth="1"/>
    <col min="7" max="7" width="15.42578125" style="952" customWidth="1"/>
    <col min="8" max="8" width="13.42578125" style="952" customWidth="1"/>
    <col min="9" max="9" width="11.42578125" style="952" customWidth="1"/>
    <col min="10" max="10" width="13.5703125" style="952" customWidth="1"/>
    <col min="11" max="11" width="10.5703125" style="952" customWidth="1"/>
    <col min="12" max="12" width="12.140625" style="952" customWidth="1"/>
    <col min="13" max="13" width="15.7109375" style="952" customWidth="1"/>
    <col min="14" max="14" width="24.140625" style="952" customWidth="1"/>
    <col min="15" max="16384" width="9.140625" style="952"/>
  </cols>
  <sheetData>
    <row r="1" spans="1:17" ht="15.75" x14ac:dyDescent="0.2">
      <c r="B1" s="1070" t="s">
        <v>354</v>
      </c>
      <c r="C1" s="1070"/>
      <c r="D1" s="1070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7" ht="12" customHeight="1" x14ac:dyDescent="0.2">
      <c r="A2" s="1072" t="s">
        <v>0</v>
      </c>
      <c r="B2" s="1073" t="s">
        <v>1</v>
      </c>
      <c r="C2" s="1072" t="s">
        <v>2</v>
      </c>
      <c r="D2" s="1076" t="s">
        <v>339</v>
      </c>
      <c r="E2" s="1076"/>
      <c r="F2" s="1076"/>
      <c r="G2" s="1076"/>
      <c r="H2" s="1076"/>
      <c r="I2" s="1076"/>
      <c r="J2" s="1076"/>
      <c r="K2" s="1076"/>
      <c r="L2" s="1076"/>
      <c r="M2" s="1076"/>
      <c r="N2" s="1076"/>
    </row>
    <row r="3" spans="1:17" ht="12" customHeight="1" x14ac:dyDescent="0.2">
      <c r="A3" s="1072"/>
      <c r="B3" s="1074"/>
      <c r="C3" s="1072"/>
      <c r="D3" s="1077" t="s">
        <v>3</v>
      </c>
      <c r="E3" s="1076" t="s">
        <v>4</v>
      </c>
      <c r="F3" s="1076"/>
      <c r="G3" s="1076"/>
      <c r="H3" s="1076"/>
      <c r="I3" s="1076"/>
      <c r="J3" s="1076"/>
      <c r="K3" s="1076"/>
      <c r="L3" s="1076"/>
      <c r="M3" s="1076"/>
      <c r="N3" s="1076"/>
    </row>
    <row r="4" spans="1:17" ht="28.5" customHeight="1" x14ac:dyDescent="0.2">
      <c r="A4" s="1072"/>
      <c r="B4" s="1074"/>
      <c r="C4" s="1072"/>
      <c r="D4" s="1077"/>
      <c r="E4" s="1079" t="s">
        <v>340</v>
      </c>
      <c r="F4" s="1079"/>
      <c r="G4" s="1080" t="s">
        <v>341</v>
      </c>
      <c r="H4" s="1081"/>
      <c r="I4" s="1079" t="s">
        <v>342</v>
      </c>
      <c r="J4" s="1079"/>
      <c r="K4" s="1082" t="s">
        <v>343</v>
      </c>
      <c r="L4" s="1080"/>
      <c r="M4" s="1080"/>
      <c r="N4" s="1081"/>
    </row>
    <row r="5" spans="1:17" ht="12.75" customHeight="1" x14ac:dyDescent="0.2">
      <c r="A5" s="1072"/>
      <c r="B5" s="1074"/>
      <c r="C5" s="1072"/>
      <c r="D5" s="1077"/>
      <c r="E5" s="1083" t="s">
        <v>297</v>
      </c>
      <c r="F5" s="1085" t="s">
        <v>344</v>
      </c>
      <c r="G5" s="1087" t="s">
        <v>345</v>
      </c>
      <c r="H5" s="1083" t="s">
        <v>346</v>
      </c>
      <c r="I5" s="1072" t="s">
        <v>347</v>
      </c>
      <c r="J5" s="1079" t="s">
        <v>348</v>
      </c>
      <c r="K5" s="1079" t="s">
        <v>297</v>
      </c>
      <c r="L5" s="1087" t="s">
        <v>349</v>
      </c>
      <c r="M5" s="1087" t="s">
        <v>350</v>
      </c>
      <c r="N5" s="1088" t="s">
        <v>351</v>
      </c>
    </row>
    <row r="6" spans="1:17" ht="36.75" customHeight="1" x14ac:dyDescent="0.2">
      <c r="A6" s="1072"/>
      <c r="B6" s="1075"/>
      <c r="C6" s="1072"/>
      <c r="D6" s="1078"/>
      <c r="E6" s="1084"/>
      <c r="F6" s="1086"/>
      <c r="G6" s="1078"/>
      <c r="H6" s="1084"/>
      <c r="I6" s="1072"/>
      <c r="J6" s="1079"/>
      <c r="K6" s="1079"/>
      <c r="L6" s="1078"/>
      <c r="M6" s="1078"/>
      <c r="N6" s="1089"/>
      <c r="P6" s="953"/>
    </row>
    <row r="7" spans="1:17" s="957" customFormat="1" ht="11.25" x14ac:dyDescent="0.2">
      <c r="A7" s="954">
        <v>1</v>
      </c>
      <c r="B7" s="954">
        <v>2</v>
      </c>
      <c r="C7" s="954">
        <v>3</v>
      </c>
      <c r="D7" s="955">
        <v>4</v>
      </c>
      <c r="E7" s="956">
        <v>5</v>
      </c>
      <c r="F7" s="956">
        <v>6</v>
      </c>
      <c r="G7" s="956">
        <v>7</v>
      </c>
      <c r="H7" s="956">
        <v>8</v>
      </c>
      <c r="I7" s="956">
        <v>9</v>
      </c>
      <c r="J7" s="956">
        <v>10</v>
      </c>
      <c r="K7" s="956">
        <v>11</v>
      </c>
      <c r="L7" s="956">
        <v>12</v>
      </c>
      <c r="M7" s="956">
        <v>13</v>
      </c>
      <c r="N7" s="956">
        <v>14</v>
      </c>
    </row>
    <row r="8" spans="1:17" s="957" customFormat="1" x14ac:dyDescent="0.2">
      <c r="A8" s="1066" t="s">
        <v>6</v>
      </c>
      <c r="B8" s="1066"/>
      <c r="C8" s="1066"/>
      <c r="D8" s="958">
        <f>E8+G8+H8+I8+J8+K8</f>
        <v>3674942</v>
      </c>
      <c r="E8" s="958">
        <f t="shared" ref="E8:N8" si="0">E9+E10</f>
        <v>215029</v>
      </c>
      <c r="F8" s="958">
        <f t="shared" si="0"/>
        <v>130</v>
      </c>
      <c r="G8" s="958">
        <f t="shared" si="0"/>
        <v>723362</v>
      </c>
      <c r="H8" s="958">
        <f t="shared" si="0"/>
        <v>1796151</v>
      </c>
      <c r="I8" s="958">
        <f t="shared" si="0"/>
        <v>38426</v>
      </c>
      <c r="J8" s="958">
        <f t="shared" si="0"/>
        <v>16743</v>
      </c>
      <c r="K8" s="958">
        <f t="shared" si="0"/>
        <v>885231</v>
      </c>
      <c r="L8" s="958">
        <f t="shared" si="0"/>
        <v>5018</v>
      </c>
      <c r="M8" s="958">
        <f t="shared" si="0"/>
        <v>880213</v>
      </c>
      <c r="N8" s="958">
        <f t="shared" si="0"/>
        <v>300</v>
      </c>
      <c r="P8" s="959"/>
      <c r="Q8" s="960"/>
    </row>
    <row r="9" spans="1:17" s="957" customFormat="1" ht="12" customHeight="1" x14ac:dyDescent="0.2">
      <c r="A9" s="1067" t="s">
        <v>14</v>
      </c>
      <c r="B9" s="1068"/>
      <c r="C9" s="1069"/>
      <c r="D9" s="956">
        <f t="shared" ref="D9:D72" si="1">E9+G9+H9+I9+J9+K9</f>
        <v>105918</v>
      </c>
      <c r="E9" s="956">
        <v>0</v>
      </c>
      <c r="F9" s="956">
        <v>0</v>
      </c>
      <c r="G9" s="956">
        <f>149243-6196+3871-41000</f>
        <v>105918</v>
      </c>
      <c r="H9" s="956">
        <v>0</v>
      </c>
      <c r="I9" s="956">
        <v>0</v>
      </c>
      <c r="J9" s="956">
        <v>0</v>
      </c>
      <c r="K9" s="956">
        <f t="shared" ref="K9" si="2">L9+M9</f>
        <v>0</v>
      </c>
      <c r="L9" s="956">
        <v>0</v>
      </c>
      <c r="M9" s="956">
        <v>0</v>
      </c>
      <c r="N9" s="956">
        <v>0</v>
      </c>
      <c r="Q9" s="960"/>
    </row>
    <row r="10" spans="1:17" s="957" customFormat="1" ht="12" customHeight="1" x14ac:dyDescent="0.2">
      <c r="A10" s="1067" t="s">
        <v>15</v>
      </c>
      <c r="B10" s="1068"/>
      <c r="C10" s="1069"/>
      <c r="D10" s="958">
        <f t="shared" si="1"/>
        <v>3569024</v>
      </c>
      <c r="E10" s="958">
        <f t="shared" ref="E10:J10" si="3">SUM(E11:E148)</f>
        <v>215029</v>
      </c>
      <c r="F10" s="958">
        <f t="shared" si="3"/>
        <v>130</v>
      </c>
      <c r="G10" s="958">
        <f t="shared" si="3"/>
        <v>617444</v>
      </c>
      <c r="H10" s="958">
        <f t="shared" si="3"/>
        <v>1796151</v>
      </c>
      <c r="I10" s="958">
        <f t="shared" si="3"/>
        <v>38426</v>
      </c>
      <c r="J10" s="958">
        <f t="shared" si="3"/>
        <v>16743</v>
      </c>
      <c r="K10" s="958">
        <f>L10+M10</f>
        <v>885231</v>
      </c>
      <c r="L10" s="958">
        <f>SUM(L11:L148)</f>
        <v>5018</v>
      </c>
      <c r="M10" s="958">
        <f>SUM(M11:M148)</f>
        <v>880213</v>
      </c>
      <c r="N10" s="958">
        <f>SUM(N11:N148)</f>
        <v>300</v>
      </c>
      <c r="P10" s="959"/>
      <c r="Q10" s="960"/>
    </row>
    <row r="11" spans="1:17" x14ac:dyDescent="0.2">
      <c r="A11" s="843">
        <v>1</v>
      </c>
      <c r="B11" s="844" t="s">
        <v>16</v>
      </c>
      <c r="C11" s="845" t="s">
        <v>17</v>
      </c>
      <c r="D11" s="956">
        <f>E11+G11+H11+I11+J11+K11</f>
        <v>13010</v>
      </c>
      <c r="E11" s="961">
        <v>0</v>
      </c>
      <c r="F11" s="961">
        <v>0</v>
      </c>
      <c r="G11" s="961">
        <v>4597</v>
      </c>
      <c r="H11" s="961">
        <v>8413</v>
      </c>
      <c r="I11" s="961">
        <v>0</v>
      </c>
      <c r="J11" s="961">
        <v>0</v>
      </c>
      <c r="K11" s="956">
        <f>L11+M11</f>
        <v>0</v>
      </c>
      <c r="L11" s="961">
        <v>0</v>
      </c>
      <c r="M11" s="961">
        <v>0</v>
      </c>
      <c r="N11" s="961">
        <v>0</v>
      </c>
      <c r="Q11" s="960"/>
    </row>
    <row r="12" spans="1:17" x14ac:dyDescent="0.2">
      <c r="A12" s="843">
        <v>2</v>
      </c>
      <c r="B12" s="846" t="s">
        <v>18</v>
      </c>
      <c r="C12" s="845" t="s">
        <v>19</v>
      </c>
      <c r="D12" s="956">
        <f t="shared" si="1"/>
        <v>17345</v>
      </c>
      <c r="E12" s="961">
        <v>0</v>
      </c>
      <c r="F12" s="961">
        <v>0</v>
      </c>
      <c r="G12" s="961">
        <v>1379</v>
      </c>
      <c r="H12" s="961">
        <v>14502</v>
      </c>
      <c r="I12" s="961">
        <v>1025</v>
      </c>
      <c r="J12" s="961">
        <v>439</v>
      </c>
      <c r="K12" s="956">
        <f t="shared" ref="K12:K77" si="4">L12+M12</f>
        <v>0</v>
      </c>
      <c r="L12" s="961">
        <v>0</v>
      </c>
      <c r="M12" s="961">
        <v>0</v>
      </c>
      <c r="N12" s="961">
        <v>0</v>
      </c>
      <c r="Q12" s="960"/>
    </row>
    <row r="13" spans="1:17" x14ac:dyDescent="0.2">
      <c r="A13" s="843">
        <v>3</v>
      </c>
      <c r="B13" s="847" t="s">
        <v>20</v>
      </c>
      <c r="C13" s="848" t="s">
        <v>21</v>
      </c>
      <c r="D13" s="956">
        <f t="shared" si="1"/>
        <v>30185</v>
      </c>
      <c r="E13" s="961">
        <v>0</v>
      </c>
      <c r="F13" s="961">
        <v>0</v>
      </c>
      <c r="G13" s="961">
        <v>4908</v>
      </c>
      <c r="H13" s="961">
        <v>23659</v>
      </c>
      <c r="I13" s="961">
        <v>1025</v>
      </c>
      <c r="J13" s="961">
        <v>439</v>
      </c>
      <c r="K13" s="956">
        <f t="shared" si="4"/>
        <v>154</v>
      </c>
      <c r="L13" s="961">
        <v>0</v>
      </c>
      <c r="M13" s="961">
        <v>154</v>
      </c>
      <c r="N13" s="961">
        <v>0</v>
      </c>
      <c r="Q13" s="960"/>
    </row>
    <row r="14" spans="1:17" x14ac:dyDescent="0.2">
      <c r="A14" s="843">
        <v>4</v>
      </c>
      <c r="B14" s="844" t="s">
        <v>22</v>
      </c>
      <c r="C14" s="845" t="s">
        <v>23</v>
      </c>
      <c r="D14" s="956">
        <f t="shared" si="1"/>
        <v>17791</v>
      </c>
      <c r="E14" s="961">
        <v>0</v>
      </c>
      <c r="F14" s="961">
        <v>0</v>
      </c>
      <c r="G14" s="961">
        <v>2914</v>
      </c>
      <c r="H14" s="961">
        <v>14877</v>
      </c>
      <c r="I14" s="961">
        <v>0</v>
      </c>
      <c r="J14" s="961">
        <v>0</v>
      </c>
      <c r="K14" s="956">
        <f t="shared" si="4"/>
        <v>0</v>
      </c>
      <c r="L14" s="961">
        <v>0</v>
      </c>
      <c r="M14" s="961">
        <v>0</v>
      </c>
      <c r="N14" s="961">
        <v>0</v>
      </c>
      <c r="Q14" s="960"/>
    </row>
    <row r="15" spans="1:17" x14ac:dyDescent="0.2">
      <c r="A15" s="843">
        <v>5</v>
      </c>
      <c r="B15" s="844" t="s">
        <v>24</v>
      </c>
      <c r="C15" s="845" t="s">
        <v>25</v>
      </c>
      <c r="D15" s="956">
        <f t="shared" si="1"/>
        <v>12411</v>
      </c>
      <c r="E15" s="961">
        <v>0</v>
      </c>
      <c r="F15" s="961">
        <v>0</v>
      </c>
      <c r="G15" s="961">
        <v>5190</v>
      </c>
      <c r="H15" s="961">
        <v>7221</v>
      </c>
      <c r="I15" s="961">
        <v>0</v>
      </c>
      <c r="J15" s="961">
        <v>0</v>
      </c>
      <c r="K15" s="956">
        <f t="shared" si="4"/>
        <v>0</v>
      </c>
      <c r="L15" s="961">
        <v>0</v>
      </c>
      <c r="M15" s="961">
        <v>0</v>
      </c>
      <c r="N15" s="961">
        <v>0</v>
      </c>
      <c r="Q15" s="960"/>
    </row>
    <row r="16" spans="1:17" x14ac:dyDescent="0.2">
      <c r="A16" s="843">
        <v>6</v>
      </c>
      <c r="B16" s="847" t="s">
        <v>26</v>
      </c>
      <c r="C16" s="848" t="s">
        <v>27</v>
      </c>
      <c r="D16" s="956">
        <f t="shared" si="1"/>
        <v>108096</v>
      </c>
      <c r="E16" s="961">
        <v>0</v>
      </c>
      <c r="F16" s="961">
        <v>0</v>
      </c>
      <c r="G16" s="961">
        <v>26349</v>
      </c>
      <c r="H16" s="961">
        <v>80104</v>
      </c>
      <c r="I16" s="961">
        <v>1025</v>
      </c>
      <c r="J16" s="961">
        <v>439</v>
      </c>
      <c r="K16" s="956">
        <f t="shared" si="4"/>
        <v>179</v>
      </c>
      <c r="L16" s="961">
        <v>0</v>
      </c>
      <c r="M16" s="961">
        <v>179</v>
      </c>
      <c r="N16" s="961">
        <v>0</v>
      </c>
      <c r="Q16" s="960"/>
    </row>
    <row r="17" spans="1:17" x14ac:dyDescent="0.2">
      <c r="A17" s="843">
        <v>7</v>
      </c>
      <c r="B17" s="849" t="s">
        <v>28</v>
      </c>
      <c r="C17" s="32" t="s">
        <v>29</v>
      </c>
      <c r="D17" s="956">
        <f t="shared" si="1"/>
        <v>26768</v>
      </c>
      <c r="E17" s="961">
        <v>0</v>
      </c>
      <c r="F17" s="961">
        <v>0</v>
      </c>
      <c r="G17" s="961">
        <v>10188</v>
      </c>
      <c r="H17" s="961">
        <v>15005</v>
      </c>
      <c r="I17" s="961">
        <v>909</v>
      </c>
      <c r="J17" s="961">
        <v>389</v>
      </c>
      <c r="K17" s="956">
        <f t="shared" si="4"/>
        <v>277</v>
      </c>
      <c r="L17" s="961">
        <v>0</v>
      </c>
      <c r="M17" s="961">
        <v>277</v>
      </c>
      <c r="N17" s="961">
        <v>0</v>
      </c>
      <c r="Q17" s="960"/>
    </row>
    <row r="18" spans="1:17" x14ac:dyDescent="0.2">
      <c r="A18" s="843">
        <v>8</v>
      </c>
      <c r="B18" s="847" t="s">
        <v>30</v>
      </c>
      <c r="C18" s="848" t="s">
        <v>31</v>
      </c>
      <c r="D18" s="956">
        <f t="shared" si="1"/>
        <v>15021</v>
      </c>
      <c r="E18" s="961">
        <v>0</v>
      </c>
      <c r="F18" s="961">
        <v>0</v>
      </c>
      <c r="G18" s="961">
        <v>5001</v>
      </c>
      <c r="H18" s="961">
        <v>10020</v>
      </c>
      <c r="I18" s="961">
        <v>0</v>
      </c>
      <c r="J18" s="961">
        <v>0</v>
      </c>
      <c r="K18" s="956">
        <f t="shared" si="4"/>
        <v>0</v>
      </c>
      <c r="L18" s="961">
        <v>0</v>
      </c>
      <c r="M18" s="961">
        <v>0</v>
      </c>
      <c r="N18" s="961">
        <v>0</v>
      </c>
      <c r="Q18" s="960"/>
    </row>
    <row r="19" spans="1:17" x14ac:dyDescent="0.2">
      <c r="A19" s="843">
        <v>9</v>
      </c>
      <c r="B19" s="847" t="s">
        <v>32</v>
      </c>
      <c r="C19" s="848" t="s">
        <v>33</v>
      </c>
      <c r="D19" s="956">
        <f t="shared" si="1"/>
        <v>15202</v>
      </c>
      <c r="E19" s="961">
        <v>0</v>
      </c>
      <c r="F19" s="961">
        <v>0</v>
      </c>
      <c r="G19" s="961">
        <v>6431</v>
      </c>
      <c r="H19" s="961">
        <v>7307</v>
      </c>
      <c r="I19" s="961">
        <v>1025</v>
      </c>
      <c r="J19" s="961">
        <v>439</v>
      </c>
      <c r="K19" s="956">
        <f t="shared" si="4"/>
        <v>0</v>
      </c>
      <c r="L19" s="961">
        <v>0</v>
      </c>
      <c r="M19" s="961">
        <v>0</v>
      </c>
      <c r="N19" s="961">
        <v>0</v>
      </c>
      <c r="Q19" s="960"/>
    </row>
    <row r="20" spans="1:17" x14ac:dyDescent="0.2">
      <c r="A20" s="843">
        <v>10</v>
      </c>
      <c r="B20" s="847" t="s">
        <v>34</v>
      </c>
      <c r="C20" s="848" t="s">
        <v>35</v>
      </c>
      <c r="D20" s="956">
        <f t="shared" si="1"/>
        <v>16996</v>
      </c>
      <c r="E20" s="961">
        <v>0</v>
      </c>
      <c r="F20" s="961">
        <v>0</v>
      </c>
      <c r="G20" s="961">
        <v>5950</v>
      </c>
      <c r="H20" s="961">
        <v>11046</v>
      </c>
      <c r="I20" s="961">
        <v>0</v>
      </c>
      <c r="J20" s="961">
        <v>0</v>
      </c>
      <c r="K20" s="956">
        <f t="shared" si="4"/>
        <v>0</v>
      </c>
      <c r="L20" s="961">
        <v>0</v>
      </c>
      <c r="M20" s="961">
        <v>0</v>
      </c>
      <c r="N20" s="961">
        <v>0</v>
      </c>
      <c r="Q20" s="960"/>
    </row>
    <row r="21" spans="1:17" x14ac:dyDescent="0.2">
      <c r="A21" s="843">
        <v>11</v>
      </c>
      <c r="B21" s="847" t="s">
        <v>36</v>
      </c>
      <c r="C21" s="848" t="s">
        <v>37</v>
      </c>
      <c r="D21" s="956">
        <f t="shared" si="1"/>
        <v>8170</v>
      </c>
      <c r="E21" s="961">
        <v>0</v>
      </c>
      <c r="F21" s="961">
        <v>0</v>
      </c>
      <c r="G21" s="961">
        <v>2583</v>
      </c>
      <c r="H21" s="961">
        <v>5587</v>
      </c>
      <c r="I21" s="961">
        <v>0</v>
      </c>
      <c r="J21" s="961">
        <v>0</v>
      </c>
      <c r="K21" s="956">
        <f t="shared" si="4"/>
        <v>0</v>
      </c>
      <c r="L21" s="961">
        <v>0</v>
      </c>
      <c r="M21" s="961">
        <v>0</v>
      </c>
      <c r="N21" s="961">
        <v>0</v>
      </c>
      <c r="Q21" s="960"/>
    </row>
    <row r="22" spans="1:17" x14ac:dyDescent="0.2">
      <c r="A22" s="843">
        <v>12</v>
      </c>
      <c r="B22" s="847" t="s">
        <v>38</v>
      </c>
      <c r="C22" s="848" t="s">
        <v>39</v>
      </c>
      <c r="D22" s="956">
        <f t="shared" si="1"/>
        <v>27732</v>
      </c>
      <c r="E22" s="961">
        <v>0</v>
      </c>
      <c r="F22" s="961">
        <v>0</v>
      </c>
      <c r="G22" s="961">
        <v>2889</v>
      </c>
      <c r="H22" s="961">
        <v>23379</v>
      </c>
      <c r="I22" s="961">
        <v>1025</v>
      </c>
      <c r="J22" s="961">
        <v>439</v>
      </c>
      <c r="K22" s="956">
        <f t="shared" si="4"/>
        <v>0</v>
      </c>
      <c r="L22" s="961">
        <v>0</v>
      </c>
      <c r="M22" s="961">
        <v>0</v>
      </c>
      <c r="N22" s="961">
        <v>0</v>
      </c>
      <c r="Q22" s="960"/>
    </row>
    <row r="23" spans="1:17" x14ac:dyDescent="0.2">
      <c r="A23" s="850">
        <v>13</v>
      </c>
      <c r="B23" s="847" t="s">
        <v>40</v>
      </c>
      <c r="C23" s="848" t="s">
        <v>41</v>
      </c>
      <c r="D23" s="956">
        <f t="shared" si="1"/>
        <v>0</v>
      </c>
      <c r="E23" s="961">
        <v>0</v>
      </c>
      <c r="F23" s="961">
        <v>0</v>
      </c>
      <c r="G23" s="961">
        <v>0</v>
      </c>
      <c r="H23" s="961">
        <v>0</v>
      </c>
      <c r="I23" s="961">
        <v>0</v>
      </c>
      <c r="J23" s="961">
        <v>0</v>
      </c>
      <c r="K23" s="956">
        <f t="shared" si="4"/>
        <v>0</v>
      </c>
      <c r="L23" s="961">
        <v>0</v>
      </c>
      <c r="M23" s="961">
        <v>0</v>
      </c>
      <c r="N23" s="961">
        <v>0</v>
      </c>
      <c r="Q23" s="960"/>
    </row>
    <row r="24" spans="1:17" x14ac:dyDescent="0.2">
      <c r="A24" s="843">
        <v>14</v>
      </c>
      <c r="B24" s="844" t="s">
        <v>42</v>
      </c>
      <c r="C24" s="848" t="s">
        <v>43</v>
      </c>
      <c r="D24" s="956">
        <f t="shared" si="1"/>
        <v>0</v>
      </c>
      <c r="E24" s="961">
        <v>0</v>
      </c>
      <c r="F24" s="961">
        <v>0</v>
      </c>
      <c r="G24" s="961">
        <v>0</v>
      </c>
      <c r="H24" s="961">
        <v>0</v>
      </c>
      <c r="I24" s="961">
        <v>0</v>
      </c>
      <c r="J24" s="961">
        <v>0</v>
      </c>
      <c r="K24" s="956">
        <f t="shared" si="4"/>
        <v>0</v>
      </c>
      <c r="L24" s="961">
        <v>0</v>
      </c>
      <c r="M24" s="961">
        <v>0</v>
      </c>
      <c r="N24" s="961">
        <v>0</v>
      </c>
      <c r="Q24" s="960"/>
    </row>
    <row r="25" spans="1:17" x14ac:dyDescent="0.2">
      <c r="A25" s="850">
        <v>15</v>
      </c>
      <c r="B25" s="847" t="s">
        <v>44</v>
      </c>
      <c r="C25" s="848" t="s">
        <v>45</v>
      </c>
      <c r="D25" s="956">
        <f t="shared" si="1"/>
        <v>14284</v>
      </c>
      <c r="E25" s="961">
        <v>0</v>
      </c>
      <c r="F25" s="961">
        <v>0</v>
      </c>
      <c r="G25" s="961">
        <v>1234</v>
      </c>
      <c r="H25" s="961">
        <v>13050</v>
      </c>
      <c r="I25" s="961">
        <v>0</v>
      </c>
      <c r="J25" s="961">
        <v>0</v>
      </c>
      <c r="K25" s="956">
        <f t="shared" si="4"/>
        <v>0</v>
      </c>
      <c r="L25" s="961">
        <v>0</v>
      </c>
      <c r="M25" s="961">
        <v>0</v>
      </c>
      <c r="N25" s="961">
        <v>0</v>
      </c>
      <c r="Q25" s="960"/>
    </row>
    <row r="26" spans="1:17" x14ac:dyDescent="0.2">
      <c r="A26" s="843">
        <v>16</v>
      </c>
      <c r="B26" s="847" t="s">
        <v>46</v>
      </c>
      <c r="C26" s="848" t="s">
        <v>47</v>
      </c>
      <c r="D26" s="956">
        <f t="shared" si="1"/>
        <v>29235</v>
      </c>
      <c r="E26" s="961">
        <v>0</v>
      </c>
      <c r="F26" s="961">
        <v>0</v>
      </c>
      <c r="G26" s="961">
        <v>8985</v>
      </c>
      <c r="H26" s="961">
        <v>18786</v>
      </c>
      <c r="I26" s="961">
        <v>1025</v>
      </c>
      <c r="J26" s="961">
        <v>439</v>
      </c>
      <c r="K26" s="956">
        <f t="shared" si="4"/>
        <v>0</v>
      </c>
      <c r="L26" s="961">
        <v>0</v>
      </c>
      <c r="M26" s="961">
        <v>0</v>
      </c>
      <c r="N26" s="961">
        <v>0</v>
      </c>
      <c r="Q26" s="960"/>
    </row>
    <row r="27" spans="1:17" x14ac:dyDescent="0.2">
      <c r="A27" s="850">
        <v>17</v>
      </c>
      <c r="B27" s="847" t="s">
        <v>48</v>
      </c>
      <c r="C27" s="848" t="s">
        <v>49</v>
      </c>
      <c r="D27" s="956">
        <f t="shared" si="1"/>
        <v>37131</v>
      </c>
      <c r="E27" s="961">
        <v>0</v>
      </c>
      <c r="F27" s="961">
        <v>0</v>
      </c>
      <c r="G27" s="961">
        <v>7125</v>
      </c>
      <c r="H27" s="961">
        <v>30006</v>
      </c>
      <c r="I27" s="961">
        <v>0</v>
      </c>
      <c r="J27" s="961">
        <v>0</v>
      </c>
      <c r="K27" s="956">
        <f t="shared" si="4"/>
        <v>0</v>
      </c>
      <c r="L27" s="961">
        <v>0</v>
      </c>
      <c r="M27" s="961">
        <v>0</v>
      </c>
      <c r="N27" s="961">
        <v>0</v>
      </c>
      <c r="Q27" s="960"/>
    </row>
    <row r="28" spans="1:17" x14ac:dyDescent="0.2">
      <c r="A28" s="843">
        <v>18</v>
      </c>
      <c r="B28" s="847" t="s">
        <v>50</v>
      </c>
      <c r="C28" s="848" t="s">
        <v>51</v>
      </c>
      <c r="D28" s="956">
        <f t="shared" si="1"/>
        <v>42838</v>
      </c>
      <c r="E28" s="961">
        <v>0</v>
      </c>
      <c r="F28" s="961">
        <v>0</v>
      </c>
      <c r="G28" s="961">
        <v>14845</v>
      </c>
      <c r="H28" s="961">
        <v>26257</v>
      </c>
      <c r="I28" s="961">
        <v>1025</v>
      </c>
      <c r="J28" s="961">
        <v>439</v>
      </c>
      <c r="K28" s="956">
        <f t="shared" si="4"/>
        <v>272</v>
      </c>
      <c r="L28" s="961">
        <v>0</v>
      </c>
      <c r="M28" s="961">
        <v>272</v>
      </c>
      <c r="N28" s="961">
        <v>0</v>
      </c>
      <c r="Q28" s="960"/>
    </row>
    <row r="29" spans="1:17" x14ac:dyDescent="0.2">
      <c r="A29" s="850">
        <v>19</v>
      </c>
      <c r="B29" s="844" t="s">
        <v>52</v>
      </c>
      <c r="C29" s="845" t="s">
        <v>53</v>
      </c>
      <c r="D29" s="956">
        <f t="shared" si="1"/>
        <v>13370</v>
      </c>
      <c r="E29" s="961">
        <v>0</v>
      </c>
      <c r="F29" s="961">
        <v>0</v>
      </c>
      <c r="G29" s="961">
        <v>2301</v>
      </c>
      <c r="H29" s="961">
        <v>11069</v>
      </c>
      <c r="I29" s="961">
        <v>0</v>
      </c>
      <c r="J29" s="961">
        <v>0</v>
      </c>
      <c r="K29" s="956">
        <f t="shared" si="4"/>
        <v>0</v>
      </c>
      <c r="L29" s="961">
        <v>0</v>
      </c>
      <c r="M29" s="961">
        <v>0</v>
      </c>
      <c r="N29" s="961">
        <v>0</v>
      </c>
      <c r="Q29" s="960"/>
    </row>
    <row r="30" spans="1:17" x14ac:dyDescent="0.2">
      <c r="A30" s="843">
        <v>20</v>
      </c>
      <c r="B30" s="844" t="s">
        <v>54</v>
      </c>
      <c r="C30" s="845" t="s">
        <v>55</v>
      </c>
      <c r="D30" s="956">
        <f t="shared" si="1"/>
        <v>7451</v>
      </c>
      <c r="E30" s="961">
        <v>0</v>
      </c>
      <c r="F30" s="961">
        <v>0</v>
      </c>
      <c r="G30" s="961">
        <v>1152</v>
      </c>
      <c r="H30" s="961">
        <v>6299</v>
      </c>
      <c r="I30" s="961">
        <v>0</v>
      </c>
      <c r="J30" s="961">
        <v>0</v>
      </c>
      <c r="K30" s="956">
        <f t="shared" si="4"/>
        <v>0</v>
      </c>
      <c r="L30" s="961">
        <v>0</v>
      </c>
      <c r="M30" s="961">
        <v>0</v>
      </c>
      <c r="N30" s="961">
        <v>0</v>
      </c>
      <c r="Q30" s="960"/>
    </row>
    <row r="31" spans="1:17" x14ac:dyDescent="0.2">
      <c r="A31" s="850">
        <v>21</v>
      </c>
      <c r="B31" s="844" t="s">
        <v>56</v>
      </c>
      <c r="C31" s="845" t="s">
        <v>57</v>
      </c>
      <c r="D31" s="956">
        <f t="shared" si="1"/>
        <v>43741</v>
      </c>
      <c r="E31" s="961">
        <v>0</v>
      </c>
      <c r="F31" s="961">
        <v>0</v>
      </c>
      <c r="G31" s="961">
        <v>11544</v>
      </c>
      <c r="H31" s="961">
        <v>30733</v>
      </c>
      <c r="I31" s="961">
        <v>1025</v>
      </c>
      <c r="J31" s="961">
        <v>439</v>
      </c>
      <c r="K31" s="956">
        <f t="shared" si="4"/>
        <v>0</v>
      </c>
      <c r="L31" s="961">
        <v>0</v>
      </c>
      <c r="M31" s="961">
        <v>0</v>
      </c>
      <c r="N31" s="961">
        <v>0</v>
      </c>
      <c r="Q31" s="960"/>
    </row>
    <row r="32" spans="1:17" x14ac:dyDescent="0.2">
      <c r="A32" s="843">
        <v>22</v>
      </c>
      <c r="B32" s="844" t="s">
        <v>58</v>
      </c>
      <c r="C32" s="845" t="s">
        <v>59</v>
      </c>
      <c r="D32" s="956">
        <f t="shared" si="1"/>
        <v>50055</v>
      </c>
      <c r="E32" s="961">
        <v>0</v>
      </c>
      <c r="F32" s="961">
        <v>0</v>
      </c>
      <c r="G32" s="961">
        <v>10111</v>
      </c>
      <c r="H32" s="961">
        <v>37855</v>
      </c>
      <c r="I32" s="961">
        <v>1025</v>
      </c>
      <c r="J32" s="961">
        <v>439</v>
      </c>
      <c r="K32" s="956">
        <f t="shared" si="4"/>
        <v>625</v>
      </c>
      <c r="L32" s="961">
        <v>0</v>
      </c>
      <c r="M32" s="961">
        <v>625</v>
      </c>
      <c r="N32" s="961">
        <v>0</v>
      </c>
      <c r="Q32" s="960"/>
    </row>
    <row r="33" spans="1:17" x14ac:dyDescent="0.2">
      <c r="A33" s="850">
        <v>23</v>
      </c>
      <c r="B33" s="847" t="s">
        <v>60</v>
      </c>
      <c r="C33" s="848" t="s">
        <v>61</v>
      </c>
      <c r="D33" s="956">
        <f t="shared" si="1"/>
        <v>14829</v>
      </c>
      <c r="E33" s="961">
        <v>0</v>
      </c>
      <c r="F33" s="961">
        <v>0</v>
      </c>
      <c r="G33" s="961">
        <v>8028</v>
      </c>
      <c r="H33" s="961">
        <v>6801</v>
      </c>
      <c r="I33" s="961">
        <v>0</v>
      </c>
      <c r="J33" s="961">
        <v>0</v>
      </c>
      <c r="K33" s="956">
        <f t="shared" si="4"/>
        <v>0</v>
      </c>
      <c r="L33" s="961">
        <v>0</v>
      </c>
      <c r="M33" s="961">
        <v>0</v>
      </c>
      <c r="N33" s="961">
        <v>0</v>
      </c>
      <c r="Q33" s="960"/>
    </row>
    <row r="34" spans="1:17" x14ac:dyDescent="0.2">
      <c r="A34" s="843">
        <v>24</v>
      </c>
      <c r="B34" s="847" t="s">
        <v>62</v>
      </c>
      <c r="C34" s="848" t="s">
        <v>63</v>
      </c>
      <c r="D34" s="956">
        <f t="shared" si="1"/>
        <v>0</v>
      </c>
      <c r="E34" s="961">
        <v>0</v>
      </c>
      <c r="F34" s="961">
        <v>0</v>
      </c>
      <c r="G34" s="961">
        <v>0</v>
      </c>
      <c r="H34" s="961">
        <v>0</v>
      </c>
      <c r="I34" s="961">
        <v>0</v>
      </c>
      <c r="J34" s="961">
        <v>0</v>
      </c>
      <c r="K34" s="956">
        <f t="shared" si="4"/>
        <v>0</v>
      </c>
      <c r="L34" s="961">
        <v>0</v>
      </c>
      <c r="M34" s="961">
        <v>0</v>
      </c>
      <c r="N34" s="961">
        <v>0</v>
      </c>
      <c r="Q34" s="960"/>
    </row>
    <row r="35" spans="1:17" ht="24" x14ac:dyDescent="0.2">
      <c r="A35" s="850">
        <v>25</v>
      </c>
      <c r="B35" s="847" t="s">
        <v>64</v>
      </c>
      <c r="C35" s="848" t="s">
        <v>65</v>
      </c>
      <c r="D35" s="956">
        <f t="shared" si="1"/>
        <v>0</v>
      </c>
      <c r="E35" s="961">
        <v>0</v>
      </c>
      <c r="F35" s="961">
        <v>0</v>
      </c>
      <c r="G35" s="961">
        <v>0</v>
      </c>
      <c r="H35" s="961">
        <v>0</v>
      </c>
      <c r="I35" s="961">
        <v>0</v>
      </c>
      <c r="J35" s="961">
        <v>0</v>
      </c>
      <c r="K35" s="956">
        <f t="shared" si="4"/>
        <v>0</v>
      </c>
      <c r="L35" s="961">
        <v>0</v>
      </c>
      <c r="M35" s="961">
        <v>0</v>
      </c>
      <c r="N35" s="961">
        <v>0</v>
      </c>
      <c r="Q35" s="960"/>
    </row>
    <row r="36" spans="1:17" x14ac:dyDescent="0.2">
      <c r="A36" s="843">
        <v>26</v>
      </c>
      <c r="B36" s="844" t="s">
        <v>66</v>
      </c>
      <c r="C36" s="32" t="s">
        <v>67</v>
      </c>
      <c r="D36" s="956">
        <f t="shared" si="1"/>
        <v>73777</v>
      </c>
      <c r="E36" s="961">
        <v>0</v>
      </c>
      <c r="F36" s="961">
        <v>0</v>
      </c>
      <c r="G36" s="961">
        <v>40240</v>
      </c>
      <c r="H36" s="961">
        <v>29486</v>
      </c>
      <c r="I36" s="961">
        <v>2120</v>
      </c>
      <c r="J36" s="961">
        <v>987</v>
      </c>
      <c r="K36" s="956">
        <f t="shared" si="4"/>
        <v>944</v>
      </c>
      <c r="L36" s="961">
        <v>0</v>
      </c>
      <c r="M36" s="961">
        <v>944</v>
      </c>
      <c r="N36" s="961">
        <v>0</v>
      </c>
      <c r="Q36" s="960"/>
    </row>
    <row r="37" spans="1:17" x14ac:dyDescent="0.2">
      <c r="A37" s="850">
        <v>27</v>
      </c>
      <c r="B37" s="847" t="s">
        <v>68</v>
      </c>
      <c r="C37" s="848" t="s">
        <v>69</v>
      </c>
      <c r="D37" s="956">
        <f t="shared" si="1"/>
        <v>27262</v>
      </c>
      <c r="E37" s="961">
        <v>0</v>
      </c>
      <c r="F37" s="961">
        <v>0</v>
      </c>
      <c r="G37" s="961">
        <v>12849</v>
      </c>
      <c r="H37" s="961">
        <v>11858</v>
      </c>
      <c r="I37" s="961">
        <v>689</v>
      </c>
      <c r="J37" s="961">
        <v>217</v>
      </c>
      <c r="K37" s="956">
        <f t="shared" si="4"/>
        <v>1649</v>
      </c>
      <c r="L37" s="961">
        <v>0</v>
      </c>
      <c r="M37" s="961">
        <v>1649</v>
      </c>
      <c r="N37" s="961">
        <v>0</v>
      </c>
      <c r="Q37" s="960"/>
    </row>
    <row r="38" spans="1:17" x14ac:dyDescent="0.2">
      <c r="A38" s="843">
        <v>28</v>
      </c>
      <c r="B38" s="847" t="s">
        <v>70</v>
      </c>
      <c r="C38" s="848" t="s">
        <v>71</v>
      </c>
      <c r="D38" s="956">
        <f t="shared" si="1"/>
        <v>43113</v>
      </c>
      <c r="E38" s="961">
        <v>0</v>
      </c>
      <c r="F38" s="961">
        <v>0</v>
      </c>
      <c r="G38" s="961">
        <v>2180</v>
      </c>
      <c r="H38" s="961">
        <v>38490</v>
      </c>
      <c r="I38" s="961">
        <v>0</v>
      </c>
      <c r="J38" s="961">
        <v>0</v>
      </c>
      <c r="K38" s="956">
        <f t="shared" si="4"/>
        <v>2443</v>
      </c>
      <c r="L38" s="961">
        <v>0</v>
      </c>
      <c r="M38" s="961">
        <v>2443</v>
      </c>
      <c r="N38" s="961">
        <v>0</v>
      </c>
      <c r="Q38" s="960"/>
    </row>
    <row r="39" spans="1:17" x14ac:dyDescent="0.2">
      <c r="A39" s="850">
        <v>29</v>
      </c>
      <c r="B39" s="846" t="s">
        <v>72</v>
      </c>
      <c r="C39" s="32" t="s">
        <v>73</v>
      </c>
      <c r="D39" s="956">
        <f t="shared" si="1"/>
        <v>10270</v>
      </c>
      <c r="E39" s="961">
        <v>10270</v>
      </c>
      <c r="F39" s="961">
        <v>0</v>
      </c>
      <c r="G39" s="961">
        <v>0</v>
      </c>
      <c r="H39" s="961">
        <v>0</v>
      </c>
      <c r="I39" s="961">
        <v>0</v>
      </c>
      <c r="J39" s="961">
        <v>0</v>
      </c>
      <c r="K39" s="956">
        <f t="shared" si="4"/>
        <v>0</v>
      </c>
      <c r="L39" s="961">
        <v>0</v>
      </c>
      <c r="M39" s="961">
        <v>0</v>
      </c>
      <c r="N39" s="961">
        <v>0</v>
      </c>
      <c r="Q39" s="960"/>
    </row>
    <row r="40" spans="1:17" x14ac:dyDescent="0.2">
      <c r="A40" s="843">
        <v>30</v>
      </c>
      <c r="B40" s="844" t="s">
        <v>74</v>
      </c>
      <c r="C40" s="845" t="s">
        <v>357</v>
      </c>
      <c r="D40" s="956">
        <f t="shared" si="1"/>
        <v>0</v>
      </c>
      <c r="E40" s="961">
        <v>0</v>
      </c>
      <c r="F40" s="961">
        <v>0</v>
      </c>
      <c r="G40" s="961">
        <v>0</v>
      </c>
      <c r="H40" s="961">
        <v>0</v>
      </c>
      <c r="I40" s="961">
        <v>0</v>
      </c>
      <c r="J40" s="961">
        <v>0</v>
      </c>
      <c r="K40" s="956">
        <f t="shared" si="4"/>
        <v>0</v>
      </c>
      <c r="L40" s="961">
        <v>0</v>
      </c>
      <c r="M40" s="961">
        <v>0</v>
      </c>
      <c r="N40" s="961">
        <v>0</v>
      </c>
      <c r="Q40" s="960"/>
    </row>
    <row r="41" spans="1:17" x14ac:dyDescent="0.2">
      <c r="A41" s="850">
        <v>31</v>
      </c>
      <c r="B41" s="847" t="s">
        <v>75</v>
      </c>
      <c r="C41" s="848" t="s">
        <v>76</v>
      </c>
      <c r="D41" s="956">
        <f t="shared" si="1"/>
        <v>5666</v>
      </c>
      <c r="E41" s="961">
        <v>0</v>
      </c>
      <c r="F41" s="961">
        <v>0</v>
      </c>
      <c r="G41" s="961">
        <v>500</v>
      </c>
      <c r="H41" s="961">
        <v>5166</v>
      </c>
      <c r="I41" s="961">
        <v>0</v>
      </c>
      <c r="J41" s="961">
        <v>0</v>
      </c>
      <c r="K41" s="956">
        <f t="shared" si="4"/>
        <v>0</v>
      </c>
      <c r="L41" s="961">
        <v>0</v>
      </c>
      <c r="M41" s="961">
        <v>0</v>
      </c>
      <c r="N41" s="961">
        <v>0</v>
      </c>
      <c r="Q41" s="960"/>
    </row>
    <row r="42" spans="1:17" x14ac:dyDescent="0.2">
      <c r="A42" s="843">
        <v>32</v>
      </c>
      <c r="B42" s="846" t="s">
        <v>77</v>
      </c>
      <c r="C42" s="845" t="s">
        <v>78</v>
      </c>
      <c r="D42" s="956">
        <f t="shared" si="1"/>
        <v>48445</v>
      </c>
      <c r="E42" s="961">
        <v>0</v>
      </c>
      <c r="F42" s="961">
        <v>0</v>
      </c>
      <c r="G42" s="961">
        <v>17483</v>
      </c>
      <c r="H42" s="961">
        <v>28550</v>
      </c>
      <c r="I42" s="961">
        <v>1025</v>
      </c>
      <c r="J42" s="961">
        <v>439</v>
      </c>
      <c r="K42" s="956">
        <f t="shared" si="4"/>
        <v>948</v>
      </c>
      <c r="L42" s="961">
        <v>0</v>
      </c>
      <c r="M42" s="961">
        <v>948</v>
      </c>
      <c r="N42" s="961">
        <v>0</v>
      </c>
      <c r="Q42" s="960"/>
    </row>
    <row r="43" spans="1:17" x14ac:dyDescent="0.2">
      <c r="A43" s="850">
        <v>33</v>
      </c>
      <c r="B43" s="849" t="s">
        <v>79</v>
      </c>
      <c r="C43" s="32" t="s">
        <v>80</v>
      </c>
      <c r="D43" s="956">
        <f t="shared" si="1"/>
        <v>78215</v>
      </c>
      <c r="E43" s="961">
        <v>0</v>
      </c>
      <c r="F43" s="961">
        <v>0</v>
      </c>
      <c r="G43" s="961">
        <v>21949</v>
      </c>
      <c r="H43" s="961">
        <v>54505</v>
      </c>
      <c r="I43" s="961">
        <v>1025</v>
      </c>
      <c r="J43" s="961">
        <v>439</v>
      </c>
      <c r="K43" s="956">
        <f t="shared" si="4"/>
        <v>297</v>
      </c>
      <c r="L43" s="961">
        <v>0</v>
      </c>
      <c r="M43" s="961">
        <v>297</v>
      </c>
      <c r="N43" s="961">
        <v>0</v>
      </c>
      <c r="Q43" s="960"/>
    </row>
    <row r="44" spans="1:17" x14ac:dyDescent="0.2">
      <c r="A44" s="843">
        <v>34</v>
      </c>
      <c r="B44" s="846" t="s">
        <v>81</v>
      </c>
      <c r="C44" s="845" t="s">
        <v>82</v>
      </c>
      <c r="D44" s="956">
        <f t="shared" si="1"/>
        <v>12837</v>
      </c>
      <c r="E44" s="961">
        <v>0</v>
      </c>
      <c r="F44" s="961">
        <v>0</v>
      </c>
      <c r="G44" s="961">
        <v>1629</v>
      </c>
      <c r="H44" s="961">
        <v>11208</v>
      </c>
      <c r="I44" s="961">
        <v>0</v>
      </c>
      <c r="J44" s="961">
        <v>0</v>
      </c>
      <c r="K44" s="956">
        <f t="shared" si="4"/>
        <v>0</v>
      </c>
      <c r="L44" s="961">
        <v>0</v>
      </c>
      <c r="M44" s="961">
        <v>0</v>
      </c>
      <c r="N44" s="961">
        <v>0</v>
      </c>
      <c r="Q44" s="960"/>
    </row>
    <row r="45" spans="1:17" x14ac:dyDescent="0.2">
      <c r="A45" s="850">
        <v>35</v>
      </c>
      <c r="B45" s="847" t="s">
        <v>83</v>
      </c>
      <c r="C45" s="848" t="s">
        <v>84</v>
      </c>
      <c r="D45" s="956">
        <f t="shared" si="1"/>
        <v>40622</v>
      </c>
      <c r="E45" s="961">
        <v>0</v>
      </c>
      <c r="F45" s="961">
        <v>0</v>
      </c>
      <c r="G45" s="961">
        <v>14413</v>
      </c>
      <c r="H45" s="961">
        <v>25934</v>
      </c>
      <c r="I45" s="961">
        <v>193</v>
      </c>
      <c r="J45" s="961">
        <v>82</v>
      </c>
      <c r="K45" s="956">
        <f t="shared" si="4"/>
        <v>0</v>
      </c>
      <c r="L45" s="961">
        <v>0</v>
      </c>
      <c r="M45" s="961">
        <v>0</v>
      </c>
      <c r="N45" s="961">
        <v>0</v>
      </c>
      <c r="Q45" s="960"/>
    </row>
    <row r="46" spans="1:17" x14ac:dyDescent="0.2">
      <c r="A46" s="843">
        <v>36</v>
      </c>
      <c r="B46" s="846" t="s">
        <v>85</v>
      </c>
      <c r="C46" s="845" t="s">
        <v>86</v>
      </c>
      <c r="D46" s="956">
        <f t="shared" si="1"/>
        <v>23286</v>
      </c>
      <c r="E46" s="961">
        <v>0</v>
      </c>
      <c r="F46" s="961">
        <v>0</v>
      </c>
      <c r="G46" s="961">
        <v>3269</v>
      </c>
      <c r="H46" s="961">
        <v>20017</v>
      </c>
      <c r="I46" s="961">
        <v>0</v>
      </c>
      <c r="J46" s="961">
        <v>0</v>
      </c>
      <c r="K46" s="956">
        <f t="shared" si="4"/>
        <v>0</v>
      </c>
      <c r="L46" s="961">
        <v>0</v>
      </c>
      <c r="M46" s="961">
        <v>0</v>
      </c>
      <c r="N46" s="961">
        <v>0</v>
      </c>
      <c r="Q46" s="960"/>
    </row>
    <row r="47" spans="1:17" x14ac:dyDescent="0.2">
      <c r="A47" s="850">
        <v>37</v>
      </c>
      <c r="B47" s="844" t="s">
        <v>87</v>
      </c>
      <c r="C47" s="845" t="s">
        <v>88</v>
      </c>
      <c r="D47" s="956">
        <f t="shared" si="1"/>
        <v>65782</v>
      </c>
      <c r="E47" s="961">
        <v>0</v>
      </c>
      <c r="F47" s="961">
        <v>0</v>
      </c>
      <c r="G47" s="961">
        <v>12286</v>
      </c>
      <c r="H47" s="961">
        <v>52032</v>
      </c>
      <c r="I47" s="961">
        <v>1025</v>
      </c>
      <c r="J47" s="961">
        <v>439</v>
      </c>
      <c r="K47" s="956">
        <f t="shared" si="4"/>
        <v>0</v>
      </c>
      <c r="L47" s="961">
        <v>0</v>
      </c>
      <c r="M47" s="961">
        <v>0</v>
      </c>
      <c r="N47" s="961">
        <v>0</v>
      </c>
      <c r="Q47" s="960"/>
    </row>
    <row r="48" spans="1:17" x14ac:dyDescent="0.2">
      <c r="A48" s="843">
        <v>38</v>
      </c>
      <c r="B48" s="851" t="s">
        <v>89</v>
      </c>
      <c r="C48" s="852" t="s">
        <v>90</v>
      </c>
      <c r="D48" s="956">
        <f t="shared" si="1"/>
        <v>11721</v>
      </c>
      <c r="E48" s="961">
        <v>0</v>
      </c>
      <c r="F48" s="961">
        <v>0</v>
      </c>
      <c r="G48" s="961">
        <v>4353</v>
      </c>
      <c r="H48" s="961">
        <v>7368</v>
      </c>
      <c r="I48" s="961">
        <v>0</v>
      </c>
      <c r="J48" s="961">
        <v>0</v>
      </c>
      <c r="K48" s="956">
        <f t="shared" si="4"/>
        <v>0</v>
      </c>
      <c r="L48" s="961">
        <v>0</v>
      </c>
      <c r="M48" s="961">
        <v>0</v>
      </c>
      <c r="N48" s="961">
        <v>0</v>
      </c>
      <c r="Q48" s="960"/>
    </row>
    <row r="49" spans="1:17" x14ac:dyDescent="0.2">
      <c r="A49" s="850">
        <v>39</v>
      </c>
      <c r="B49" s="844" t="s">
        <v>91</v>
      </c>
      <c r="C49" s="845" t="s">
        <v>92</v>
      </c>
      <c r="D49" s="956">
        <f t="shared" si="1"/>
        <v>9052</v>
      </c>
      <c r="E49" s="961">
        <v>0</v>
      </c>
      <c r="F49" s="961">
        <v>0</v>
      </c>
      <c r="G49" s="961">
        <v>924</v>
      </c>
      <c r="H49" s="961">
        <v>8128</v>
      </c>
      <c r="I49" s="961">
        <v>0</v>
      </c>
      <c r="J49" s="961">
        <v>0</v>
      </c>
      <c r="K49" s="956">
        <f t="shared" si="4"/>
        <v>0</v>
      </c>
      <c r="L49" s="961">
        <v>0</v>
      </c>
      <c r="M49" s="961">
        <v>0</v>
      </c>
      <c r="N49" s="961">
        <v>0</v>
      </c>
      <c r="Q49" s="960"/>
    </row>
    <row r="50" spans="1:17" x14ac:dyDescent="0.2">
      <c r="A50" s="843">
        <v>40</v>
      </c>
      <c r="B50" s="849" t="s">
        <v>93</v>
      </c>
      <c r="C50" s="32" t="s">
        <v>94</v>
      </c>
      <c r="D50" s="956">
        <f t="shared" si="1"/>
        <v>17717</v>
      </c>
      <c r="E50" s="961">
        <v>0</v>
      </c>
      <c r="F50" s="961">
        <v>0</v>
      </c>
      <c r="G50" s="961">
        <v>1963</v>
      </c>
      <c r="H50" s="961">
        <v>15650</v>
      </c>
      <c r="I50" s="961">
        <v>73</v>
      </c>
      <c r="J50" s="961">
        <v>31</v>
      </c>
      <c r="K50" s="956">
        <f t="shared" si="4"/>
        <v>0</v>
      </c>
      <c r="L50" s="961">
        <v>0</v>
      </c>
      <c r="M50" s="961">
        <v>0</v>
      </c>
      <c r="N50" s="961">
        <v>0</v>
      </c>
      <c r="Q50" s="960"/>
    </row>
    <row r="51" spans="1:17" x14ac:dyDescent="0.2">
      <c r="A51" s="850">
        <v>41</v>
      </c>
      <c r="B51" s="847" t="s">
        <v>95</v>
      </c>
      <c r="C51" s="848" t="s">
        <v>96</v>
      </c>
      <c r="D51" s="956">
        <f t="shared" si="1"/>
        <v>7628</v>
      </c>
      <c r="E51" s="961">
        <v>0</v>
      </c>
      <c r="F51" s="961">
        <v>0</v>
      </c>
      <c r="G51" s="961">
        <v>1576</v>
      </c>
      <c r="H51" s="961">
        <v>6052</v>
      </c>
      <c r="I51" s="961">
        <v>0</v>
      </c>
      <c r="J51" s="961">
        <v>0</v>
      </c>
      <c r="K51" s="956">
        <f t="shared" si="4"/>
        <v>0</v>
      </c>
      <c r="L51" s="961">
        <v>0</v>
      </c>
      <c r="M51" s="961">
        <v>0</v>
      </c>
      <c r="N51" s="961">
        <v>0</v>
      </c>
      <c r="Q51" s="960"/>
    </row>
    <row r="52" spans="1:17" x14ac:dyDescent="0.2">
      <c r="A52" s="843">
        <v>42</v>
      </c>
      <c r="B52" s="846" t="s">
        <v>97</v>
      </c>
      <c r="C52" s="845" t="s">
        <v>98</v>
      </c>
      <c r="D52" s="956">
        <f t="shared" si="1"/>
        <v>9262</v>
      </c>
      <c r="E52" s="961">
        <v>0</v>
      </c>
      <c r="F52" s="961">
        <v>0</v>
      </c>
      <c r="G52" s="961">
        <v>222</v>
      </c>
      <c r="H52" s="961">
        <v>9040</v>
      </c>
      <c r="I52" s="961">
        <v>0</v>
      </c>
      <c r="J52" s="961">
        <v>0</v>
      </c>
      <c r="K52" s="956">
        <f t="shared" si="4"/>
        <v>0</v>
      </c>
      <c r="L52" s="961">
        <v>0</v>
      </c>
      <c r="M52" s="961">
        <v>0</v>
      </c>
      <c r="N52" s="961">
        <v>0</v>
      </c>
      <c r="Q52" s="960"/>
    </row>
    <row r="53" spans="1:17" x14ac:dyDescent="0.2">
      <c r="A53" s="850">
        <v>43</v>
      </c>
      <c r="B53" s="847" t="s">
        <v>99</v>
      </c>
      <c r="C53" s="848" t="s">
        <v>100</v>
      </c>
      <c r="D53" s="956">
        <f t="shared" si="1"/>
        <v>70657</v>
      </c>
      <c r="E53" s="961">
        <v>0</v>
      </c>
      <c r="F53" s="961">
        <v>0</v>
      </c>
      <c r="G53" s="961">
        <v>9828</v>
      </c>
      <c r="H53" s="961">
        <v>57448</v>
      </c>
      <c r="I53" s="961">
        <v>978</v>
      </c>
      <c r="J53" s="961">
        <v>419</v>
      </c>
      <c r="K53" s="956">
        <f t="shared" si="4"/>
        <v>1984</v>
      </c>
      <c r="L53" s="961">
        <v>0</v>
      </c>
      <c r="M53" s="961">
        <v>1984</v>
      </c>
      <c r="N53" s="961">
        <v>0</v>
      </c>
      <c r="Q53" s="960"/>
    </row>
    <row r="54" spans="1:17" x14ac:dyDescent="0.2">
      <c r="A54" s="843">
        <v>44</v>
      </c>
      <c r="B54" s="844" t="s">
        <v>101</v>
      </c>
      <c r="C54" s="845" t="s">
        <v>102</v>
      </c>
      <c r="D54" s="956">
        <f t="shared" si="1"/>
        <v>16456</v>
      </c>
      <c r="E54" s="961">
        <v>0</v>
      </c>
      <c r="F54" s="961">
        <v>0</v>
      </c>
      <c r="G54" s="961">
        <v>1413</v>
      </c>
      <c r="H54" s="961">
        <v>15043</v>
      </c>
      <c r="I54" s="961">
        <v>0</v>
      </c>
      <c r="J54" s="961">
        <v>0</v>
      </c>
      <c r="K54" s="956">
        <f t="shared" si="4"/>
        <v>0</v>
      </c>
      <c r="L54" s="961">
        <v>0</v>
      </c>
      <c r="M54" s="961">
        <v>0</v>
      </c>
      <c r="N54" s="961">
        <v>0</v>
      </c>
      <c r="Q54" s="960"/>
    </row>
    <row r="55" spans="1:17" x14ac:dyDescent="0.2">
      <c r="A55" s="850">
        <v>45</v>
      </c>
      <c r="B55" s="844" t="s">
        <v>103</v>
      </c>
      <c r="C55" s="845" t="s">
        <v>104</v>
      </c>
      <c r="D55" s="956">
        <f t="shared" si="1"/>
        <v>71509</v>
      </c>
      <c r="E55" s="961">
        <v>0</v>
      </c>
      <c r="F55" s="961">
        <v>0</v>
      </c>
      <c r="G55" s="961">
        <v>13818</v>
      </c>
      <c r="H55" s="961">
        <v>56183</v>
      </c>
      <c r="I55" s="961">
        <v>1025</v>
      </c>
      <c r="J55" s="961">
        <v>439</v>
      </c>
      <c r="K55" s="956">
        <f t="shared" si="4"/>
        <v>44</v>
      </c>
      <c r="L55" s="961">
        <v>0</v>
      </c>
      <c r="M55" s="961">
        <v>44</v>
      </c>
      <c r="N55" s="961">
        <v>0</v>
      </c>
      <c r="Q55" s="960"/>
    </row>
    <row r="56" spans="1:17" x14ac:dyDescent="0.2">
      <c r="A56" s="843">
        <v>46</v>
      </c>
      <c r="B56" s="847" t="s">
        <v>105</v>
      </c>
      <c r="C56" s="848" t="s">
        <v>106</v>
      </c>
      <c r="D56" s="956">
        <f t="shared" si="1"/>
        <v>11768</v>
      </c>
      <c r="E56" s="961">
        <v>0</v>
      </c>
      <c r="F56" s="961">
        <v>0</v>
      </c>
      <c r="G56" s="961">
        <v>1684</v>
      </c>
      <c r="H56" s="961">
        <v>10084</v>
      </c>
      <c r="I56" s="961">
        <v>0</v>
      </c>
      <c r="J56" s="961">
        <v>0</v>
      </c>
      <c r="K56" s="956">
        <f t="shared" si="4"/>
        <v>0</v>
      </c>
      <c r="L56" s="961">
        <v>0</v>
      </c>
      <c r="M56" s="961">
        <v>0</v>
      </c>
      <c r="N56" s="961">
        <v>0</v>
      </c>
      <c r="Q56" s="960"/>
    </row>
    <row r="57" spans="1:17" x14ac:dyDescent="0.2">
      <c r="A57" s="850">
        <v>47</v>
      </c>
      <c r="B57" s="847" t="s">
        <v>107</v>
      </c>
      <c r="C57" s="848" t="s">
        <v>108</v>
      </c>
      <c r="D57" s="956">
        <f t="shared" si="1"/>
        <v>14656</v>
      </c>
      <c r="E57" s="961">
        <v>0</v>
      </c>
      <c r="F57" s="961">
        <v>0</v>
      </c>
      <c r="G57" s="961">
        <v>7037</v>
      </c>
      <c r="H57" s="961">
        <v>7453</v>
      </c>
      <c r="I57" s="961">
        <v>116</v>
      </c>
      <c r="J57" s="961">
        <v>50</v>
      </c>
      <c r="K57" s="956">
        <f t="shared" si="4"/>
        <v>0</v>
      </c>
      <c r="L57" s="961">
        <v>0</v>
      </c>
      <c r="M57" s="961">
        <v>0</v>
      </c>
      <c r="N57" s="961">
        <v>0</v>
      </c>
      <c r="Q57" s="960"/>
    </row>
    <row r="58" spans="1:17" x14ac:dyDescent="0.2">
      <c r="A58" s="843">
        <v>48</v>
      </c>
      <c r="B58" s="846" t="s">
        <v>109</v>
      </c>
      <c r="C58" s="845" t="s">
        <v>110</v>
      </c>
      <c r="D58" s="956">
        <f t="shared" si="1"/>
        <v>36780</v>
      </c>
      <c r="E58" s="961">
        <v>0</v>
      </c>
      <c r="F58" s="961">
        <v>0</v>
      </c>
      <c r="G58" s="961">
        <v>6242</v>
      </c>
      <c r="H58" s="961">
        <v>29074</v>
      </c>
      <c r="I58" s="961">
        <v>1025</v>
      </c>
      <c r="J58" s="961">
        <v>439</v>
      </c>
      <c r="K58" s="956">
        <f t="shared" si="4"/>
        <v>0</v>
      </c>
      <c r="L58" s="961">
        <v>0</v>
      </c>
      <c r="M58" s="961">
        <v>0</v>
      </c>
      <c r="N58" s="961">
        <v>0</v>
      </c>
      <c r="Q58" s="960"/>
    </row>
    <row r="59" spans="1:17" x14ac:dyDescent="0.2">
      <c r="A59" s="850">
        <v>49</v>
      </c>
      <c r="B59" s="847" t="s">
        <v>111</v>
      </c>
      <c r="C59" s="848" t="s">
        <v>112</v>
      </c>
      <c r="D59" s="956">
        <f t="shared" si="1"/>
        <v>4066</v>
      </c>
      <c r="E59" s="961">
        <v>0</v>
      </c>
      <c r="F59" s="961">
        <v>0</v>
      </c>
      <c r="G59" s="961">
        <v>809</v>
      </c>
      <c r="H59" s="961">
        <v>3257</v>
      </c>
      <c r="I59" s="961">
        <v>0</v>
      </c>
      <c r="J59" s="961">
        <v>0</v>
      </c>
      <c r="K59" s="956">
        <f t="shared" si="4"/>
        <v>0</v>
      </c>
      <c r="L59" s="961">
        <v>0</v>
      </c>
      <c r="M59" s="961">
        <v>0</v>
      </c>
      <c r="N59" s="961">
        <v>0</v>
      </c>
      <c r="Q59" s="960"/>
    </row>
    <row r="60" spans="1:17" x14ac:dyDescent="0.2">
      <c r="A60" s="843">
        <v>50</v>
      </c>
      <c r="B60" s="846" t="s">
        <v>113</v>
      </c>
      <c r="C60" s="845" t="s">
        <v>114</v>
      </c>
      <c r="D60" s="956">
        <f t="shared" si="1"/>
        <v>15900</v>
      </c>
      <c r="E60" s="961">
        <v>0</v>
      </c>
      <c r="F60" s="961">
        <v>0</v>
      </c>
      <c r="G60" s="961">
        <v>2138</v>
      </c>
      <c r="H60" s="961">
        <v>12298</v>
      </c>
      <c r="I60" s="961">
        <v>1025</v>
      </c>
      <c r="J60" s="961">
        <v>439</v>
      </c>
      <c r="K60" s="956">
        <f t="shared" si="4"/>
        <v>0</v>
      </c>
      <c r="L60" s="961">
        <v>0</v>
      </c>
      <c r="M60" s="961">
        <v>0</v>
      </c>
      <c r="N60" s="961">
        <v>0</v>
      </c>
      <c r="Q60" s="960"/>
    </row>
    <row r="61" spans="1:17" x14ac:dyDescent="0.2">
      <c r="A61" s="850">
        <v>51</v>
      </c>
      <c r="B61" s="847" t="s">
        <v>115</v>
      </c>
      <c r="C61" s="848" t="s">
        <v>116</v>
      </c>
      <c r="D61" s="956">
        <f t="shared" si="1"/>
        <v>16099</v>
      </c>
      <c r="E61" s="961">
        <v>0</v>
      </c>
      <c r="F61" s="961">
        <v>0</v>
      </c>
      <c r="G61" s="961">
        <v>2344</v>
      </c>
      <c r="H61" s="961">
        <v>13755</v>
      </c>
      <c r="I61" s="961">
        <v>0</v>
      </c>
      <c r="J61" s="961">
        <v>0</v>
      </c>
      <c r="K61" s="956">
        <f t="shared" si="4"/>
        <v>0</v>
      </c>
      <c r="L61" s="961">
        <v>0</v>
      </c>
      <c r="M61" s="961">
        <v>0</v>
      </c>
      <c r="N61" s="961">
        <v>0</v>
      </c>
      <c r="Q61" s="960"/>
    </row>
    <row r="62" spans="1:17" x14ac:dyDescent="0.2">
      <c r="A62" s="843">
        <v>52</v>
      </c>
      <c r="B62" s="847" t="s">
        <v>117</v>
      </c>
      <c r="C62" s="848" t="s">
        <v>118</v>
      </c>
      <c r="D62" s="956">
        <f t="shared" si="1"/>
        <v>99832</v>
      </c>
      <c r="E62" s="961">
        <v>0</v>
      </c>
      <c r="F62" s="961">
        <v>0</v>
      </c>
      <c r="G62" s="961">
        <v>25213</v>
      </c>
      <c r="H62" s="961">
        <v>72259</v>
      </c>
      <c r="I62" s="961">
        <v>1025</v>
      </c>
      <c r="J62" s="961">
        <v>439</v>
      </c>
      <c r="K62" s="956">
        <f t="shared" si="4"/>
        <v>896</v>
      </c>
      <c r="L62" s="961">
        <v>0</v>
      </c>
      <c r="M62" s="961">
        <v>896</v>
      </c>
      <c r="N62" s="961">
        <v>0</v>
      </c>
      <c r="Q62" s="960"/>
    </row>
    <row r="63" spans="1:17" x14ac:dyDescent="0.2">
      <c r="A63" s="850">
        <v>53</v>
      </c>
      <c r="B63" s="847" t="s">
        <v>119</v>
      </c>
      <c r="C63" s="848" t="s">
        <v>120</v>
      </c>
      <c r="D63" s="956">
        <f t="shared" si="1"/>
        <v>7539</v>
      </c>
      <c r="E63" s="961">
        <v>0</v>
      </c>
      <c r="F63" s="961">
        <v>0</v>
      </c>
      <c r="G63" s="961">
        <v>2882</v>
      </c>
      <c r="H63" s="961">
        <v>4590</v>
      </c>
      <c r="I63" s="961">
        <v>47</v>
      </c>
      <c r="J63" s="961">
        <v>20</v>
      </c>
      <c r="K63" s="956">
        <f t="shared" si="4"/>
        <v>0</v>
      </c>
      <c r="L63" s="961">
        <v>0</v>
      </c>
      <c r="M63" s="961">
        <v>0</v>
      </c>
      <c r="N63" s="961">
        <v>0</v>
      </c>
      <c r="Q63" s="960"/>
    </row>
    <row r="64" spans="1:17" x14ac:dyDescent="0.2">
      <c r="A64" s="843">
        <v>54</v>
      </c>
      <c r="B64" s="847" t="s">
        <v>121</v>
      </c>
      <c r="C64" s="848" t="s">
        <v>122</v>
      </c>
      <c r="D64" s="956">
        <f t="shared" si="1"/>
        <v>0</v>
      </c>
      <c r="E64" s="961">
        <v>0</v>
      </c>
      <c r="F64" s="961">
        <v>0</v>
      </c>
      <c r="G64" s="961">
        <v>0</v>
      </c>
      <c r="H64" s="961">
        <v>0</v>
      </c>
      <c r="I64" s="961">
        <v>0</v>
      </c>
      <c r="J64" s="961">
        <v>0</v>
      </c>
      <c r="K64" s="956">
        <f t="shared" si="4"/>
        <v>0</v>
      </c>
      <c r="L64" s="961">
        <v>0</v>
      </c>
      <c r="M64" s="961">
        <v>0</v>
      </c>
      <c r="N64" s="961">
        <v>0</v>
      </c>
      <c r="Q64" s="960"/>
    </row>
    <row r="65" spans="1:17" x14ac:dyDescent="0.2">
      <c r="A65" s="850">
        <v>55</v>
      </c>
      <c r="B65" s="847" t="s">
        <v>123</v>
      </c>
      <c r="C65" s="848" t="s">
        <v>124</v>
      </c>
      <c r="D65" s="956">
        <f t="shared" si="1"/>
        <v>0</v>
      </c>
      <c r="E65" s="961">
        <v>0</v>
      </c>
      <c r="F65" s="961">
        <v>0</v>
      </c>
      <c r="G65" s="961">
        <v>0</v>
      </c>
      <c r="H65" s="961">
        <v>0</v>
      </c>
      <c r="I65" s="961">
        <v>0</v>
      </c>
      <c r="J65" s="961">
        <v>0</v>
      </c>
      <c r="K65" s="956">
        <f t="shared" si="4"/>
        <v>0</v>
      </c>
      <c r="L65" s="961">
        <v>0</v>
      </c>
      <c r="M65" s="961">
        <v>0</v>
      </c>
      <c r="N65" s="961">
        <v>0</v>
      </c>
      <c r="Q65" s="960"/>
    </row>
    <row r="66" spans="1:17" x14ac:dyDescent="0.2">
      <c r="A66" s="843">
        <v>56</v>
      </c>
      <c r="B66" s="853" t="s">
        <v>125</v>
      </c>
      <c r="C66" s="32" t="s">
        <v>126</v>
      </c>
      <c r="D66" s="956">
        <f t="shared" si="1"/>
        <v>0</v>
      </c>
      <c r="E66" s="961">
        <v>0</v>
      </c>
      <c r="F66" s="961">
        <v>0</v>
      </c>
      <c r="G66" s="961">
        <v>0</v>
      </c>
      <c r="H66" s="961">
        <v>0</v>
      </c>
      <c r="I66" s="961">
        <v>0</v>
      </c>
      <c r="J66" s="961">
        <v>0</v>
      </c>
      <c r="K66" s="956">
        <f t="shared" si="4"/>
        <v>0</v>
      </c>
      <c r="L66" s="961">
        <v>0</v>
      </c>
      <c r="M66" s="961">
        <v>0</v>
      </c>
      <c r="N66" s="961">
        <v>0</v>
      </c>
      <c r="Q66" s="960"/>
    </row>
    <row r="67" spans="1:17" x14ac:dyDescent="0.2">
      <c r="A67" s="850">
        <v>57</v>
      </c>
      <c r="B67" s="847" t="s">
        <v>127</v>
      </c>
      <c r="C67" s="848" t="s">
        <v>128</v>
      </c>
      <c r="D67" s="956">
        <f t="shared" si="1"/>
        <v>61210</v>
      </c>
      <c r="E67" s="961">
        <v>0</v>
      </c>
      <c r="F67" s="961">
        <v>0</v>
      </c>
      <c r="G67" s="961">
        <v>3000</v>
      </c>
      <c r="H67" s="961">
        <v>56425</v>
      </c>
      <c r="I67" s="961">
        <v>0</v>
      </c>
      <c r="J67" s="961">
        <v>0</v>
      </c>
      <c r="K67" s="956">
        <f t="shared" si="4"/>
        <v>1785</v>
      </c>
      <c r="L67" s="961">
        <v>0</v>
      </c>
      <c r="M67" s="961">
        <v>1785</v>
      </c>
      <c r="N67" s="961">
        <v>0</v>
      </c>
      <c r="Q67" s="960"/>
    </row>
    <row r="68" spans="1:17" x14ac:dyDescent="0.2">
      <c r="A68" s="843">
        <v>58</v>
      </c>
      <c r="B68" s="846" t="s">
        <v>129</v>
      </c>
      <c r="C68" s="848" t="s">
        <v>130</v>
      </c>
      <c r="D68" s="956">
        <f t="shared" si="1"/>
        <v>54395</v>
      </c>
      <c r="E68" s="961">
        <v>0</v>
      </c>
      <c r="F68" s="961">
        <v>0</v>
      </c>
      <c r="G68" s="961">
        <v>1360</v>
      </c>
      <c r="H68" s="961">
        <v>53035</v>
      </c>
      <c r="I68" s="961">
        <v>0</v>
      </c>
      <c r="J68" s="961">
        <v>0</v>
      </c>
      <c r="K68" s="956">
        <f t="shared" si="4"/>
        <v>0</v>
      </c>
      <c r="L68" s="961">
        <v>0</v>
      </c>
      <c r="M68" s="961">
        <v>0</v>
      </c>
      <c r="N68" s="961">
        <v>0</v>
      </c>
      <c r="Q68" s="960"/>
    </row>
    <row r="69" spans="1:17" x14ac:dyDescent="0.2">
      <c r="A69" s="850">
        <v>59</v>
      </c>
      <c r="B69" s="849" t="s">
        <v>131</v>
      </c>
      <c r="C69" s="32" t="s">
        <v>132</v>
      </c>
      <c r="D69" s="956">
        <f t="shared" si="1"/>
        <v>71864</v>
      </c>
      <c r="E69" s="961">
        <v>0</v>
      </c>
      <c r="F69" s="961">
        <v>0</v>
      </c>
      <c r="G69" s="961">
        <v>8400</v>
      </c>
      <c r="H69" s="961">
        <v>63464</v>
      </c>
      <c r="I69" s="961">
        <v>0</v>
      </c>
      <c r="J69" s="961">
        <v>0</v>
      </c>
      <c r="K69" s="956">
        <f t="shared" si="4"/>
        <v>0</v>
      </c>
      <c r="L69" s="961">
        <v>0</v>
      </c>
      <c r="M69" s="961">
        <v>0</v>
      </c>
      <c r="N69" s="961">
        <v>0</v>
      </c>
      <c r="Q69" s="960"/>
    </row>
    <row r="70" spans="1:17" x14ac:dyDescent="0.2">
      <c r="A70" s="843">
        <v>60</v>
      </c>
      <c r="B70" s="846" t="s">
        <v>133</v>
      </c>
      <c r="C70" s="848" t="s">
        <v>134</v>
      </c>
      <c r="D70" s="956">
        <f t="shared" si="1"/>
        <v>77238</v>
      </c>
      <c r="E70" s="961">
        <v>0</v>
      </c>
      <c r="F70" s="961">
        <v>0</v>
      </c>
      <c r="G70" s="961">
        <v>11227</v>
      </c>
      <c r="H70" s="961">
        <v>66011</v>
      </c>
      <c r="I70" s="961">
        <v>0</v>
      </c>
      <c r="J70" s="961">
        <v>0</v>
      </c>
      <c r="K70" s="956">
        <f t="shared" si="4"/>
        <v>0</v>
      </c>
      <c r="L70" s="961">
        <v>0</v>
      </c>
      <c r="M70" s="961">
        <v>0</v>
      </c>
      <c r="N70" s="961">
        <v>0</v>
      </c>
      <c r="Q70" s="960"/>
    </row>
    <row r="71" spans="1:17" ht="24" x14ac:dyDescent="0.2">
      <c r="A71" s="850">
        <v>61</v>
      </c>
      <c r="B71" s="847" t="s">
        <v>135</v>
      </c>
      <c r="C71" s="848" t="s">
        <v>136</v>
      </c>
      <c r="D71" s="956">
        <f t="shared" si="1"/>
        <v>44417</v>
      </c>
      <c r="E71" s="961">
        <v>0</v>
      </c>
      <c r="F71" s="961">
        <v>0</v>
      </c>
      <c r="G71" s="961">
        <v>4635</v>
      </c>
      <c r="H71" s="961">
        <v>39782</v>
      </c>
      <c r="I71" s="961">
        <v>0</v>
      </c>
      <c r="J71" s="961">
        <v>0</v>
      </c>
      <c r="K71" s="956">
        <f t="shared" si="4"/>
        <v>0</v>
      </c>
      <c r="L71" s="961">
        <v>0</v>
      </c>
      <c r="M71" s="961">
        <v>0</v>
      </c>
      <c r="N71" s="961">
        <v>0</v>
      </c>
      <c r="Q71" s="960"/>
    </row>
    <row r="72" spans="1:17" ht="24" x14ac:dyDescent="0.2">
      <c r="A72" s="843">
        <v>62</v>
      </c>
      <c r="B72" s="844" t="s">
        <v>137</v>
      </c>
      <c r="C72" s="848" t="s">
        <v>138</v>
      </c>
      <c r="D72" s="956">
        <f t="shared" si="1"/>
        <v>38232</v>
      </c>
      <c r="E72" s="961">
        <f>35736+500+1996</f>
        <v>38232</v>
      </c>
      <c r="F72" s="961">
        <v>0</v>
      </c>
      <c r="G72" s="961">
        <v>0</v>
      </c>
      <c r="H72" s="961">
        <v>0</v>
      </c>
      <c r="I72" s="961">
        <v>0</v>
      </c>
      <c r="J72" s="961">
        <v>0</v>
      </c>
      <c r="K72" s="956">
        <f t="shared" si="4"/>
        <v>0</v>
      </c>
      <c r="L72" s="961">
        <v>0</v>
      </c>
      <c r="M72" s="961">
        <v>0</v>
      </c>
      <c r="N72" s="961">
        <v>0</v>
      </c>
      <c r="Q72" s="960"/>
    </row>
    <row r="73" spans="1:17" ht="24" x14ac:dyDescent="0.2">
      <c r="A73" s="850">
        <v>63</v>
      </c>
      <c r="B73" s="844" t="s">
        <v>139</v>
      </c>
      <c r="C73" s="848" t="s">
        <v>140</v>
      </c>
      <c r="D73" s="956">
        <f t="shared" ref="D73:D136" si="5">E73+G73+H73+I73+J73+K73</f>
        <v>16383</v>
      </c>
      <c r="E73" s="961">
        <f>15383+1000</f>
        <v>16383</v>
      </c>
      <c r="F73" s="961">
        <v>0</v>
      </c>
      <c r="G73" s="961">
        <v>0</v>
      </c>
      <c r="H73" s="961">
        <v>0</v>
      </c>
      <c r="I73" s="961">
        <v>0</v>
      </c>
      <c r="J73" s="961">
        <v>0</v>
      </c>
      <c r="K73" s="956">
        <f t="shared" si="4"/>
        <v>0</v>
      </c>
      <c r="L73" s="961">
        <v>0</v>
      </c>
      <c r="M73" s="961">
        <v>0</v>
      </c>
      <c r="N73" s="961">
        <v>0</v>
      </c>
      <c r="Q73" s="960"/>
    </row>
    <row r="74" spans="1:17" x14ac:dyDescent="0.2">
      <c r="A74" s="843">
        <v>64</v>
      </c>
      <c r="B74" s="846" t="s">
        <v>141</v>
      </c>
      <c r="C74" s="848" t="s">
        <v>142</v>
      </c>
      <c r="D74" s="956">
        <f t="shared" si="5"/>
        <v>50302</v>
      </c>
      <c r="E74" s="961">
        <v>0</v>
      </c>
      <c r="F74" s="961">
        <v>0</v>
      </c>
      <c r="G74" s="961">
        <v>14749</v>
      </c>
      <c r="H74" s="961">
        <v>34089</v>
      </c>
      <c r="I74" s="961">
        <v>1025</v>
      </c>
      <c r="J74" s="961">
        <v>439</v>
      </c>
      <c r="K74" s="956">
        <f t="shared" si="4"/>
        <v>0</v>
      </c>
      <c r="L74" s="961">
        <v>0</v>
      </c>
      <c r="M74" s="961">
        <v>0</v>
      </c>
      <c r="N74" s="961">
        <v>0</v>
      </c>
      <c r="Q74" s="960"/>
    </row>
    <row r="75" spans="1:17" x14ac:dyDescent="0.2">
      <c r="A75" s="850">
        <v>65</v>
      </c>
      <c r="B75" s="846" t="s">
        <v>143</v>
      </c>
      <c r="C75" s="845" t="s">
        <v>144</v>
      </c>
      <c r="D75" s="956">
        <f t="shared" si="5"/>
        <v>9878</v>
      </c>
      <c r="E75" s="961">
        <v>0</v>
      </c>
      <c r="F75" s="961">
        <v>0</v>
      </c>
      <c r="G75" s="961">
        <v>2998</v>
      </c>
      <c r="H75" s="961">
        <v>5416</v>
      </c>
      <c r="I75" s="961">
        <v>1025</v>
      </c>
      <c r="J75" s="961">
        <v>439</v>
      </c>
      <c r="K75" s="956">
        <f t="shared" si="4"/>
        <v>0</v>
      </c>
      <c r="L75" s="961">
        <v>0</v>
      </c>
      <c r="M75" s="961">
        <v>0</v>
      </c>
      <c r="N75" s="961">
        <v>0</v>
      </c>
      <c r="Q75" s="960"/>
    </row>
    <row r="76" spans="1:17" x14ac:dyDescent="0.2">
      <c r="A76" s="843">
        <v>66</v>
      </c>
      <c r="B76" s="846" t="s">
        <v>145</v>
      </c>
      <c r="C76" s="848" t="s">
        <v>146</v>
      </c>
      <c r="D76" s="956">
        <f t="shared" si="5"/>
        <v>33956</v>
      </c>
      <c r="E76" s="961">
        <v>0</v>
      </c>
      <c r="F76" s="961">
        <v>0</v>
      </c>
      <c r="G76" s="961">
        <v>16043</v>
      </c>
      <c r="H76" s="961">
        <v>16449</v>
      </c>
      <c r="I76" s="961">
        <v>1025</v>
      </c>
      <c r="J76" s="961">
        <v>439</v>
      </c>
      <c r="K76" s="956">
        <f t="shared" si="4"/>
        <v>0</v>
      </c>
      <c r="L76" s="961">
        <v>0</v>
      </c>
      <c r="M76" s="961">
        <v>0</v>
      </c>
      <c r="N76" s="961">
        <v>0</v>
      </c>
      <c r="Q76" s="960"/>
    </row>
    <row r="77" spans="1:17" ht="24" x14ac:dyDescent="0.2">
      <c r="A77" s="850">
        <v>67</v>
      </c>
      <c r="B77" s="846" t="s">
        <v>147</v>
      </c>
      <c r="C77" s="848" t="s">
        <v>148</v>
      </c>
      <c r="D77" s="956">
        <f t="shared" si="5"/>
        <v>1989</v>
      </c>
      <c r="E77" s="961">
        <v>1989</v>
      </c>
      <c r="F77" s="961">
        <v>0</v>
      </c>
      <c r="G77" s="961">
        <v>0</v>
      </c>
      <c r="H77" s="961">
        <v>0</v>
      </c>
      <c r="I77" s="961">
        <v>0</v>
      </c>
      <c r="J77" s="961">
        <v>0</v>
      </c>
      <c r="K77" s="956">
        <f t="shared" si="4"/>
        <v>0</v>
      </c>
      <c r="L77" s="961">
        <v>0</v>
      </c>
      <c r="M77" s="961">
        <v>0</v>
      </c>
      <c r="N77" s="961">
        <v>0</v>
      </c>
      <c r="Q77" s="960"/>
    </row>
    <row r="78" spans="1:17" ht="24" x14ac:dyDescent="0.2">
      <c r="A78" s="843">
        <v>68</v>
      </c>
      <c r="B78" s="844" t="s">
        <v>149</v>
      </c>
      <c r="C78" s="848" t="s">
        <v>150</v>
      </c>
      <c r="D78" s="956">
        <f t="shared" si="5"/>
        <v>3730</v>
      </c>
      <c r="E78" s="961">
        <v>3730</v>
      </c>
      <c r="F78" s="961">
        <v>0</v>
      </c>
      <c r="G78" s="961">
        <v>0</v>
      </c>
      <c r="H78" s="961">
        <v>0</v>
      </c>
      <c r="I78" s="961">
        <v>0</v>
      </c>
      <c r="J78" s="961">
        <v>0</v>
      </c>
      <c r="K78" s="956">
        <f t="shared" ref="K78:K141" si="6">L78+M78</f>
        <v>0</v>
      </c>
      <c r="L78" s="961">
        <v>0</v>
      </c>
      <c r="M78" s="961">
        <v>0</v>
      </c>
      <c r="N78" s="961">
        <v>0</v>
      </c>
      <c r="Q78" s="960"/>
    </row>
    <row r="79" spans="1:17" ht="24" x14ac:dyDescent="0.2">
      <c r="A79" s="850">
        <v>69</v>
      </c>
      <c r="B79" s="846" t="s">
        <v>151</v>
      </c>
      <c r="C79" s="848" t="s">
        <v>152</v>
      </c>
      <c r="D79" s="956">
        <f t="shared" si="5"/>
        <v>3503</v>
      </c>
      <c r="E79" s="961">
        <v>3503</v>
      </c>
      <c r="F79" s="961">
        <v>0</v>
      </c>
      <c r="G79" s="961">
        <v>0</v>
      </c>
      <c r="H79" s="961">
        <v>0</v>
      </c>
      <c r="I79" s="961">
        <v>0</v>
      </c>
      <c r="J79" s="961">
        <v>0</v>
      </c>
      <c r="K79" s="956">
        <f t="shared" si="6"/>
        <v>0</v>
      </c>
      <c r="L79" s="961">
        <v>0</v>
      </c>
      <c r="M79" s="961">
        <v>0</v>
      </c>
      <c r="N79" s="961">
        <v>0</v>
      </c>
      <c r="Q79" s="960"/>
    </row>
    <row r="80" spans="1:17" ht="24" x14ac:dyDescent="0.2">
      <c r="A80" s="843">
        <v>70</v>
      </c>
      <c r="B80" s="846" t="s">
        <v>153</v>
      </c>
      <c r="C80" s="848" t="s">
        <v>154</v>
      </c>
      <c r="D80" s="956">
        <f t="shared" si="5"/>
        <v>2599</v>
      </c>
      <c r="E80" s="961">
        <v>2599</v>
      </c>
      <c r="F80" s="961">
        <v>0</v>
      </c>
      <c r="G80" s="961">
        <v>0</v>
      </c>
      <c r="H80" s="961">
        <v>0</v>
      </c>
      <c r="I80" s="961">
        <v>0</v>
      </c>
      <c r="J80" s="961">
        <v>0</v>
      </c>
      <c r="K80" s="956">
        <f t="shared" si="6"/>
        <v>0</v>
      </c>
      <c r="L80" s="961">
        <v>0</v>
      </c>
      <c r="M80" s="961">
        <v>0</v>
      </c>
      <c r="N80" s="961">
        <v>0</v>
      </c>
      <c r="Q80" s="960"/>
    </row>
    <row r="81" spans="1:17" ht="24" x14ac:dyDescent="0.2">
      <c r="A81" s="850">
        <v>71</v>
      </c>
      <c r="B81" s="844" t="s">
        <v>155</v>
      </c>
      <c r="C81" s="848" t="s">
        <v>156</v>
      </c>
      <c r="D81" s="956">
        <f t="shared" si="5"/>
        <v>15091</v>
      </c>
      <c r="E81" s="961">
        <f>14591+500</f>
        <v>15091</v>
      </c>
      <c r="F81" s="961">
        <v>0</v>
      </c>
      <c r="G81" s="961">
        <v>0</v>
      </c>
      <c r="H81" s="961">
        <v>0</v>
      </c>
      <c r="I81" s="961">
        <v>0</v>
      </c>
      <c r="J81" s="961">
        <v>0</v>
      </c>
      <c r="K81" s="956">
        <f t="shared" si="6"/>
        <v>0</v>
      </c>
      <c r="L81" s="961">
        <v>0</v>
      </c>
      <c r="M81" s="961">
        <v>0</v>
      </c>
      <c r="N81" s="961">
        <v>0</v>
      </c>
      <c r="Q81" s="960"/>
    </row>
    <row r="82" spans="1:17" ht="24" x14ac:dyDescent="0.2">
      <c r="A82" s="843">
        <v>72</v>
      </c>
      <c r="B82" s="844" t="s">
        <v>157</v>
      </c>
      <c r="C82" s="848" t="s">
        <v>158</v>
      </c>
      <c r="D82" s="956">
        <f t="shared" si="5"/>
        <v>2405</v>
      </c>
      <c r="E82" s="961">
        <v>2405</v>
      </c>
      <c r="F82" s="961">
        <v>0</v>
      </c>
      <c r="G82" s="961">
        <v>0</v>
      </c>
      <c r="H82" s="961">
        <v>0</v>
      </c>
      <c r="I82" s="961">
        <v>0</v>
      </c>
      <c r="J82" s="961">
        <v>0</v>
      </c>
      <c r="K82" s="956">
        <f t="shared" si="6"/>
        <v>0</v>
      </c>
      <c r="L82" s="961">
        <v>0</v>
      </c>
      <c r="M82" s="961">
        <v>0</v>
      </c>
      <c r="N82" s="961">
        <v>0</v>
      </c>
      <c r="Q82" s="960"/>
    </row>
    <row r="83" spans="1:17" ht="24" x14ac:dyDescent="0.2">
      <c r="A83" s="850">
        <v>73</v>
      </c>
      <c r="B83" s="844" t="s">
        <v>159</v>
      </c>
      <c r="C83" s="848" t="s">
        <v>160</v>
      </c>
      <c r="D83" s="956">
        <f t="shared" si="5"/>
        <v>6986</v>
      </c>
      <c r="E83" s="961">
        <f>4786+2200</f>
        <v>6986</v>
      </c>
      <c r="F83" s="961">
        <v>0</v>
      </c>
      <c r="G83" s="961">
        <v>0</v>
      </c>
      <c r="H83" s="961">
        <v>0</v>
      </c>
      <c r="I83" s="961">
        <v>0</v>
      </c>
      <c r="J83" s="961">
        <v>0</v>
      </c>
      <c r="K83" s="956">
        <f t="shared" si="6"/>
        <v>0</v>
      </c>
      <c r="L83" s="961">
        <v>0</v>
      </c>
      <c r="M83" s="961">
        <v>0</v>
      </c>
      <c r="N83" s="961">
        <v>0</v>
      </c>
      <c r="Q83" s="960"/>
    </row>
    <row r="84" spans="1:17" x14ac:dyDescent="0.2">
      <c r="A84" s="843">
        <v>74</v>
      </c>
      <c r="B84" s="847" t="s">
        <v>161</v>
      </c>
      <c r="C84" s="848" t="s">
        <v>162</v>
      </c>
      <c r="D84" s="956">
        <f t="shared" si="5"/>
        <v>56657</v>
      </c>
      <c r="E84" s="961">
        <v>0</v>
      </c>
      <c r="F84" s="961">
        <v>0</v>
      </c>
      <c r="G84" s="961">
        <v>8821</v>
      </c>
      <c r="H84" s="961">
        <v>47654</v>
      </c>
      <c r="I84" s="961">
        <v>127</v>
      </c>
      <c r="J84" s="961">
        <v>55</v>
      </c>
      <c r="K84" s="956">
        <f t="shared" si="6"/>
        <v>0</v>
      </c>
      <c r="L84" s="961">
        <v>0</v>
      </c>
      <c r="M84" s="961">
        <v>0</v>
      </c>
      <c r="N84" s="961">
        <v>0</v>
      </c>
      <c r="Q84" s="960"/>
    </row>
    <row r="85" spans="1:17" x14ac:dyDescent="0.2">
      <c r="A85" s="850">
        <v>75</v>
      </c>
      <c r="B85" s="844" t="s">
        <v>163</v>
      </c>
      <c r="C85" s="848" t="s">
        <v>164</v>
      </c>
      <c r="D85" s="956">
        <f t="shared" si="5"/>
        <v>65643</v>
      </c>
      <c r="E85" s="961">
        <v>0</v>
      </c>
      <c r="F85" s="961">
        <v>0</v>
      </c>
      <c r="G85" s="961">
        <v>31723</v>
      </c>
      <c r="H85" s="961">
        <v>27054</v>
      </c>
      <c r="I85" s="961">
        <v>3075</v>
      </c>
      <c r="J85" s="961">
        <v>1317</v>
      </c>
      <c r="K85" s="956">
        <f t="shared" si="6"/>
        <v>2474</v>
      </c>
      <c r="L85" s="961">
        <v>0</v>
      </c>
      <c r="M85" s="961">
        <v>2474</v>
      </c>
      <c r="N85" s="961">
        <v>0</v>
      </c>
      <c r="Q85" s="960"/>
    </row>
    <row r="86" spans="1:17" x14ac:dyDescent="0.2">
      <c r="A86" s="843">
        <v>76</v>
      </c>
      <c r="B86" s="847" t="s">
        <v>165</v>
      </c>
      <c r="C86" s="848" t="s">
        <v>166</v>
      </c>
      <c r="D86" s="956">
        <f t="shared" si="5"/>
        <v>29286</v>
      </c>
      <c r="E86" s="961">
        <v>0</v>
      </c>
      <c r="F86" s="961">
        <v>0</v>
      </c>
      <c r="G86" s="961">
        <v>12617</v>
      </c>
      <c r="H86" s="961">
        <v>15205</v>
      </c>
      <c r="I86" s="961">
        <v>1025</v>
      </c>
      <c r="J86" s="961">
        <v>439</v>
      </c>
      <c r="K86" s="956">
        <f t="shared" si="6"/>
        <v>0</v>
      </c>
      <c r="L86" s="961">
        <v>0</v>
      </c>
      <c r="M86" s="961">
        <v>0</v>
      </c>
      <c r="N86" s="961">
        <v>0</v>
      </c>
      <c r="Q86" s="960"/>
    </row>
    <row r="87" spans="1:17" x14ac:dyDescent="0.2">
      <c r="A87" s="850">
        <v>77</v>
      </c>
      <c r="B87" s="849" t="s">
        <v>167</v>
      </c>
      <c r="C87" s="32" t="s">
        <v>168</v>
      </c>
      <c r="D87" s="956">
        <f t="shared" si="5"/>
        <v>12188</v>
      </c>
      <c r="E87" s="961">
        <v>0</v>
      </c>
      <c r="F87" s="961">
        <v>0</v>
      </c>
      <c r="G87" s="961">
        <v>3120</v>
      </c>
      <c r="H87" s="961">
        <v>9068</v>
      </c>
      <c r="I87" s="961">
        <v>0</v>
      </c>
      <c r="J87" s="961">
        <v>0</v>
      </c>
      <c r="K87" s="956">
        <f t="shared" si="6"/>
        <v>0</v>
      </c>
      <c r="L87" s="961">
        <v>0</v>
      </c>
      <c r="M87" s="961">
        <v>0</v>
      </c>
      <c r="N87" s="961">
        <v>0</v>
      </c>
      <c r="Q87" s="960"/>
    </row>
    <row r="88" spans="1:17" x14ac:dyDescent="0.2">
      <c r="A88" s="843">
        <v>78</v>
      </c>
      <c r="B88" s="844" t="s">
        <v>169</v>
      </c>
      <c r="C88" s="848" t="s">
        <v>170</v>
      </c>
      <c r="D88" s="956">
        <f t="shared" si="5"/>
        <v>64990</v>
      </c>
      <c r="E88" s="961">
        <v>0</v>
      </c>
      <c r="F88" s="961">
        <v>0</v>
      </c>
      <c r="G88" s="961">
        <v>28969</v>
      </c>
      <c r="H88" s="961">
        <v>18544</v>
      </c>
      <c r="I88" s="961">
        <v>2050</v>
      </c>
      <c r="J88" s="961">
        <v>878</v>
      </c>
      <c r="K88" s="956">
        <f t="shared" si="6"/>
        <v>14549</v>
      </c>
      <c r="L88" s="961">
        <f>12338-7520</f>
        <v>4818</v>
      </c>
      <c r="M88" s="961">
        <v>9731</v>
      </c>
      <c r="N88" s="961">
        <v>0</v>
      </c>
      <c r="Q88" s="960"/>
    </row>
    <row r="89" spans="1:17" x14ac:dyDescent="0.2">
      <c r="A89" s="850">
        <v>79</v>
      </c>
      <c r="B89" s="849" t="s">
        <v>171</v>
      </c>
      <c r="C89" s="32" t="s">
        <v>172</v>
      </c>
      <c r="D89" s="956">
        <f t="shared" si="5"/>
        <v>60400</v>
      </c>
      <c r="E89" s="961">
        <v>0</v>
      </c>
      <c r="F89" s="961">
        <v>0</v>
      </c>
      <c r="G89" s="961">
        <v>3970</v>
      </c>
      <c r="H89" s="961">
        <v>56430</v>
      </c>
      <c r="I89" s="961">
        <v>0</v>
      </c>
      <c r="J89" s="961">
        <v>0</v>
      </c>
      <c r="K89" s="956">
        <f t="shared" si="6"/>
        <v>0</v>
      </c>
      <c r="L89" s="961">
        <v>0</v>
      </c>
      <c r="M89" s="961">
        <v>0</v>
      </c>
      <c r="N89" s="961">
        <v>0</v>
      </c>
      <c r="Q89" s="960"/>
    </row>
    <row r="90" spans="1:17" x14ac:dyDescent="0.2">
      <c r="A90" s="843">
        <v>80</v>
      </c>
      <c r="B90" s="844" t="s">
        <v>173</v>
      </c>
      <c r="C90" s="848" t="s">
        <v>174</v>
      </c>
      <c r="D90" s="956">
        <f t="shared" si="5"/>
        <v>27194</v>
      </c>
      <c r="E90" s="961">
        <v>0</v>
      </c>
      <c r="F90" s="961">
        <v>0</v>
      </c>
      <c r="G90" s="961">
        <v>15287</v>
      </c>
      <c r="H90" s="961">
        <v>8907</v>
      </c>
      <c r="I90" s="961">
        <v>0</v>
      </c>
      <c r="J90" s="961">
        <v>0</v>
      </c>
      <c r="K90" s="956">
        <f t="shared" si="6"/>
        <v>3000</v>
      </c>
      <c r="L90" s="961">
        <v>0</v>
      </c>
      <c r="M90" s="961">
        <v>3000</v>
      </c>
      <c r="N90" s="961">
        <v>0</v>
      </c>
      <c r="Q90" s="960"/>
    </row>
    <row r="91" spans="1:17" x14ac:dyDescent="0.2">
      <c r="A91" s="850">
        <v>81</v>
      </c>
      <c r="B91" s="849" t="s">
        <v>175</v>
      </c>
      <c r="C91" s="32" t="s">
        <v>746</v>
      </c>
      <c r="D91" s="956">
        <f t="shared" si="5"/>
        <v>14229</v>
      </c>
      <c r="E91" s="961">
        <v>14229</v>
      </c>
      <c r="F91" s="961">
        <v>0</v>
      </c>
      <c r="G91" s="961">
        <v>0</v>
      </c>
      <c r="H91" s="961">
        <v>0</v>
      </c>
      <c r="I91" s="961">
        <v>0</v>
      </c>
      <c r="J91" s="961">
        <v>0</v>
      </c>
      <c r="K91" s="956">
        <f t="shared" si="6"/>
        <v>0</v>
      </c>
      <c r="L91" s="961">
        <v>0</v>
      </c>
      <c r="M91" s="961">
        <v>0</v>
      </c>
      <c r="N91" s="961">
        <v>0</v>
      </c>
      <c r="Q91" s="960"/>
    </row>
    <row r="92" spans="1:17" x14ac:dyDescent="0.2">
      <c r="A92" s="843">
        <v>82</v>
      </c>
      <c r="B92" s="846" t="s">
        <v>177</v>
      </c>
      <c r="C92" s="848" t="s">
        <v>358</v>
      </c>
      <c r="D92" s="956">
        <f t="shared" si="5"/>
        <v>0</v>
      </c>
      <c r="E92" s="961">
        <v>0</v>
      </c>
      <c r="F92" s="961">
        <v>0</v>
      </c>
      <c r="G92" s="961">
        <v>0</v>
      </c>
      <c r="H92" s="961">
        <v>0</v>
      </c>
      <c r="I92" s="961">
        <v>0</v>
      </c>
      <c r="J92" s="961">
        <v>0</v>
      </c>
      <c r="K92" s="956">
        <f t="shared" si="6"/>
        <v>0</v>
      </c>
      <c r="L92" s="961">
        <v>0</v>
      </c>
      <c r="M92" s="961">
        <v>0</v>
      </c>
      <c r="N92" s="961">
        <v>0</v>
      </c>
      <c r="Q92" s="960"/>
    </row>
    <row r="93" spans="1:17" ht="36" x14ac:dyDescent="0.2">
      <c r="A93" s="1059">
        <v>83</v>
      </c>
      <c r="B93" s="1062" t="s">
        <v>178</v>
      </c>
      <c r="C93" s="1" t="s">
        <v>744</v>
      </c>
      <c r="D93" s="956">
        <f t="shared" si="5"/>
        <v>11376</v>
      </c>
      <c r="E93" s="961">
        <v>0</v>
      </c>
      <c r="F93" s="961">
        <v>0</v>
      </c>
      <c r="G93" s="961">
        <v>1265</v>
      </c>
      <c r="H93" s="961">
        <v>3575</v>
      </c>
      <c r="I93" s="961">
        <v>0</v>
      </c>
      <c r="J93" s="961">
        <v>0</v>
      </c>
      <c r="K93" s="956">
        <f t="shared" si="6"/>
        <v>6536</v>
      </c>
      <c r="L93" s="961">
        <v>0</v>
      </c>
      <c r="M93" s="961">
        <v>6536</v>
      </c>
      <c r="N93" s="961">
        <v>0</v>
      </c>
      <c r="Q93" s="960"/>
    </row>
    <row r="94" spans="1:17" ht="24" x14ac:dyDescent="0.2">
      <c r="A94" s="1060"/>
      <c r="B94" s="1063"/>
      <c r="C94" s="848" t="s">
        <v>180</v>
      </c>
      <c r="D94" s="956">
        <f t="shared" si="5"/>
        <v>3600</v>
      </c>
      <c r="E94" s="961">
        <v>3600</v>
      </c>
      <c r="F94" s="961">
        <v>0</v>
      </c>
      <c r="G94" s="961">
        <v>0</v>
      </c>
      <c r="H94" s="961">
        <v>0</v>
      </c>
      <c r="I94" s="961">
        <v>0</v>
      </c>
      <c r="J94" s="961">
        <v>0</v>
      </c>
      <c r="K94" s="956">
        <f t="shared" si="6"/>
        <v>0</v>
      </c>
      <c r="L94" s="961">
        <v>0</v>
      </c>
      <c r="M94" s="961">
        <v>0</v>
      </c>
      <c r="N94" s="961">
        <v>0</v>
      </c>
      <c r="Q94" s="960"/>
    </row>
    <row r="95" spans="1:17" ht="36" x14ac:dyDescent="0.2">
      <c r="A95" s="1061"/>
      <c r="B95" s="1064"/>
      <c r="C95" s="307" t="s">
        <v>509</v>
      </c>
      <c r="D95" s="956">
        <f t="shared" si="5"/>
        <v>8000</v>
      </c>
      <c r="E95" s="961">
        <v>0</v>
      </c>
      <c r="F95" s="961">
        <v>0</v>
      </c>
      <c r="G95" s="961">
        <v>0</v>
      </c>
      <c r="H95" s="961">
        <v>0</v>
      </c>
      <c r="I95" s="961">
        <v>0</v>
      </c>
      <c r="J95" s="961">
        <v>0</v>
      </c>
      <c r="K95" s="956">
        <f t="shared" si="6"/>
        <v>8000</v>
      </c>
      <c r="L95" s="961">
        <v>0</v>
      </c>
      <c r="M95" s="961">
        <v>8000</v>
      </c>
      <c r="N95" s="961"/>
      <c r="Q95" s="960"/>
    </row>
    <row r="96" spans="1:17" ht="24" x14ac:dyDescent="0.2">
      <c r="A96" s="843">
        <v>84</v>
      </c>
      <c r="B96" s="846" t="s">
        <v>181</v>
      </c>
      <c r="C96" s="845" t="s">
        <v>182</v>
      </c>
      <c r="D96" s="956">
        <f t="shared" si="5"/>
        <v>8400</v>
      </c>
      <c r="E96" s="961">
        <v>8400</v>
      </c>
      <c r="F96" s="961">
        <v>0</v>
      </c>
      <c r="G96" s="961">
        <v>0</v>
      </c>
      <c r="H96" s="961">
        <v>0</v>
      </c>
      <c r="I96" s="961">
        <v>0</v>
      </c>
      <c r="J96" s="961">
        <v>0</v>
      </c>
      <c r="K96" s="956">
        <f t="shared" si="6"/>
        <v>0</v>
      </c>
      <c r="L96" s="961">
        <v>0</v>
      </c>
      <c r="M96" s="961">
        <v>0</v>
      </c>
      <c r="N96" s="961">
        <v>0</v>
      </c>
      <c r="Q96" s="960"/>
    </row>
    <row r="97" spans="1:17" x14ac:dyDescent="0.2">
      <c r="A97" s="843">
        <v>85</v>
      </c>
      <c r="B97" s="846" t="s">
        <v>183</v>
      </c>
      <c r="C97" s="32" t="s">
        <v>184</v>
      </c>
      <c r="D97" s="956">
        <f t="shared" si="5"/>
        <v>5613</v>
      </c>
      <c r="E97" s="961">
        <v>0</v>
      </c>
      <c r="F97" s="961">
        <v>0</v>
      </c>
      <c r="G97" s="961">
        <v>1650</v>
      </c>
      <c r="H97" s="961">
        <v>3963</v>
      </c>
      <c r="I97" s="961">
        <v>0</v>
      </c>
      <c r="J97" s="961">
        <v>0</v>
      </c>
      <c r="K97" s="956">
        <f t="shared" si="6"/>
        <v>0</v>
      </c>
      <c r="L97" s="961">
        <v>0</v>
      </c>
      <c r="M97" s="961">
        <v>0</v>
      </c>
      <c r="N97" s="961">
        <v>0</v>
      </c>
      <c r="Q97" s="960"/>
    </row>
    <row r="98" spans="1:17" x14ac:dyDescent="0.2">
      <c r="A98" s="843">
        <v>86</v>
      </c>
      <c r="B98" s="847" t="s">
        <v>185</v>
      </c>
      <c r="C98" s="848" t="s">
        <v>186</v>
      </c>
      <c r="D98" s="956">
        <f t="shared" si="5"/>
        <v>12505</v>
      </c>
      <c r="E98" s="961">
        <v>0</v>
      </c>
      <c r="F98" s="961">
        <v>0</v>
      </c>
      <c r="G98" s="961">
        <v>3355</v>
      </c>
      <c r="H98" s="961">
        <v>7685</v>
      </c>
      <c r="I98" s="961">
        <v>1026</v>
      </c>
      <c r="J98" s="961">
        <v>439</v>
      </c>
      <c r="K98" s="956">
        <f t="shared" si="6"/>
        <v>0</v>
      </c>
      <c r="L98" s="961">
        <v>0</v>
      </c>
      <c r="M98" s="961">
        <v>0</v>
      </c>
      <c r="N98" s="961">
        <v>0</v>
      </c>
      <c r="Q98" s="960"/>
    </row>
    <row r="99" spans="1:17" x14ac:dyDescent="0.2">
      <c r="A99" s="843">
        <v>87</v>
      </c>
      <c r="B99" s="846" t="s">
        <v>187</v>
      </c>
      <c r="C99" s="845" t="s">
        <v>188</v>
      </c>
      <c r="D99" s="956">
        <f t="shared" si="5"/>
        <v>13563</v>
      </c>
      <c r="E99" s="961">
        <v>0</v>
      </c>
      <c r="F99" s="961">
        <v>0</v>
      </c>
      <c r="G99" s="961">
        <v>2740</v>
      </c>
      <c r="H99" s="961">
        <v>10823</v>
      </c>
      <c r="I99" s="961">
        <v>0</v>
      </c>
      <c r="J99" s="961">
        <v>0</v>
      </c>
      <c r="K99" s="956">
        <f t="shared" si="6"/>
        <v>0</v>
      </c>
      <c r="L99" s="961">
        <v>0</v>
      </c>
      <c r="M99" s="961">
        <v>0</v>
      </c>
      <c r="N99" s="961">
        <v>0</v>
      </c>
      <c r="Q99" s="960"/>
    </row>
    <row r="100" spans="1:17" x14ac:dyDescent="0.2">
      <c r="A100" s="843">
        <v>88</v>
      </c>
      <c r="B100" s="847" t="s">
        <v>189</v>
      </c>
      <c r="C100" s="848" t="s">
        <v>190</v>
      </c>
      <c r="D100" s="956">
        <f t="shared" si="5"/>
        <v>11683</v>
      </c>
      <c r="E100" s="961">
        <v>0</v>
      </c>
      <c r="F100" s="961">
        <v>0</v>
      </c>
      <c r="G100" s="961">
        <v>1519</v>
      </c>
      <c r="H100" s="961">
        <v>10164</v>
      </c>
      <c r="I100" s="961">
        <v>0</v>
      </c>
      <c r="J100" s="961">
        <v>0</v>
      </c>
      <c r="K100" s="956">
        <f t="shared" si="6"/>
        <v>0</v>
      </c>
      <c r="L100" s="961">
        <v>0</v>
      </c>
      <c r="M100" s="961">
        <v>0</v>
      </c>
      <c r="N100" s="961">
        <v>0</v>
      </c>
      <c r="Q100" s="960"/>
    </row>
    <row r="101" spans="1:17" x14ac:dyDescent="0.2">
      <c r="A101" s="843">
        <v>89</v>
      </c>
      <c r="B101" s="847" t="s">
        <v>191</v>
      </c>
      <c r="C101" s="848" t="s">
        <v>192</v>
      </c>
      <c r="D101" s="956">
        <f t="shared" si="5"/>
        <v>32007</v>
      </c>
      <c r="E101" s="961">
        <v>0</v>
      </c>
      <c r="F101" s="961">
        <v>0</v>
      </c>
      <c r="G101" s="961">
        <v>11680</v>
      </c>
      <c r="H101" s="961">
        <v>20327</v>
      </c>
      <c r="I101" s="961">
        <v>0</v>
      </c>
      <c r="J101" s="961">
        <v>0</v>
      </c>
      <c r="K101" s="956">
        <f t="shared" si="6"/>
        <v>0</v>
      </c>
      <c r="L101" s="961">
        <v>0</v>
      </c>
      <c r="M101" s="961">
        <v>0</v>
      </c>
      <c r="N101" s="961">
        <v>0</v>
      </c>
      <c r="Q101" s="960"/>
    </row>
    <row r="102" spans="1:17" x14ac:dyDescent="0.2">
      <c r="A102" s="843">
        <v>90</v>
      </c>
      <c r="B102" s="846" t="s">
        <v>193</v>
      </c>
      <c r="C102" s="32" t="s">
        <v>194</v>
      </c>
      <c r="D102" s="956">
        <f t="shared" si="5"/>
        <v>10804</v>
      </c>
      <c r="E102" s="961">
        <v>0</v>
      </c>
      <c r="F102" s="961">
        <v>0</v>
      </c>
      <c r="G102" s="961">
        <v>2361</v>
      </c>
      <c r="H102" s="961">
        <v>6979</v>
      </c>
      <c r="I102" s="961">
        <v>1025</v>
      </c>
      <c r="J102" s="961">
        <v>439</v>
      </c>
      <c r="K102" s="956">
        <f t="shared" si="6"/>
        <v>0</v>
      </c>
      <c r="L102" s="961">
        <v>0</v>
      </c>
      <c r="M102" s="961">
        <v>0</v>
      </c>
      <c r="N102" s="961">
        <v>0</v>
      </c>
      <c r="Q102" s="960"/>
    </row>
    <row r="103" spans="1:17" x14ac:dyDescent="0.2">
      <c r="A103" s="843">
        <v>91</v>
      </c>
      <c r="B103" s="846" t="s">
        <v>195</v>
      </c>
      <c r="C103" s="845" t="s">
        <v>196</v>
      </c>
      <c r="D103" s="956">
        <f t="shared" si="5"/>
        <v>18589</v>
      </c>
      <c r="E103" s="961">
        <v>0</v>
      </c>
      <c r="F103" s="961">
        <v>0</v>
      </c>
      <c r="G103" s="961">
        <v>5156</v>
      </c>
      <c r="H103" s="961">
        <v>11969</v>
      </c>
      <c r="I103" s="961">
        <v>1025</v>
      </c>
      <c r="J103" s="961">
        <v>439</v>
      </c>
      <c r="K103" s="956">
        <f t="shared" si="6"/>
        <v>0</v>
      </c>
      <c r="L103" s="961">
        <v>0</v>
      </c>
      <c r="M103" s="961">
        <v>0</v>
      </c>
      <c r="N103" s="961">
        <v>0</v>
      </c>
      <c r="Q103" s="960"/>
    </row>
    <row r="104" spans="1:17" x14ac:dyDescent="0.2">
      <c r="A104" s="843">
        <v>92</v>
      </c>
      <c r="B104" s="844" t="s">
        <v>197</v>
      </c>
      <c r="C104" s="845" t="s">
        <v>198</v>
      </c>
      <c r="D104" s="956">
        <f t="shared" si="5"/>
        <v>43898</v>
      </c>
      <c r="E104" s="961">
        <v>0</v>
      </c>
      <c r="F104" s="961">
        <v>0</v>
      </c>
      <c r="G104" s="961">
        <v>2868</v>
      </c>
      <c r="H104" s="961">
        <v>40997</v>
      </c>
      <c r="I104" s="961">
        <v>0</v>
      </c>
      <c r="J104" s="961">
        <v>0</v>
      </c>
      <c r="K104" s="956">
        <f t="shared" si="6"/>
        <v>33</v>
      </c>
      <c r="L104" s="961">
        <v>0</v>
      </c>
      <c r="M104" s="961">
        <v>33</v>
      </c>
      <c r="N104" s="961">
        <v>0</v>
      </c>
      <c r="Q104" s="960"/>
    </row>
    <row r="105" spans="1:17" x14ac:dyDescent="0.2">
      <c r="A105" s="843">
        <v>93</v>
      </c>
      <c r="B105" s="844" t="s">
        <v>199</v>
      </c>
      <c r="C105" s="845" t="s">
        <v>200</v>
      </c>
      <c r="D105" s="956">
        <f t="shared" si="5"/>
        <v>33170</v>
      </c>
      <c r="E105" s="961">
        <v>0</v>
      </c>
      <c r="F105" s="961">
        <v>0</v>
      </c>
      <c r="G105" s="961">
        <v>9596</v>
      </c>
      <c r="H105" s="961">
        <v>23546</v>
      </c>
      <c r="I105" s="961">
        <v>0</v>
      </c>
      <c r="J105" s="961">
        <v>0</v>
      </c>
      <c r="K105" s="956">
        <f t="shared" si="6"/>
        <v>28</v>
      </c>
      <c r="L105" s="961">
        <v>0</v>
      </c>
      <c r="M105" s="961">
        <v>28</v>
      </c>
      <c r="N105" s="961">
        <v>0</v>
      </c>
      <c r="Q105" s="960"/>
    </row>
    <row r="106" spans="1:17" x14ac:dyDescent="0.2">
      <c r="A106" s="843">
        <v>94</v>
      </c>
      <c r="B106" s="847" t="s">
        <v>201</v>
      </c>
      <c r="C106" s="848" t="s">
        <v>202</v>
      </c>
      <c r="D106" s="956">
        <f t="shared" si="5"/>
        <v>9725</v>
      </c>
      <c r="E106" s="961">
        <v>0</v>
      </c>
      <c r="F106" s="961">
        <v>0</v>
      </c>
      <c r="G106" s="961">
        <v>1074</v>
      </c>
      <c r="H106" s="961">
        <v>8651</v>
      </c>
      <c r="I106" s="961">
        <v>0</v>
      </c>
      <c r="J106" s="961">
        <v>0</v>
      </c>
      <c r="K106" s="956">
        <f t="shared" si="6"/>
        <v>0</v>
      </c>
      <c r="L106" s="961">
        <v>0</v>
      </c>
      <c r="M106" s="961">
        <v>0</v>
      </c>
      <c r="N106" s="961">
        <v>0</v>
      </c>
      <c r="Q106" s="960"/>
    </row>
    <row r="107" spans="1:17" x14ac:dyDescent="0.2">
      <c r="A107" s="843">
        <v>95</v>
      </c>
      <c r="B107" s="849" t="s">
        <v>203</v>
      </c>
      <c r="C107" s="32" t="s">
        <v>204</v>
      </c>
      <c r="D107" s="956">
        <f t="shared" si="5"/>
        <v>9512</v>
      </c>
      <c r="E107" s="961">
        <v>0</v>
      </c>
      <c r="F107" s="961">
        <v>0</v>
      </c>
      <c r="G107" s="961">
        <v>4197</v>
      </c>
      <c r="H107" s="961">
        <v>5315</v>
      </c>
      <c r="I107" s="961">
        <v>0</v>
      </c>
      <c r="J107" s="961">
        <v>0</v>
      </c>
      <c r="K107" s="956">
        <f t="shared" si="6"/>
        <v>0</v>
      </c>
      <c r="L107" s="961">
        <v>0</v>
      </c>
      <c r="M107" s="961">
        <v>0</v>
      </c>
      <c r="N107" s="961">
        <v>0</v>
      </c>
      <c r="Q107" s="960"/>
    </row>
    <row r="108" spans="1:17" x14ac:dyDescent="0.2">
      <c r="A108" s="843">
        <v>96</v>
      </c>
      <c r="B108" s="844" t="s">
        <v>205</v>
      </c>
      <c r="C108" s="845" t="s">
        <v>206</v>
      </c>
      <c r="D108" s="956">
        <f t="shared" si="5"/>
        <v>14928</v>
      </c>
      <c r="E108" s="961">
        <v>0</v>
      </c>
      <c r="F108" s="961">
        <v>0</v>
      </c>
      <c r="G108" s="961">
        <v>6005</v>
      </c>
      <c r="H108" s="961">
        <v>8923</v>
      </c>
      <c r="I108" s="961">
        <v>0</v>
      </c>
      <c r="J108" s="961">
        <v>0</v>
      </c>
      <c r="K108" s="956">
        <f t="shared" si="6"/>
        <v>0</v>
      </c>
      <c r="L108" s="961">
        <v>0</v>
      </c>
      <c r="M108" s="961">
        <v>0</v>
      </c>
      <c r="N108" s="961">
        <v>0</v>
      </c>
      <c r="Q108" s="960"/>
    </row>
    <row r="109" spans="1:17" x14ac:dyDescent="0.2">
      <c r="A109" s="843">
        <v>97</v>
      </c>
      <c r="B109" s="846" t="s">
        <v>207</v>
      </c>
      <c r="C109" s="845" t="s">
        <v>208</v>
      </c>
      <c r="D109" s="956">
        <f t="shared" si="5"/>
        <v>12992</v>
      </c>
      <c r="E109" s="961">
        <v>0</v>
      </c>
      <c r="F109" s="961">
        <v>0</v>
      </c>
      <c r="G109" s="961">
        <v>4735</v>
      </c>
      <c r="H109" s="961">
        <v>6285</v>
      </c>
      <c r="I109" s="961">
        <v>1025</v>
      </c>
      <c r="J109" s="961">
        <v>439</v>
      </c>
      <c r="K109" s="956">
        <f t="shared" si="6"/>
        <v>508</v>
      </c>
      <c r="L109" s="961">
        <v>0</v>
      </c>
      <c r="M109" s="961">
        <v>508</v>
      </c>
      <c r="N109" s="961">
        <v>0</v>
      </c>
      <c r="Q109" s="960"/>
    </row>
    <row r="110" spans="1:17" x14ac:dyDescent="0.2">
      <c r="A110" s="843">
        <v>98</v>
      </c>
      <c r="B110" s="847" t="s">
        <v>209</v>
      </c>
      <c r="C110" s="848" t="s">
        <v>210</v>
      </c>
      <c r="D110" s="956">
        <f t="shared" si="5"/>
        <v>11495</v>
      </c>
      <c r="E110" s="961">
        <v>0</v>
      </c>
      <c r="F110" s="961">
        <v>0</v>
      </c>
      <c r="G110" s="961">
        <v>5558</v>
      </c>
      <c r="H110" s="961">
        <v>5937</v>
      </c>
      <c r="I110" s="961">
        <v>0</v>
      </c>
      <c r="J110" s="961">
        <v>0</v>
      </c>
      <c r="K110" s="956">
        <f t="shared" si="6"/>
        <v>0</v>
      </c>
      <c r="L110" s="961">
        <v>0</v>
      </c>
      <c r="M110" s="961">
        <v>0</v>
      </c>
      <c r="N110" s="961">
        <v>0</v>
      </c>
      <c r="Q110" s="960"/>
    </row>
    <row r="111" spans="1:17" x14ac:dyDescent="0.2">
      <c r="A111" s="843">
        <v>99</v>
      </c>
      <c r="B111" s="847" t="s">
        <v>211</v>
      </c>
      <c r="C111" s="848" t="s">
        <v>212</v>
      </c>
      <c r="D111" s="956">
        <f t="shared" si="5"/>
        <v>15923</v>
      </c>
      <c r="E111" s="961">
        <v>0</v>
      </c>
      <c r="F111" s="961">
        <v>0</v>
      </c>
      <c r="G111" s="961">
        <v>3078</v>
      </c>
      <c r="H111" s="961">
        <v>12845</v>
      </c>
      <c r="I111" s="961">
        <v>0</v>
      </c>
      <c r="J111" s="961">
        <v>0</v>
      </c>
      <c r="K111" s="956">
        <f t="shared" si="6"/>
        <v>0</v>
      </c>
      <c r="L111" s="961">
        <v>0</v>
      </c>
      <c r="M111" s="961">
        <v>0</v>
      </c>
      <c r="N111" s="961">
        <v>0</v>
      </c>
      <c r="Q111" s="960"/>
    </row>
    <row r="112" spans="1:17" x14ac:dyDescent="0.2">
      <c r="A112" s="843">
        <v>100</v>
      </c>
      <c r="B112" s="844" t="s">
        <v>213</v>
      </c>
      <c r="C112" s="845" t="s">
        <v>214</v>
      </c>
      <c r="D112" s="956">
        <f t="shared" si="5"/>
        <v>29664</v>
      </c>
      <c r="E112" s="961">
        <v>0</v>
      </c>
      <c r="F112" s="961">
        <v>0</v>
      </c>
      <c r="G112" s="961">
        <v>7889</v>
      </c>
      <c r="H112" s="961">
        <v>21645</v>
      </c>
      <c r="I112" s="961">
        <v>0</v>
      </c>
      <c r="J112" s="961">
        <v>0</v>
      </c>
      <c r="K112" s="956">
        <f t="shared" si="6"/>
        <v>130</v>
      </c>
      <c r="L112" s="961">
        <v>0</v>
      </c>
      <c r="M112" s="961">
        <v>130</v>
      </c>
      <c r="N112" s="961">
        <v>0</v>
      </c>
      <c r="Q112" s="960"/>
    </row>
    <row r="113" spans="1:17" x14ac:dyDescent="0.2">
      <c r="A113" s="843">
        <v>101</v>
      </c>
      <c r="B113" s="846" t="s">
        <v>215</v>
      </c>
      <c r="C113" s="845" t="s">
        <v>216</v>
      </c>
      <c r="D113" s="956">
        <f t="shared" si="5"/>
        <v>16925</v>
      </c>
      <c r="E113" s="961">
        <v>0</v>
      </c>
      <c r="F113" s="961">
        <v>0</v>
      </c>
      <c r="G113" s="961">
        <v>1521</v>
      </c>
      <c r="H113" s="961">
        <v>15404</v>
      </c>
      <c r="I113" s="961">
        <v>0</v>
      </c>
      <c r="J113" s="961">
        <v>0</v>
      </c>
      <c r="K113" s="956">
        <f t="shared" si="6"/>
        <v>0</v>
      </c>
      <c r="L113" s="961">
        <v>0</v>
      </c>
      <c r="M113" s="961">
        <v>0</v>
      </c>
      <c r="N113" s="961">
        <v>0</v>
      </c>
      <c r="Q113" s="960"/>
    </row>
    <row r="114" spans="1:17" x14ac:dyDescent="0.2">
      <c r="A114" s="843">
        <v>102</v>
      </c>
      <c r="B114" s="844" t="s">
        <v>217</v>
      </c>
      <c r="C114" s="848" t="s">
        <v>218</v>
      </c>
      <c r="D114" s="956">
        <f t="shared" si="5"/>
        <v>7964</v>
      </c>
      <c r="E114" s="961">
        <v>7964</v>
      </c>
      <c r="F114" s="961">
        <v>0</v>
      </c>
      <c r="G114" s="961">
        <v>0</v>
      </c>
      <c r="H114" s="961">
        <v>0</v>
      </c>
      <c r="I114" s="961">
        <v>0</v>
      </c>
      <c r="J114" s="961">
        <v>0</v>
      </c>
      <c r="K114" s="956">
        <f t="shared" si="6"/>
        <v>0</v>
      </c>
      <c r="L114" s="961">
        <v>0</v>
      </c>
      <c r="M114" s="961">
        <v>0</v>
      </c>
      <c r="N114" s="961">
        <v>0</v>
      </c>
      <c r="Q114" s="960"/>
    </row>
    <row r="115" spans="1:17" x14ac:dyDescent="0.2">
      <c r="A115" s="843">
        <v>103</v>
      </c>
      <c r="B115" s="844" t="s">
        <v>219</v>
      </c>
      <c r="C115" s="845" t="s">
        <v>220</v>
      </c>
      <c r="D115" s="956">
        <f t="shared" si="5"/>
        <v>0</v>
      </c>
      <c r="E115" s="961">
        <v>0</v>
      </c>
      <c r="F115" s="961">
        <v>0</v>
      </c>
      <c r="G115" s="961">
        <v>0</v>
      </c>
      <c r="H115" s="961">
        <v>0</v>
      </c>
      <c r="I115" s="961">
        <v>0</v>
      </c>
      <c r="J115" s="961">
        <v>0</v>
      </c>
      <c r="K115" s="956">
        <f t="shared" si="6"/>
        <v>0</v>
      </c>
      <c r="L115" s="961">
        <v>0</v>
      </c>
      <c r="M115" s="961">
        <v>0</v>
      </c>
      <c r="N115" s="961">
        <v>0</v>
      </c>
      <c r="Q115" s="960"/>
    </row>
    <row r="116" spans="1:17" x14ac:dyDescent="0.2">
      <c r="A116" s="843">
        <v>104</v>
      </c>
      <c r="B116" s="847" t="s">
        <v>221</v>
      </c>
      <c r="C116" s="848" t="s">
        <v>222</v>
      </c>
      <c r="D116" s="956">
        <f t="shared" si="5"/>
        <v>1138</v>
      </c>
      <c r="E116" s="961">
        <v>1138</v>
      </c>
      <c r="F116" s="961">
        <v>0</v>
      </c>
      <c r="G116" s="961">
        <v>0</v>
      </c>
      <c r="H116" s="961">
        <v>0</v>
      </c>
      <c r="I116" s="961">
        <v>0</v>
      </c>
      <c r="J116" s="961">
        <v>0</v>
      </c>
      <c r="K116" s="956">
        <f t="shared" si="6"/>
        <v>0</v>
      </c>
      <c r="L116" s="961">
        <v>0</v>
      </c>
      <c r="M116" s="961">
        <v>0</v>
      </c>
      <c r="N116" s="961">
        <v>0</v>
      </c>
      <c r="Q116" s="960"/>
    </row>
    <row r="117" spans="1:17" x14ac:dyDescent="0.2">
      <c r="A117" s="843">
        <v>105</v>
      </c>
      <c r="B117" s="847" t="s">
        <v>223</v>
      </c>
      <c r="C117" s="848" t="s">
        <v>224</v>
      </c>
      <c r="D117" s="956">
        <f t="shared" si="5"/>
        <v>0</v>
      </c>
      <c r="E117" s="961">
        <v>0</v>
      </c>
      <c r="F117" s="961">
        <v>0</v>
      </c>
      <c r="G117" s="961">
        <v>0</v>
      </c>
      <c r="H117" s="961">
        <v>0</v>
      </c>
      <c r="I117" s="961">
        <v>0</v>
      </c>
      <c r="J117" s="961">
        <v>0</v>
      </c>
      <c r="K117" s="956">
        <f t="shared" si="6"/>
        <v>0</v>
      </c>
      <c r="L117" s="961">
        <v>0</v>
      </c>
      <c r="M117" s="961">
        <v>0</v>
      </c>
      <c r="N117" s="961">
        <v>0</v>
      </c>
      <c r="Q117" s="960"/>
    </row>
    <row r="118" spans="1:17" x14ac:dyDescent="0.2">
      <c r="A118" s="843">
        <v>106</v>
      </c>
      <c r="B118" s="847" t="s">
        <v>225</v>
      </c>
      <c r="C118" s="848" t="s">
        <v>226</v>
      </c>
      <c r="D118" s="956">
        <f t="shared" si="5"/>
        <v>0</v>
      </c>
      <c r="E118" s="961">
        <v>0</v>
      </c>
      <c r="F118" s="961">
        <v>0</v>
      </c>
      <c r="G118" s="961">
        <v>0</v>
      </c>
      <c r="H118" s="961">
        <v>0</v>
      </c>
      <c r="I118" s="961">
        <v>0</v>
      </c>
      <c r="J118" s="961">
        <v>0</v>
      </c>
      <c r="K118" s="956">
        <f t="shared" si="6"/>
        <v>0</v>
      </c>
      <c r="L118" s="961">
        <v>0</v>
      </c>
      <c r="M118" s="961">
        <v>0</v>
      </c>
      <c r="N118" s="961">
        <v>0</v>
      </c>
      <c r="Q118" s="960"/>
    </row>
    <row r="119" spans="1:17" x14ac:dyDescent="0.2">
      <c r="A119" s="843">
        <v>107</v>
      </c>
      <c r="B119" s="847" t="s">
        <v>227</v>
      </c>
      <c r="C119" s="848" t="s">
        <v>228</v>
      </c>
      <c r="D119" s="956">
        <f t="shared" si="5"/>
        <v>0</v>
      </c>
      <c r="E119" s="961">
        <v>0</v>
      </c>
      <c r="F119" s="961">
        <v>0</v>
      </c>
      <c r="G119" s="961">
        <v>0</v>
      </c>
      <c r="H119" s="961">
        <v>0</v>
      </c>
      <c r="I119" s="961">
        <v>0</v>
      </c>
      <c r="J119" s="961">
        <v>0</v>
      </c>
      <c r="K119" s="956">
        <f t="shared" si="6"/>
        <v>0</v>
      </c>
      <c r="L119" s="961">
        <v>0</v>
      </c>
      <c r="M119" s="961">
        <v>0</v>
      </c>
      <c r="N119" s="961">
        <v>0</v>
      </c>
      <c r="Q119" s="960"/>
    </row>
    <row r="120" spans="1:17" x14ac:dyDescent="0.2">
      <c r="A120" s="843">
        <v>108</v>
      </c>
      <c r="B120" s="847" t="s">
        <v>229</v>
      </c>
      <c r="C120" s="848" t="s">
        <v>230</v>
      </c>
      <c r="D120" s="956">
        <f t="shared" si="5"/>
        <v>0</v>
      </c>
      <c r="E120" s="961">
        <v>0</v>
      </c>
      <c r="F120" s="961">
        <v>0</v>
      </c>
      <c r="G120" s="961">
        <v>0</v>
      </c>
      <c r="H120" s="961">
        <v>0</v>
      </c>
      <c r="I120" s="961">
        <v>0</v>
      </c>
      <c r="J120" s="961">
        <v>0</v>
      </c>
      <c r="K120" s="956">
        <f t="shared" si="6"/>
        <v>0</v>
      </c>
      <c r="L120" s="961">
        <v>0</v>
      </c>
      <c r="M120" s="961">
        <v>0</v>
      </c>
      <c r="N120" s="961">
        <v>0</v>
      </c>
      <c r="Q120" s="960"/>
    </row>
    <row r="121" spans="1:17" x14ac:dyDescent="0.2">
      <c r="A121" s="843">
        <v>109</v>
      </c>
      <c r="B121" s="847" t="s">
        <v>231</v>
      </c>
      <c r="C121" s="848" t="s">
        <v>232</v>
      </c>
      <c r="D121" s="956">
        <f t="shared" si="5"/>
        <v>29246</v>
      </c>
      <c r="E121" s="961">
        <v>29246</v>
      </c>
      <c r="F121" s="961">
        <v>0</v>
      </c>
      <c r="G121" s="961">
        <v>0</v>
      </c>
      <c r="H121" s="961">
        <v>0</v>
      </c>
      <c r="I121" s="961">
        <v>0</v>
      </c>
      <c r="J121" s="961">
        <v>0</v>
      </c>
      <c r="K121" s="956">
        <f t="shared" si="6"/>
        <v>0</v>
      </c>
      <c r="L121" s="961">
        <v>0</v>
      </c>
      <c r="M121" s="961">
        <v>0</v>
      </c>
      <c r="N121" s="961">
        <v>0</v>
      </c>
      <c r="Q121" s="960"/>
    </row>
    <row r="122" spans="1:17" x14ac:dyDescent="0.2">
      <c r="A122" s="843">
        <v>110</v>
      </c>
      <c r="B122" s="854" t="s">
        <v>233</v>
      </c>
      <c r="C122" s="855" t="s">
        <v>234</v>
      </c>
      <c r="D122" s="956">
        <f t="shared" si="5"/>
        <v>0</v>
      </c>
      <c r="E122" s="961">
        <v>0</v>
      </c>
      <c r="F122" s="961">
        <v>0</v>
      </c>
      <c r="G122" s="961">
        <v>0</v>
      </c>
      <c r="H122" s="961">
        <v>0</v>
      </c>
      <c r="I122" s="961">
        <v>0</v>
      </c>
      <c r="J122" s="961">
        <v>0</v>
      </c>
      <c r="K122" s="956">
        <f t="shared" si="6"/>
        <v>0</v>
      </c>
      <c r="L122" s="961">
        <v>0</v>
      </c>
      <c r="M122" s="961">
        <v>0</v>
      </c>
      <c r="N122" s="961">
        <v>0</v>
      </c>
      <c r="Q122" s="960"/>
    </row>
    <row r="123" spans="1:17" x14ac:dyDescent="0.2">
      <c r="A123" s="843">
        <v>111</v>
      </c>
      <c r="B123" s="854" t="s">
        <v>235</v>
      </c>
      <c r="C123" s="855" t="s">
        <v>236</v>
      </c>
      <c r="D123" s="956">
        <f t="shared" si="5"/>
        <v>130</v>
      </c>
      <c r="E123" s="961">
        <v>130</v>
      </c>
      <c r="F123" s="961">
        <v>130</v>
      </c>
      <c r="G123" s="961">
        <v>0</v>
      </c>
      <c r="H123" s="961">
        <v>0</v>
      </c>
      <c r="I123" s="961">
        <v>0</v>
      </c>
      <c r="J123" s="961">
        <v>0</v>
      </c>
      <c r="K123" s="956">
        <f t="shared" si="6"/>
        <v>0</v>
      </c>
      <c r="L123" s="961">
        <v>0</v>
      </c>
      <c r="M123" s="961">
        <v>0</v>
      </c>
      <c r="N123" s="961">
        <v>0</v>
      </c>
      <c r="Q123" s="960"/>
    </row>
    <row r="124" spans="1:17" x14ac:dyDescent="0.2">
      <c r="A124" s="843">
        <v>112</v>
      </c>
      <c r="B124" s="846" t="s">
        <v>237</v>
      </c>
      <c r="C124" s="845" t="s">
        <v>238</v>
      </c>
      <c r="D124" s="956">
        <f t="shared" si="5"/>
        <v>0</v>
      </c>
      <c r="E124" s="961">
        <v>0</v>
      </c>
      <c r="F124" s="961">
        <v>0</v>
      </c>
      <c r="G124" s="961">
        <v>0</v>
      </c>
      <c r="H124" s="961">
        <v>0</v>
      </c>
      <c r="I124" s="961">
        <v>0</v>
      </c>
      <c r="J124" s="961">
        <v>0</v>
      </c>
      <c r="K124" s="956">
        <f t="shared" si="6"/>
        <v>0</v>
      </c>
      <c r="L124" s="961">
        <v>0</v>
      </c>
      <c r="M124" s="961">
        <v>0</v>
      </c>
      <c r="N124" s="961">
        <v>0</v>
      </c>
      <c r="Q124" s="960"/>
    </row>
    <row r="125" spans="1:17" x14ac:dyDescent="0.2">
      <c r="A125" s="843">
        <v>113</v>
      </c>
      <c r="B125" s="847" t="s">
        <v>239</v>
      </c>
      <c r="C125" s="848" t="s">
        <v>240</v>
      </c>
      <c r="D125" s="956">
        <f t="shared" si="5"/>
        <v>0</v>
      </c>
      <c r="E125" s="961">
        <v>0</v>
      </c>
      <c r="F125" s="961">
        <v>0</v>
      </c>
      <c r="G125" s="961">
        <v>0</v>
      </c>
      <c r="H125" s="961">
        <v>0</v>
      </c>
      <c r="I125" s="961">
        <v>0</v>
      </c>
      <c r="J125" s="961">
        <v>0</v>
      </c>
      <c r="K125" s="956">
        <f t="shared" si="6"/>
        <v>0</v>
      </c>
      <c r="L125" s="961">
        <v>0</v>
      </c>
      <c r="M125" s="961">
        <v>0</v>
      </c>
      <c r="N125" s="961">
        <v>0</v>
      </c>
      <c r="Q125" s="960"/>
    </row>
    <row r="126" spans="1:17" x14ac:dyDescent="0.2">
      <c r="A126" s="843">
        <v>114</v>
      </c>
      <c r="B126" s="844" t="s">
        <v>241</v>
      </c>
      <c r="C126" s="856" t="s">
        <v>242</v>
      </c>
      <c r="D126" s="956">
        <f t="shared" si="5"/>
        <v>0</v>
      </c>
      <c r="E126" s="961">
        <v>0</v>
      </c>
      <c r="F126" s="961">
        <v>0</v>
      </c>
      <c r="G126" s="961">
        <v>0</v>
      </c>
      <c r="H126" s="961">
        <v>0</v>
      </c>
      <c r="I126" s="961">
        <v>0</v>
      </c>
      <c r="J126" s="961">
        <v>0</v>
      </c>
      <c r="K126" s="956">
        <f t="shared" si="6"/>
        <v>0</v>
      </c>
      <c r="L126" s="961">
        <v>0</v>
      </c>
      <c r="M126" s="961">
        <v>0</v>
      </c>
      <c r="N126" s="961">
        <v>0</v>
      </c>
      <c r="Q126" s="960"/>
    </row>
    <row r="127" spans="1:17" x14ac:dyDescent="0.2">
      <c r="A127" s="843">
        <v>115</v>
      </c>
      <c r="B127" s="847" t="s">
        <v>243</v>
      </c>
      <c r="C127" s="32" t="s">
        <v>385</v>
      </c>
      <c r="D127" s="956">
        <f t="shared" si="5"/>
        <v>0</v>
      </c>
      <c r="E127" s="961">
        <v>0</v>
      </c>
      <c r="F127" s="961">
        <v>0</v>
      </c>
      <c r="G127" s="961">
        <v>0</v>
      </c>
      <c r="H127" s="961">
        <v>0</v>
      </c>
      <c r="I127" s="961">
        <v>0</v>
      </c>
      <c r="J127" s="961">
        <v>0</v>
      </c>
      <c r="K127" s="956">
        <f t="shared" si="6"/>
        <v>0</v>
      </c>
      <c r="L127" s="961">
        <v>0</v>
      </c>
      <c r="M127" s="961">
        <v>0</v>
      </c>
      <c r="N127" s="961">
        <v>0</v>
      </c>
      <c r="Q127" s="960"/>
    </row>
    <row r="128" spans="1:17" x14ac:dyDescent="0.2">
      <c r="A128" s="843">
        <v>116</v>
      </c>
      <c r="B128" s="846" t="s">
        <v>244</v>
      </c>
      <c r="C128" s="848" t="s">
        <v>245</v>
      </c>
      <c r="D128" s="956">
        <f t="shared" si="5"/>
        <v>0</v>
      </c>
      <c r="E128" s="961">
        <v>0</v>
      </c>
      <c r="F128" s="961">
        <v>0</v>
      </c>
      <c r="G128" s="961">
        <v>0</v>
      </c>
      <c r="H128" s="961">
        <v>0</v>
      </c>
      <c r="I128" s="961">
        <v>0</v>
      </c>
      <c r="J128" s="961">
        <v>0</v>
      </c>
      <c r="K128" s="956">
        <f t="shared" si="6"/>
        <v>0</v>
      </c>
      <c r="L128" s="961">
        <v>0</v>
      </c>
      <c r="M128" s="961">
        <v>0</v>
      </c>
      <c r="N128" s="961">
        <v>0</v>
      </c>
      <c r="Q128" s="960"/>
    </row>
    <row r="129" spans="1:17" x14ac:dyDescent="0.2">
      <c r="A129" s="843">
        <v>117</v>
      </c>
      <c r="B129" s="846" t="s">
        <v>246</v>
      </c>
      <c r="C129" s="848" t="s">
        <v>247</v>
      </c>
      <c r="D129" s="956">
        <f t="shared" si="5"/>
        <v>0</v>
      </c>
      <c r="E129" s="961">
        <v>0</v>
      </c>
      <c r="F129" s="961">
        <v>0</v>
      </c>
      <c r="G129" s="961">
        <v>0</v>
      </c>
      <c r="H129" s="961">
        <v>0</v>
      </c>
      <c r="I129" s="961">
        <v>0</v>
      </c>
      <c r="J129" s="961">
        <v>0</v>
      </c>
      <c r="K129" s="956">
        <f t="shared" si="6"/>
        <v>0</v>
      </c>
      <c r="L129" s="961">
        <v>0</v>
      </c>
      <c r="M129" s="961">
        <v>0</v>
      </c>
      <c r="N129" s="961">
        <v>0</v>
      </c>
      <c r="Q129" s="960"/>
    </row>
    <row r="130" spans="1:17" x14ac:dyDescent="0.2">
      <c r="A130" s="843">
        <v>118</v>
      </c>
      <c r="B130" s="846" t="s">
        <v>248</v>
      </c>
      <c r="C130" s="848" t="s">
        <v>249</v>
      </c>
      <c r="D130" s="956">
        <f t="shared" si="5"/>
        <v>0</v>
      </c>
      <c r="E130" s="961">
        <v>0</v>
      </c>
      <c r="F130" s="961">
        <v>0</v>
      </c>
      <c r="G130" s="961">
        <v>0</v>
      </c>
      <c r="H130" s="961">
        <v>0</v>
      </c>
      <c r="I130" s="961">
        <v>0</v>
      </c>
      <c r="J130" s="961">
        <v>0</v>
      </c>
      <c r="K130" s="956">
        <f t="shared" si="6"/>
        <v>0</v>
      </c>
      <c r="L130" s="961">
        <v>0</v>
      </c>
      <c r="M130" s="961">
        <v>0</v>
      </c>
      <c r="N130" s="961">
        <v>0</v>
      </c>
      <c r="Q130" s="960"/>
    </row>
    <row r="131" spans="1:17" x14ac:dyDescent="0.2">
      <c r="A131" s="843">
        <v>119</v>
      </c>
      <c r="B131" s="844" t="s">
        <v>250</v>
      </c>
      <c r="C131" s="845" t="s">
        <v>251</v>
      </c>
      <c r="D131" s="956">
        <f t="shared" si="5"/>
        <v>1383</v>
      </c>
      <c r="E131" s="961">
        <v>1383</v>
      </c>
      <c r="F131" s="961">
        <v>0</v>
      </c>
      <c r="G131" s="961">
        <v>0</v>
      </c>
      <c r="H131" s="961">
        <v>0</v>
      </c>
      <c r="I131" s="962">
        <v>0</v>
      </c>
      <c r="J131" s="962">
        <v>0</v>
      </c>
      <c r="K131" s="956">
        <f t="shared" si="6"/>
        <v>0</v>
      </c>
      <c r="L131" s="961">
        <v>0</v>
      </c>
      <c r="M131" s="961">
        <v>0</v>
      </c>
      <c r="N131" s="961">
        <v>0</v>
      </c>
      <c r="Q131" s="960"/>
    </row>
    <row r="132" spans="1:17" x14ac:dyDescent="0.2">
      <c r="A132" s="843">
        <v>120</v>
      </c>
      <c r="B132" s="846" t="s">
        <v>252</v>
      </c>
      <c r="C132" s="845" t="s">
        <v>253</v>
      </c>
      <c r="D132" s="956">
        <f t="shared" si="5"/>
        <v>0</v>
      </c>
      <c r="E132" s="961">
        <v>0</v>
      </c>
      <c r="F132" s="961">
        <v>0</v>
      </c>
      <c r="G132" s="961">
        <v>0</v>
      </c>
      <c r="H132" s="961">
        <v>0</v>
      </c>
      <c r="I132" s="962">
        <v>0</v>
      </c>
      <c r="J132" s="962">
        <v>0</v>
      </c>
      <c r="K132" s="956">
        <f t="shared" si="6"/>
        <v>0</v>
      </c>
      <c r="L132" s="961">
        <v>0</v>
      </c>
      <c r="M132" s="961">
        <v>0</v>
      </c>
      <c r="N132" s="961">
        <v>0</v>
      </c>
      <c r="Q132" s="960"/>
    </row>
    <row r="133" spans="1:17" x14ac:dyDescent="0.2">
      <c r="A133" s="843">
        <v>121</v>
      </c>
      <c r="B133" s="847" t="s">
        <v>254</v>
      </c>
      <c r="C133" s="848" t="s">
        <v>255</v>
      </c>
      <c r="D133" s="956">
        <f t="shared" si="5"/>
        <v>9742</v>
      </c>
      <c r="E133" s="961">
        <v>9742</v>
      </c>
      <c r="F133" s="961">
        <v>0</v>
      </c>
      <c r="G133" s="961">
        <v>0</v>
      </c>
      <c r="H133" s="961">
        <v>0</v>
      </c>
      <c r="I133" s="962">
        <v>0</v>
      </c>
      <c r="J133" s="962">
        <v>0</v>
      </c>
      <c r="K133" s="956">
        <f t="shared" si="6"/>
        <v>0</v>
      </c>
      <c r="L133" s="961">
        <v>0</v>
      </c>
      <c r="M133" s="961">
        <v>0</v>
      </c>
      <c r="N133" s="961">
        <v>0</v>
      </c>
      <c r="Q133" s="960"/>
    </row>
    <row r="134" spans="1:17" x14ac:dyDescent="0.2">
      <c r="A134" s="843">
        <v>122</v>
      </c>
      <c r="B134" s="847" t="s">
        <v>256</v>
      </c>
      <c r="C134" s="848" t="s">
        <v>257</v>
      </c>
      <c r="D134" s="956">
        <f t="shared" si="5"/>
        <v>0</v>
      </c>
      <c r="E134" s="961">
        <v>0</v>
      </c>
      <c r="F134" s="961">
        <v>0</v>
      </c>
      <c r="G134" s="961">
        <v>0</v>
      </c>
      <c r="H134" s="961">
        <v>0</v>
      </c>
      <c r="I134" s="962">
        <v>0</v>
      </c>
      <c r="J134" s="962">
        <v>0</v>
      </c>
      <c r="K134" s="956">
        <f t="shared" si="6"/>
        <v>0</v>
      </c>
      <c r="L134" s="961">
        <v>0</v>
      </c>
      <c r="M134" s="961">
        <v>0</v>
      </c>
      <c r="N134" s="961">
        <v>0</v>
      </c>
      <c r="Q134" s="960"/>
    </row>
    <row r="135" spans="1:17" x14ac:dyDescent="0.2">
      <c r="A135" s="843">
        <v>123</v>
      </c>
      <c r="B135" s="847" t="s">
        <v>258</v>
      </c>
      <c r="C135" s="848" t="s">
        <v>259</v>
      </c>
      <c r="D135" s="956">
        <f t="shared" si="5"/>
        <v>223231</v>
      </c>
      <c r="E135" s="961">
        <v>0</v>
      </c>
      <c r="F135" s="961">
        <v>0</v>
      </c>
      <c r="G135" s="961">
        <v>0</v>
      </c>
      <c r="H135" s="961">
        <v>0</v>
      </c>
      <c r="I135" s="962">
        <v>0</v>
      </c>
      <c r="J135" s="962">
        <v>0</v>
      </c>
      <c r="K135" s="956">
        <f t="shared" si="6"/>
        <v>223231</v>
      </c>
      <c r="L135" s="961">
        <v>0</v>
      </c>
      <c r="M135" s="961">
        <v>223231</v>
      </c>
      <c r="N135" s="961">
        <v>0</v>
      </c>
      <c r="Q135" s="960"/>
    </row>
    <row r="136" spans="1:17" x14ac:dyDescent="0.2">
      <c r="A136" s="843">
        <v>124</v>
      </c>
      <c r="B136" s="847" t="s">
        <v>260</v>
      </c>
      <c r="C136" s="848" t="s">
        <v>261</v>
      </c>
      <c r="D136" s="956">
        <f t="shared" si="5"/>
        <v>180470</v>
      </c>
      <c r="E136" s="961">
        <v>0</v>
      </c>
      <c r="F136" s="961">
        <v>0</v>
      </c>
      <c r="G136" s="961">
        <v>0</v>
      </c>
      <c r="H136" s="961">
        <v>0</v>
      </c>
      <c r="I136" s="962">
        <v>0</v>
      </c>
      <c r="J136" s="962">
        <v>0</v>
      </c>
      <c r="K136" s="956">
        <f t="shared" si="6"/>
        <v>180470</v>
      </c>
      <c r="L136" s="961">
        <v>0</v>
      </c>
      <c r="M136" s="961">
        <v>180470</v>
      </c>
      <c r="N136" s="961">
        <v>0</v>
      </c>
      <c r="Q136" s="960"/>
    </row>
    <row r="137" spans="1:17" x14ac:dyDescent="0.2">
      <c r="A137" s="843">
        <v>125</v>
      </c>
      <c r="B137" s="847" t="s">
        <v>262</v>
      </c>
      <c r="C137" s="848" t="s">
        <v>263</v>
      </c>
      <c r="D137" s="956">
        <f t="shared" ref="D137:D152" si="7">E137+G137+H137+I137+J137+K137</f>
        <v>90000</v>
      </c>
      <c r="E137" s="961">
        <v>0</v>
      </c>
      <c r="F137" s="961">
        <v>0</v>
      </c>
      <c r="G137" s="961">
        <v>0</v>
      </c>
      <c r="H137" s="961">
        <v>0</v>
      </c>
      <c r="I137" s="962">
        <v>0</v>
      </c>
      <c r="J137" s="962">
        <v>0</v>
      </c>
      <c r="K137" s="956">
        <f t="shared" si="6"/>
        <v>90000</v>
      </c>
      <c r="L137" s="961">
        <v>0</v>
      </c>
      <c r="M137" s="961">
        <f>89700+300</f>
        <v>90000</v>
      </c>
      <c r="N137" s="961">
        <v>300</v>
      </c>
      <c r="Q137" s="960"/>
    </row>
    <row r="138" spans="1:17" x14ac:dyDescent="0.2">
      <c r="A138" s="843">
        <v>126</v>
      </c>
      <c r="B138" s="844" t="s">
        <v>264</v>
      </c>
      <c r="C138" s="845" t="s">
        <v>265</v>
      </c>
      <c r="D138" s="956">
        <f t="shared" si="7"/>
        <v>114092</v>
      </c>
      <c r="E138" s="961">
        <v>0</v>
      </c>
      <c r="F138" s="961">
        <v>0</v>
      </c>
      <c r="G138" s="961">
        <v>0</v>
      </c>
      <c r="H138" s="961">
        <v>0</v>
      </c>
      <c r="I138" s="962">
        <v>0</v>
      </c>
      <c r="J138" s="962">
        <v>0</v>
      </c>
      <c r="K138" s="956">
        <f t="shared" si="6"/>
        <v>114092</v>
      </c>
      <c r="L138" s="961">
        <v>0</v>
      </c>
      <c r="M138" s="961">
        <v>114092</v>
      </c>
      <c r="N138" s="961">
        <v>0</v>
      </c>
      <c r="Q138" s="960"/>
    </row>
    <row r="139" spans="1:17" x14ac:dyDescent="0.2">
      <c r="A139" s="843">
        <v>127</v>
      </c>
      <c r="B139" s="844" t="s">
        <v>266</v>
      </c>
      <c r="C139" s="848" t="s">
        <v>267</v>
      </c>
      <c r="D139" s="956">
        <f t="shared" si="7"/>
        <v>75721</v>
      </c>
      <c r="E139" s="961">
        <v>10365</v>
      </c>
      <c r="F139" s="961">
        <v>0</v>
      </c>
      <c r="G139" s="961">
        <v>0</v>
      </c>
      <c r="H139" s="961">
        <v>0</v>
      </c>
      <c r="I139" s="962">
        <v>0</v>
      </c>
      <c r="J139" s="962">
        <v>0</v>
      </c>
      <c r="K139" s="956">
        <f t="shared" si="6"/>
        <v>65356</v>
      </c>
      <c r="L139" s="961">
        <v>0</v>
      </c>
      <c r="M139" s="961">
        <v>65356</v>
      </c>
      <c r="N139" s="961">
        <v>0</v>
      </c>
      <c r="Q139" s="960"/>
    </row>
    <row r="140" spans="1:17" x14ac:dyDescent="0.2">
      <c r="A140" s="843">
        <v>128</v>
      </c>
      <c r="B140" s="849" t="s">
        <v>268</v>
      </c>
      <c r="C140" s="32" t="s">
        <v>269</v>
      </c>
      <c r="D140" s="956">
        <f t="shared" si="7"/>
        <v>36644</v>
      </c>
      <c r="E140" s="961">
        <v>27644</v>
      </c>
      <c r="F140" s="961">
        <v>0</v>
      </c>
      <c r="G140" s="961">
        <v>0</v>
      </c>
      <c r="H140" s="961">
        <v>0</v>
      </c>
      <c r="I140" s="962">
        <v>0</v>
      </c>
      <c r="J140" s="962">
        <v>0</v>
      </c>
      <c r="K140" s="956">
        <f t="shared" si="6"/>
        <v>9000</v>
      </c>
      <c r="L140" s="961">
        <v>0</v>
      </c>
      <c r="M140" s="961">
        <v>9000</v>
      </c>
      <c r="N140" s="961">
        <v>0</v>
      </c>
      <c r="Q140" s="960"/>
    </row>
    <row r="141" spans="1:17" x14ac:dyDescent="0.2">
      <c r="A141" s="843">
        <v>129</v>
      </c>
      <c r="B141" s="847" t="s">
        <v>270</v>
      </c>
      <c r="C141" s="848" t="s">
        <v>271</v>
      </c>
      <c r="D141" s="956">
        <f t="shared" si="7"/>
        <v>78000</v>
      </c>
      <c r="E141" s="961">
        <v>0</v>
      </c>
      <c r="F141" s="961">
        <v>0</v>
      </c>
      <c r="G141" s="961">
        <v>0</v>
      </c>
      <c r="H141" s="961">
        <v>0</v>
      </c>
      <c r="I141" s="962">
        <v>0</v>
      </c>
      <c r="J141" s="962">
        <v>0</v>
      </c>
      <c r="K141" s="956">
        <f t="shared" si="6"/>
        <v>78000</v>
      </c>
      <c r="L141" s="961">
        <v>0</v>
      </c>
      <c r="M141" s="961">
        <v>78000</v>
      </c>
      <c r="N141" s="961">
        <v>0</v>
      </c>
      <c r="Q141" s="960"/>
    </row>
    <row r="142" spans="1:17" x14ac:dyDescent="0.2">
      <c r="A142" s="843">
        <v>130</v>
      </c>
      <c r="B142" s="847" t="s">
        <v>272</v>
      </c>
      <c r="C142" s="848" t="s">
        <v>273</v>
      </c>
      <c r="D142" s="956">
        <f t="shared" si="7"/>
        <v>182</v>
      </c>
      <c r="E142" s="961">
        <v>0</v>
      </c>
      <c r="F142" s="961">
        <v>0</v>
      </c>
      <c r="G142" s="961">
        <v>0</v>
      </c>
      <c r="H142" s="961">
        <v>0</v>
      </c>
      <c r="I142" s="962">
        <v>0</v>
      </c>
      <c r="J142" s="962">
        <v>0</v>
      </c>
      <c r="K142" s="956">
        <f t="shared" ref="K142:K152" si="8">L142+M142</f>
        <v>182</v>
      </c>
      <c r="L142" s="961">
        <v>0</v>
      </c>
      <c r="M142" s="961">
        <v>182</v>
      </c>
      <c r="N142" s="961">
        <v>0</v>
      </c>
      <c r="Q142" s="960"/>
    </row>
    <row r="143" spans="1:17" x14ac:dyDescent="0.2">
      <c r="A143" s="843">
        <v>131</v>
      </c>
      <c r="B143" s="847" t="s">
        <v>274</v>
      </c>
      <c r="C143" s="848" t="s">
        <v>275</v>
      </c>
      <c r="D143" s="956">
        <f t="shared" si="7"/>
        <v>57882</v>
      </c>
      <c r="E143" s="961">
        <v>0</v>
      </c>
      <c r="F143" s="961">
        <v>0</v>
      </c>
      <c r="G143" s="961">
        <v>0</v>
      </c>
      <c r="H143" s="961">
        <v>0</v>
      </c>
      <c r="I143" s="962">
        <v>3218</v>
      </c>
      <c r="J143" s="962">
        <v>1664</v>
      </c>
      <c r="K143" s="956">
        <f t="shared" si="8"/>
        <v>53000</v>
      </c>
      <c r="L143" s="961">
        <v>0</v>
      </c>
      <c r="M143" s="961">
        <v>53000</v>
      </c>
      <c r="N143" s="961">
        <v>0</v>
      </c>
      <c r="Q143" s="960"/>
    </row>
    <row r="144" spans="1:17" x14ac:dyDescent="0.2">
      <c r="A144" s="843">
        <v>132</v>
      </c>
      <c r="B144" s="849" t="s">
        <v>276</v>
      </c>
      <c r="C144" s="32" t="s">
        <v>277</v>
      </c>
      <c r="D144" s="956">
        <f t="shared" si="7"/>
        <v>13492</v>
      </c>
      <c r="E144" s="961">
        <v>0</v>
      </c>
      <c r="F144" s="961">
        <v>0</v>
      </c>
      <c r="G144" s="961">
        <v>6883</v>
      </c>
      <c r="H144" s="961">
        <v>4832</v>
      </c>
      <c r="I144" s="962">
        <v>0</v>
      </c>
      <c r="J144" s="962">
        <v>0</v>
      </c>
      <c r="K144" s="956">
        <f t="shared" si="8"/>
        <v>1777</v>
      </c>
      <c r="L144" s="961">
        <v>0</v>
      </c>
      <c r="M144" s="961">
        <v>1777</v>
      </c>
      <c r="N144" s="961">
        <v>0</v>
      </c>
      <c r="Q144" s="960"/>
    </row>
    <row r="145" spans="1:17" x14ac:dyDescent="0.2">
      <c r="A145" s="843">
        <v>133</v>
      </c>
      <c r="B145" s="846" t="s">
        <v>278</v>
      </c>
      <c r="C145" s="32" t="s">
        <v>279</v>
      </c>
      <c r="D145" s="956">
        <f t="shared" si="7"/>
        <v>60987</v>
      </c>
      <c r="E145" s="961">
        <v>0</v>
      </c>
      <c r="F145" s="961">
        <v>0</v>
      </c>
      <c r="G145" s="961">
        <v>14447</v>
      </c>
      <c r="H145" s="961">
        <v>41849</v>
      </c>
      <c r="I145" s="962">
        <v>230</v>
      </c>
      <c r="J145" s="962">
        <v>98</v>
      </c>
      <c r="K145" s="956">
        <f t="shared" si="8"/>
        <v>4363</v>
      </c>
      <c r="L145" s="961">
        <v>0</v>
      </c>
      <c r="M145" s="961">
        <v>4363</v>
      </c>
      <c r="N145" s="961">
        <v>0</v>
      </c>
      <c r="Q145" s="960"/>
    </row>
    <row r="146" spans="1:17" x14ac:dyDescent="0.2">
      <c r="A146" s="843">
        <v>134</v>
      </c>
      <c r="B146" s="847" t="s">
        <v>280</v>
      </c>
      <c r="C146" s="848" t="s">
        <v>281</v>
      </c>
      <c r="D146" s="956">
        <f t="shared" si="7"/>
        <v>3200</v>
      </c>
      <c r="E146" s="961">
        <v>0</v>
      </c>
      <c r="F146" s="961">
        <v>0</v>
      </c>
      <c r="G146" s="961">
        <v>0</v>
      </c>
      <c r="H146" s="961">
        <v>0</v>
      </c>
      <c r="I146" s="962">
        <v>0</v>
      </c>
      <c r="J146" s="962">
        <v>0</v>
      </c>
      <c r="K146" s="956">
        <f t="shared" si="8"/>
        <v>3200</v>
      </c>
      <c r="L146" s="961">
        <f>1650-1450</f>
        <v>200</v>
      </c>
      <c r="M146" s="961">
        <v>3000</v>
      </c>
      <c r="N146" s="961">
        <v>0</v>
      </c>
      <c r="Q146" s="960"/>
    </row>
    <row r="147" spans="1:17" x14ac:dyDescent="0.2">
      <c r="A147" s="843">
        <v>135</v>
      </c>
      <c r="B147" s="844" t="s">
        <v>282</v>
      </c>
      <c r="C147" s="845" t="s">
        <v>283</v>
      </c>
      <c r="D147" s="956">
        <f t="shared" si="7"/>
        <v>14805</v>
      </c>
      <c r="E147" s="961">
        <v>0</v>
      </c>
      <c r="F147" s="961">
        <v>0</v>
      </c>
      <c r="G147" s="961">
        <v>0</v>
      </c>
      <c r="H147" s="961">
        <v>0</v>
      </c>
      <c r="I147" s="962">
        <v>0</v>
      </c>
      <c r="J147" s="962">
        <v>0</v>
      </c>
      <c r="K147" s="956">
        <f t="shared" si="8"/>
        <v>14805</v>
      </c>
      <c r="L147" s="961">
        <v>0</v>
      </c>
      <c r="M147" s="961">
        <v>14805</v>
      </c>
      <c r="N147" s="961">
        <v>0</v>
      </c>
      <c r="Q147" s="960"/>
    </row>
    <row r="148" spans="1:17" ht="12.75" x14ac:dyDescent="0.2">
      <c r="A148" s="843">
        <v>136</v>
      </c>
      <c r="B148" s="857" t="s">
        <v>284</v>
      </c>
      <c r="C148" s="858" t="s">
        <v>285</v>
      </c>
      <c r="D148" s="956">
        <f t="shared" si="7"/>
        <v>0</v>
      </c>
      <c r="E148" s="961">
        <v>0</v>
      </c>
      <c r="F148" s="961">
        <v>0</v>
      </c>
      <c r="G148" s="961">
        <v>0</v>
      </c>
      <c r="H148" s="961">
        <v>0</v>
      </c>
      <c r="I148" s="962">
        <v>0</v>
      </c>
      <c r="J148" s="962">
        <v>0</v>
      </c>
      <c r="K148" s="956">
        <f t="shared" si="8"/>
        <v>0</v>
      </c>
      <c r="L148" s="961">
        <v>0</v>
      </c>
      <c r="M148" s="961">
        <v>0</v>
      </c>
      <c r="N148" s="961">
        <v>0</v>
      </c>
      <c r="Q148" s="960"/>
    </row>
    <row r="149" spans="1:17" x14ac:dyDescent="0.2">
      <c r="A149" s="843">
        <v>137</v>
      </c>
      <c r="B149" s="40" t="s">
        <v>387</v>
      </c>
      <c r="C149" s="859" t="s">
        <v>388</v>
      </c>
      <c r="D149" s="956">
        <f t="shared" si="7"/>
        <v>0</v>
      </c>
      <c r="E149" s="961">
        <v>0</v>
      </c>
      <c r="F149" s="963">
        <v>0</v>
      </c>
      <c r="G149" s="961"/>
      <c r="H149" s="961"/>
      <c r="I149" s="963"/>
      <c r="J149" s="963"/>
      <c r="K149" s="956">
        <f t="shared" si="8"/>
        <v>0</v>
      </c>
      <c r="L149" s="963">
        <v>0</v>
      </c>
      <c r="M149" s="963"/>
      <c r="N149" s="963">
        <v>0</v>
      </c>
      <c r="Q149" s="960"/>
    </row>
    <row r="150" spans="1:17" x14ac:dyDescent="0.2">
      <c r="A150" s="843">
        <v>138</v>
      </c>
      <c r="B150" s="41" t="s">
        <v>389</v>
      </c>
      <c r="C150" s="860" t="s">
        <v>390</v>
      </c>
      <c r="D150" s="956">
        <f t="shared" si="7"/>
        <v>0</v>
      </c>
      <c r="E150" s="961">
        <v>0</v>
      </c>
      <c r="F150" s="964">
        <v>0</v>
      </c>
      <c r="G150" s="961"/>
      <c r="H150" s="961"/>
      <c r="I150" s="964"/>
      <c r="J150" s="964"/>
      <c r="K150" s="956">
        <f t="shared" si="8"/>
        <v>0</v>
      </c>
      <c r="L150" s="963">
        <v>0</v>
      </c>
      <c r="M150" s="963"/>
      <c r="N150" s="963">
        <v>0</v>
      </c>
      <c r="Q150" s="960"/>
    </row>
    <row r="151" spans="1:17" x14ac:dyDescent="0.2">
      <c r="A151" s="843">
        <v>139</v>
      </c>
      <c r="B151" s="42" t="s">
        <v>391</v>
      </c>
      <c r="C151" s="861" t="s">
        <v>392</v>
      </c>
      <c r="D151" s="956">
        <f t="shared" si="7"/>
        <v>0</v>
      </c>
      <c r="E151" s="961">
        <v>0</v>
      </c>
      <c r="F151" s="964">
        <v>0</v>
      </c>
      <c r="G151" s="961"/>
      <c r="H151" s="961"/>
      <c r="I151" s="963"/>
      <c r="J151" s="963"/>
      <c r="K151" s="956">
        <f t="shared" si="8"/>
        <v>0</v>
      </c>
      <c r="L151" s="963">
        <v>0</v>
      </c>
      <c r="M151" s="963"/>
      <c r="N151" s="963">
        <v>0</v>
      </c>
      <c r="Q151" s="960"/>
    </row>
    <row r="152" spans="1:17" x14ac:dyDescent="0.2">
      <c r="A152" s="843">
        <v>140</v>
      </c>
      <c r="B152" s="843" t="s">
        <v>393</v>
      </c>
      <c r="C152" s="862" t="s">
        <v>394</v>
      </c>
      <c r="D152" s="956">
        <f t="shared" si="7"/>
        <v>0</v>
      </c>
      <c r="E152" s="961">
        <v>0</v>
      </c>
      <c r="F152" s="963">
        <v>0</v>
      </c>
      <c r="G152" s="961"/>
      <c r="H152" s="961"/>
      <c r="I152" s="963"/>
      <c r="J152" s="963"/>
      <c r="K152" s="956">
        <f t="shared" si="8"/>
        <v>0</v>
      </c>
      <c r="L152" s="963">
        <v>0</v>
      </c>
      <c r="M152" s="963"/>
      <c r="N152" s="963">
        <v>0</v>
      </c>
      <c r="Q152" s="960"/>
    </row>
    <row r="158" spans="1:17" x14ac:dyDescent="0.2">
      <c r="D158" s="953"/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2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1"/>
  <sheetViews>
    <sheetView zoomScaleNormal="100" workbookViewId="0">
      <pane xSplit="3" ySplit="6" topLeftCell="D88" activePane="bottomRight" state="frozen"/>
      <selection pane="topRight" activeCell="D1" sqref="D1"/>
      <selection pane="bottomLeft" activeCell="A7" sqref="A7"/>
      <selection pane="bottomRight" activeCell="K157" sqref="K157"/>
    </sheetView>
  </sheetViews>
  <sheetFormatPr defaultRowHeight="12" x14ac:dyDescent="0.2"/>
  <cols>
    <col min="1" max="2" width="9.140625" style="965"/>
    <col min="3" max="3" width="28" style="965" customWidth="1"/>
    <col min="4" max="4" width="17.42578125" style="965" customWidth="1"/>
    <col min="5" max="5" width="16.28515625" style="965" customWidth="1"/>
    <col min="6" max="6" width="14.7109375" style="965" customWidth="1"/>
    <col min="7" max="7" width="13.42578125" style="965" customWidth="1"/>
    <col min="8" max="8" width="13.85546875" style="965" customWidth="1"/>
    <col min="9" max="16384" width="9.140625" style="965"/>
  </cols>
  <sheetData>
    <row r="1" spans="1:8" ht="45.75" customHeight="1" x14ac:dyDescent="0.2">
      <c r="A1" s="1090" t="s">
        <v>355</v>
      </c>
      <c r="B1" s="1090"/>
      <c r="C1" s="1090"/>
      <c r="D1" s="1090"/>
      <c r="E1" s="1090"/>
      <c r="F1" s="1090"/>
      <c r="G1" s="1090"/>
      <c r="H1" s="1090"/>
    </row>
    <row r="2" spans="1:8" ht="12" customHeight="1" x14ac:dyDescent="0.2">
      <c r="A2" s="1091" t="s">
        <v>0</v>
      </c>
      <c r="B2" s="1094" t="s">
        <v>1</v>
      </c>
      <c r="C2" s="1091" t="s">
        <v>2</v>
      </c>
      <c r="D2" s="1097" t="s">
        <v>352</v>
      </c>
      <c r="E2" s="1097"/>
      <c r="F2" s="1097"/>
      <c r="G2" s="1097"/>
      <c r="H2" s="1097"/>
    </row>
    <row r="3" spans="1:8" ht="12.75" customHeight="1" x14ac:dyDescent="0.2">
      <c r="A3" s="1092"/>
      <c r="B3" s="1095"/>
      <c r="C3" s="1092"/>
      <c r="D3" s="1091" t="s">
        <v>3</v>
      </c>
      <c r="E3" s="1098" t="s">
        <v>4</v>
      </c>
      <c r="F3" s="1099"/>
      <c r="G3" s="1099"/>
      <c r="H3" s="1100"/>
    </row>
    <row r="4" spans="1:8" ht="12.75" customHeight="1" x14ac:dyDescent="0.2">
      <c r="A4" s="1092"/>
      <c r="B4" s="1095"/>
      <c r="C4" s="1092"/>
      <c r="D4" s="1092"/>
      <c r="E4" s="1101" t="s">
        <v>340</v>
      </c>
      <c r="F4" s="1103" t="s">
        <v>341</v>
      </c>
      <c r="G4" s="1104"/>
      <c r="H4" s="1105" t="s">
        <v>353</v>
      </c>
    </row>
    <row r="5" spans="1:8" ht="36" x14ac:dyDescent="0.2">
      <c r="A5" s="1093"/>
      <c r="B5" s="1096"/>
      <c r="C5" s="1093"/>
      <c r="D5" s="1093"/>
      <c r="E5" s="1102"/>
      <c r="F5" s="966" t="s">
        <v>345</v>
      </c>
      <c r="G5" s="967" t="s">
        <v>346</v>
      </c>
      <c r="H5" s="1102"/>
    </row>
    <row r="6" spans="1:8" s="972" customFormat="1" ht="11.25" x14ac:dyDescent="0.2">
      <c r="A6" s="968">
        <v>1</v>
      </c>
      <c r="B6" s="968">
        <v>2</v>
      </c>
      <c r="C6" s="968">
        <v>3</v>
      </c>
      <c r="D6" s="969">
        <v>4</v>
      </c>
      <c r="E6" s="970">
        <v>5</v>
      </c>
      <c r="F6" s="970">
        <v>6</v>
      </c>
      <c r="G6" s="970">
        <v>7</v>
      </c>
      <c r="H6" s="971">
        <v>8</v>
      </c>
    </row>
    <row r="7" spans="1:8" s="972" customFormat="1" x14ac:dyDescent="0.2">
      <c r="A7" s="1066" t="s">
        <v>6</v>
      </c>
      <c r="B7" s="1066"/>
      <c r="C7" s="1066"/>
      <c r="D7" s="973">
        <f>D9+D8</f>
        <v>2373428</v>
      </c>
      <c r="E7" s="973">
        <f t="shared" ref="E7:H7" si="0">E9+E8</f>
        <v>67170</v>
      </c>
      <c r="F7" s="973">
        <f t="shared" si="0"/>
        <v>443777</v>
      </c>
      <c r="G7" s="973">
        <f t="shared" si="0"/>
        <v>1627511</v>
      </c>
      <c r="H7" s="973">
        <f t="shared" si="0"/>
        <v>234970</v>
      </c>
    </row>
    <row r="8" spans="1:8" s="972" customFormat="1" ht="12" customHeight="1" x14ac:dyDescent="0.2">
      <c r="A8" s="1067" t="s">
        <v>14</v>
      </c>
      <c r="B8" s="1068"/>
      <c r="C8" s="1069"/>
      <c r="D8" s="970">
        <f>E8+F8+G8+H8</f>
        <v>0</v>
      </c>
      <c r="E8" s="970">
        <v>0</v>
      </c>
      <c r="F8" s="970">
        <v>0</v>
      </c>
      <c r="G8" s="970">
        <v>0</v>
      </c>
      <c r="H8" s="969">
        <v>0</v>
      </c>
    </row>
    <row r="9" spans="1:8" s="972" customFormat="1" ht="12" customHeight="1" x14ac:dyDescent="0.2">
      <c r="A9" s="1067" t="s">
        <v>15</v>
      </c>
      <c r="B9" s="1068"/>
      <c r="C9" s="1069"/>
      <c r="D9" s="973">
        <f>SUM(D10:D151)</f>
        <v>2373428</v>
      </c>
      <c r="E9" s="973">
        <f t="shared" ref="E9:H9" si="1">SUM(E10:E151)</f>
        <v>67170</v>
      </c>
      <c r="F9" s="973">
        <f t="shared" si="1"/>
        <v>443777</v>
      </c>
      <c r="G9" s="973">
        <f t="shared" si="1"/>
        <v>1627511</v>
      </c>
      <c r="H9" s="973">
        <f t="shared" si="1"/>
        <v>234970</v>
      </c>
    </row>
    <row r="10" spans="1:8" x14ac:dyDescent="0.2">
      <c r="A10" s="843">
        <v>1</v>
      </c>
      <c r="B10" s="844" t="s">
        <v>16</v>
      </c>
      <c r="C10" s="845" t="s">
        <v>17</v>
      </c>
      <c r="D10" s="970">
        <f t="shared" ref="D10:D73" si="2">E10+F10+G10+H10</f>
        <v>6570</v>
      </c>
      <c r="E10" s="974">
        <v>0</v>
      </c>
      <c r="F10" s="974">
        <v>1900</v>
      </c>
      <c r="G10" s="974">
        <v>4670</v>
      </c>
      <c r="H10" s="974">
        <v>0</v>
      </c>
    </row>
    <row r="11" spans="1:8" x14ac:dyDescent="0.2">
      <c r="A11" s="843">
        <v>2</v>
      </c>
      <c r="B11" s="846" t="s">
        <v>18</v>
      </c>
      <c r="C11" s="845" t="s">
        <v>19</v>
      </c>
      <c r="D11" s="970">
        <f t="shared" si="2"/>
        <v>3933</v>
      </c>
      <c r="E11" s="974">
        <v>0</v>
      </c>
      <c r="F11" s="974">
        <v>620</v>
      </c>
      <c r="G11" s="974">
        <v>3313</v>
      </c>
      <c r="H11" s="974">
        <v>0</v>
      </c>
    </row>
    <row r="12" spans="1:8" x14ac:dyDescent="0.2">
      <c r="A12" s="843">
        <v>3</v>
      </c>
      <c r="B12" s="847" t="s">
        <v>20</v>
      </c>
      <c r="C12" s="848" t="s">
        <v>21</v>
      </c>
      <c r="D12" s="970">
        <f t="shared" si="2"/>
        <v>28814</v>
      </c>
      <c r="E12" s="974">
        <v>0</v>
      </c>
      <c r="F12" s="974">
        <v>2806</v>
      </c>
      <c r="G12" s="974">
        <v>16717</v>
      </c>
      <c r="H12" s="974">
        <v>9291</v>
      </c>
    </row>
    <row r="13" spans="1:8" x14ac:dyDescent="0.2">
      <c r="A13" s="843">
        <v>4</v>
      </c>
      <c r="B13" s="844" t="s">
        <v>22</v>
      </c>
      <c r="C13" s="845" t="s">
        <v>23</v>
      </c>
      <c r="D13" s="970">
        <f t="shared" si="2"/>
        <v>8721</v>
      </c>
      <c r="E13" s="974">
        <v>0</v>
      </c>
      <c r="F13" s="974">
        <v>1920</v>
      </c>
      <c r="G13" s="974">
        <v>6801</v>
      </c>
      <c r="H13" s="974">
        <v>0</v>
      </c>
    </row>
    <row r="14" spans="1:8" ht="18.75" customHeight="1" x14ac:dyDescent="0.2">
      <c r="A14" s="843">
        <v>5</v>
      </c>
      <c r="B14" s="844" t="s">
        <v>24</v>
      </c>
      <c r="C14" s="845" t="s">
        <v>25</v>
      </c>
      <c r="D14" s="970">
        <f t="shared" si="2"/>
        <v>8613</v>
      </c>
      <c r="E14" s="974">
        <v>0</v>
      </c>
      <c r="F14" s="974">
        <v>4175</v>
      </c>
      <c r="G14" s="974">
        <v>4438</v>
      </c>
      <c r="H14" s="974">
        <v>0</v>
      </c>
    </row>
    <row r="15" spans="1:8" x14ac:dyDescent="0.2">
      <c r="A15" s="843">
        <v>6</v>
      </c>
      <c r="B15" s="847" t="s">
        <v>26</v>
      </c>
      <c r="C15" s="848" t="s">
        <v>27</v>
      </c>
      <c r="D15" s="970">
        <f t="shared" si="2"/>
        <v>114657</v>
      </c>
      <c r="E15" s="974">
        <v>0</v>
      </c>
      <c r="F15" s="974">
        <v>22479</v>
      </c>
      <c r="G15" s="974">
        <v>76082</v>
      </c>
      <c r="H15" s="974">
        <v>16096</v>
      </c>
    </row>
    <row r="16" spans="1:8" x14ac:dyDescent="0.2">
      <c r="A16" s="843">
        <v>7</v>
      </c>
      <c r="B16" s="849" t="s">
        <v>28</v>
      </c>
      <c r="C16" s="32" t="s">
        <v>29</v>
      </c>
      <c r="D16" s="970">
        <f t="shared" si="2"/>
        <v>51712</v>
      </c>
      <c r="E16" s="974">
        <v>0</v>
      </c>
      <c r="F16" s="974">
        <v>4765</v>
      </c>
      <c r="G16" s="974">
        <v>38989</v>
      </c>
      <c r="H16" s="974">
        <f>8201-243</f>
        <v>7958</v>
      </c>
    </row>
    <row r="17" spans="1:8" x14ac:dyDescent="0.2">
      <c r="A17" s="843">
        <v>8</v>
      </c>
      <c r="B17" s="847" t="s">
        <v>30</v>
      </c>
      <c r="C17" s="848" t="s">
        <v>31</v>
      </c>
      <c r="D17" s="970">
        <f t="shared" si="2"/>
        <v>15639</v>
      </c>
      <c r="E17" s="974">
        <v>0</v>
      </c>
      <c r="F17" s="974">
        <v>6160</v>
      </c>
      <c r="G17" s="974">
        <v>9479</v>
      </c>
      <c r="H17" s="974">
        <v>0</v>
      </c>
    </row>
    <row r="18" spans="1:8" x14ac:dyDescent="0.2">
      <c r="A18" s="843">
        <v>9</v>
      </c>
      <c r="B18" s="847" t="s">
        <v>32</v>
      </c>
      <c r="C18" s="848" t="s">
        <v>33</v>
      </c>
      <c r="D18" s="970">
        <f t="shared" si="2"/>
        <v>12163</v>
      </c>
      <c r="E18" s="974">
        <v>0</v>
      </c>
      <c r="F18" s="974">
        <v>1858</v>
      </c>
      <c r="G18" s="974">
        <v>10305</v>
      </c>
      <c r="H18" s="974">
        <v>0</v>
      </c>
    </row>
    <row r="19" spans="1:8" x14ac:dyDescent="0.2">
      <c r="A19" s="843">
        <v>10</v>
      </c>
      <c r="B19" s="847" t="s">
        <v>34</v>
      </c>
      <c r="C19" s="848" t="s">
        <v>35</v>
      </c>
      <c r="D19" s="970">
        <f t="shared" si="2"/>
        <v>9626</v>
      </c>
      <c r="E19" s="974">
        <v>0</v>
      </c>
      <c r="F19" s="974">
        <v>3844</v>
      </c>
      <c r="G19" s="974">
        <v>5782</v>
      </c>
      <c r="H19" s="974">
        <v>0</v>
      </c>
    </row>
    <row r="20" spans="1:8" x14ac:dyDescent="0.2">
      <c r="A20" s="843">
        <v>11</v>
      </c>
      <c r="B20" s="847" t="s">
        <v>36</v>
      </c>
      <c r="C20" s="848" t="s">
        <v>37</v>
      </c>
      <c r="D20" s="970">
        <f t="shared" si="2"/>
        <v>6293</v>
      </c>
      <c r="E20" s="974">
        <v>0</v>
      </c>
      <c r="F20" s="974">
        <v>3496</v>
      </c>
      <c r="G20" s="974">
        <v>2797</v>
      </c>
      <c r="H20" s="974">
        <v>0</v>
      </c>
    </row>
    <row r="21" spans="1:8" x14ac:dyDescent="0.2">
      <c r="A21" s="843">
        <v>12</v>
      </c>
      <c r="B21" s="847" t="s">
        <v>38</v>
      </c>
      <c r="C21" s="848" t="s">
        <v>39</v>
      </c>
      <c r="D21" s="970">
        <f t="shared" si="2"/>
        <v>25572</v>
      </c>
      <c r="E21" s="974">
        <v>0</v>
      </c>
      <c r="F21" s="974">
        <v>3175</v>
      </c>
      <c r="G21" s="974">
        <v>22397</v>
      </c>
      <c r="H21" s="974">
        <v>0</v>
      </c>
    </row>
    <row r="22" spans="1:8" x14ac:dyDescent="0.2">
      <c r="A22" s="850">
        <v>13</v>
      </c>
      <c r="B22" s="847" t="s">
        <v>40</v>
      </c>
      <c r="C22" s="848" t="s">
        <v>41</v>
      </c>
      <c r="D22" s="970">
        <f t="shared" si="2"/>
        <v>0</v>
      </c>
      <c r="E22" s="974">
        <v>0</v>
      </c>
      <c r="F22" s="974">
        <v>0</v>
      </c>
      <c r="G22" s="974">
        <v>0</v>
      </c>
      <c r="H22" s="974">
        <v>0</v>
      </c>
    </row>
    <row r="23" spans="1:8" ht="16.5" customHeight="1" x14ac:dyDescent="0.2">
      <c r="A23" s="843">
        <v>14</v>
      </c>
      <c r="B23" s="844" t="s">
        <v>42</v>
      </c>
      <c r="C23" s="848" t="s">
        <v>43</v>
      </c>
      <c r="D23" s="970">
        <f t="shared" si="2"/>
        <v>0</v>
      </c>
      <c r="E23" s="974">
        <v>0</v>
      </c>
      <c r="F23" s="974">
        <v>0</v>
      </c>
      <c r="G23" s="974">
        <v>0</v>
      </c>
      <c r="H23" s="974">
        <v>0</v>
      </c>
    </row>
    <row r="24" spans="1:8" x14ac:dyDescent="0.2">
      <c r="A24" s="850">
        <v>15</v>
      </c>
      <c r="B24" s="847" t="s">
        <v>44</v>
      </c>
      <c r="C24" s="848" t="s">
        <v>45</v>
      </c>
      <c r="D24" s="970">
        <f t="shared" si="2"/>
        <v>20569</v>
      </c>
      <c r="E24" s="974">
        <v>0</v>
      </c>
      <c r="F24" s="974">
        <v>2309</v>
      </c>
      <c r="G24" s="974">
        <v>18260</v>
      </c>
      <c r="H24" s="974">
        <v>0</v>
      </c>
    </row>
    <row r="25" spans="1:8" x14ac:dyDescent="0.2">
      <c r="A25" s="843">
        <v>16</v>
      </c>
      <c r="B25" s="847" t="s">
        <v>46</v>
      </c>
      <c r="C25" s="848" t="s">
        <v>47</v>
      </c>
      <c r="D25" s="970">
        <f t="shared" si="2"/>
        <v>31723</v>
      </c>
      <c r="E25" s="974">
        <v>0</v>
      </c>
      <c r="F25" s="974">
        <v>15143</v>
      </c>
      <c r="G25" s="974">
        <v>16580</v>
      </c>
      <c r="H25" s="974">
        <v>0</v>
      </c>
    </row>
    <row r="26" spans="1:8" x14ac:dyDescent="0.2">
      <c r="A26" s="850">
        <v>17</v>
      </c>
      <c r="B26" s="847" t="s">
        <v>48</v>
      </c>
      <c r="C26" s="848" t="s">
        <v>49</v>
      </c>
      <c r="D26" s="970">
        <f t="shared" si="2"/>
        <v>33698</v>
      </c>
      <c r="E26" s="974">
        <v>0</v>
      </c>
      <c r="F26" s="974">
        <v>11760</v>
      </c>
      <c r="G26" s="974">
        <v>21938</v>
      </c>
      <c r="H26" s="974">
        <v>0</v>
      </c>
    </row>
    <row r="27" spans="1:8" x14ac:dyDescent="0.2">
      <c r="A27" s="843">
        <v>18</v>
      </c>
      <c r="B27" s="847" t="s">
        <v>50</v>
      </c>
      <c r="C27" s="848" t="s">
        <v>51</v>
      </c>
      <c r="D27" s="970">
        <f t="shared" si="2"/>
        <v>63363</v>
      </c>
      <c r="E27" s="974">
        <v>0</v>
      </c>
      <c r="F27" s="974">
        <v>11900</v>
      </c>
      <c r="G27" s="974">
        <v>37203</v>
      </c>
      <c r="H27" s="974">
        <v>14260</v>
      </c>
    </row>
    <row r="28" spans="1:8" x14ac:dyDescent="0.2">
      <c r="A28" s="850">
        <v>19</v>
      </c>
      <c r="B28" s="844" t="s">
        <v>52</v>
      </c>
      <c r="C28" s="845" t="s">
        <v>53</v>
      </c>
      <c r="D28" s="970">
        <f t="shared" si="2"/>
        <v>6786</v>
      </c>
      <c r="E28" s="974">
        <v>0</v>
      </c>
      <c r="F28" s="974">
        <v>1870</v>
      </c>
      <c r="G28" s="974">
        <v>4916</v>
      </c>
      <c r="H28" s="974">
        <v>0</v>
      </c>
    </row>
    <row r="29" spans="1:8" x14ac:dyDescent="0.2">
      <c r="A29" s="843">
        <v>20</v>
      </c>
      <c r="B29" s="844" t="s">
        <v>54</v>
      </c>
      <c r="C29" s="845" t="s">
        <v>55</v>
      </c>
      <c r="D29" s="970">
        <f t="shared" si="2"/>
        <v>8801</v>
      </c>
      <c r="E29" s="974">
        <v>0</v>
      </c>
      <c r="F29" s="974">
        <v>1940</v>
      </c>
      <c r="G29" s="974">
        <v>6861</v>
      </c>
      <c r="H29" s="974">
        <v>0</v>
      </c>
    </row>
    <row r="30" spans="1:8" x14ac:dyDescent="0.2">
      <c r="A30" s="850">
        <v>21</v>
      </c>
      <c r="B30" s="844" t="s">
        <v>56</v>
      </c>
      <c r="C30" s="845" t="s">
        <v>57</v>
      </c>
      <c r="D30" s="970">
        <f t="shared" si="2"/>
        <v>46053</v>
      </c>
      <c r="E30" s="974">
        <v>0</v>
      </c>
      <c r="F30" s="974">
        <v>14077</v>
      </c>
      <c r="G30" s="974">
        <v>31976</v>
      </c>
      <c r="H30" s="974">
        <v>0</v>
      </c>
    </row>
    <row r="31" spans="1:8" x14ac:dyDescent="0.2">
      <c r="A31" s="843">
        <v>22</v>
      </c>
      <c r="B31" s="844" t="s">
        <v>58</v>
      </c>
      <c r="C31" s="845" t="s">
        <v>59</v>
      </c>
      <c r="D31" s="970">
        <f t="shared" si="2"/>
        <v>42982</v>
      </c>
      <c r="E31" s="974">
        <v>0</v>
      </c>
      <c r="F31" s="974">
        <v>6121</v>
      </c>
      <c r="G31" s="974">
        <v>27695</v>
      </c>
      <c r="H31" s="974">
        <v>9166</v>
      </c>
    </row>
    <row r="32" spans="1:8" x14ac:dyDescent="0.2">
      <c r="A32" s="850">
        <v>23</v>
      </c>
      <c r="B32" s="847" t="s">
        <v>60</v>
      </c>
      <c r="C32" s="848" t="s">
        <v>61</v>
      </c>
      <c r="D32" s="970">
        <f t="shared" si="2"/>
        <v>6367</v>
      </c>
      <c r="E32" s="974">
        <v>0</v>
      </c>
      <c r="F32" s="974">
        <v>1318</v>
      </c>
      <c r="G32" s="974">
        <v>5049</v>
      </c>
      <c r="H32" s="974">
        <v>0</v>
      </c>
    </row>
    <row r="33" spans="1:8" x14ac:dyDescent="0.2">
      <c r="A33" s="843">
        <v>24</v>
      </c>
      <c r="B33" s="847" t="s">
        <v>62</v>
      </c>
      <c r="C33" s="848" t="s">
        <v>63</v>
      </c>
      <c r="D33" s="970">
        <f t="shared" si="2"/>
        <v>0</v>
      </c>
      <c r="E33" s="974">
        <v>0</v>
      </c>
      <c r="F33" s="974">
        <v>0</v>
      </c>
      <c r="G33" s="974">
        <v>0</v>
      </c>
      <c r="H33" s="974">
        <v>0</v>
      </c>
    </row>
    <row r="34" spans="1:8" ht="24" x14ac:dyDescent="0.2">
      <c r="A34" s="850">
        <v>25</v>
      </c>
      <c r="B34" s="847" t="s">
        <v>64</v>
      </c>
      <c r="C34" s="848" t="s">
        <v>65</v>
      </c>
      <c r="D34" s="970">
        <f t="shared" si="2"/>
        <v>0</v>
      </c>
      <c r="E34" s="974">
        <v>0</v>
      </c>
      <c r="F34" s="974">
        <v>0</v>
      </c>
      <c r="G34" s="974">
        <v>0</v>
      </c>
      <c r="H34" s="974">
        <v>0</v>
      </c>
    </row>
    <row r="35" spans="1:8" x14ac:dyDescent="0.2">
      <c r="A35" s="843">
        <v>26</v>
      </c>
      <c r="B35" s="844" t="s">
        <v>66</v>
      </c>
      <c r="C35" s="32" t="s">
        <v>67</v>
      </c>
      <c r="D35" s="970">
        <f t="shared" si="2"/>
        <v>58718</v>
      </c>
      <c r="E35" s="974">
        <v>0</v>
      </c>
      <c r="F35" s="974">
        <v>17190</v>
      </c>
      <c r="G35" s="974">
        <v>20886</v>
      </c>
      <c r="H35" s="974">
        <f>20217+425</f>
        <v>20642</v>
      </c>
    </row>
    <row r="36" spans="1:8" x14ac:dyDescent="0.2">
      <c r="A36" s="850">
        <v>27</v>
      </c>
      <c r="B36" s="847" t="s">
        <v>68</v>
      </c>
      <c r="C36" s="848" t="s">
        <v>69</v>
      </c>
      <c r="D36" s="970">
        <f t="shared" si="2"/>
        <v>29483</v>
      </c>
      <c r="E36" s="974">
        <v>0</v>
      </c>
      <c r="F36" s="974">
        <v>6318</v>
      </c>
      <c r="G36" s="974">
        <v>23165</v>
      </c>
      <c r="H36" s="974">
        <v>0</v>
      </c>
    </row>
    <row r="37" spans="1:8" x14ac:dyDescent="0.2">
      <c r="A37" s="843">
        <v>28</v>
      </c>
      <c r="B37" s="847" t="s">
        <v>70</v>
      </c>
      <c r="C37" s="848" t="s">
        <v>71</v>
      </c>
      <c r="D37" s="970">
        <f t="shared" si="2"/>
        <v>64159</v>
      </c>
      <c r="E37" s="974">
        <v>0</v>
      </c>
      <c r="F37" s="974">
        <v>1224</v>
      </c>
      <c r="G37" s="974">
        <v>56878</v>
      </c>
      <c r="H37" s="974">
        <v>6057</v>
      </c>
    </row>
    <row r="38" spans="1:8" x14ac:dyDescent="0.2">
      <c r="A38" s="850">
        <v>29</v>
      </c>
      <c r="B38" s="846" t="s">
        <v>72</v>
      </c>
      <c r="C38" s="32" t="s">
        <v>73</v>
      </c>
      <c r="D38" s="970">
        <f t="shared" si="2"/>
        <v>0</v>
      </c>
      <c r="E38" s="974">
        <v>0</v>
      </c>
      <c r="F38" s="974">
        <v>0</v>
      </c>
      <c r="G38" s="974">
        <v>0</v>
      </c>
      <c r="H38" s="974">
        <v>0</v>
      </c>
    </row>
    <row r="39" spans="1:8" x14ac:dyDescent="0.2">
      <c r="A39" s="843">
        <v>30</v>
      </c>
      <c r="B39" s="844" t="s">
        <v>74</v>
      </c>
      <c r="C39" s="845" t="s">
        <v>357</v>
      </c>
      <c r="D39" s="970">
        <f t="shared" si="2"/>
        <v>0</v>
      </c>
      <c r="E39" s="974">
        <v>0</v>
      </c>
      <c r="F39" s="974">
        <v>0</v>
      </c>
      <c r="G39" s="974">
        <v>0</v>
      </c>
      <c r="H39" s="974">
        <v>0</v>
      </c>
    </row>
    <row r="40" spans="1:8" ht="24" x14ac:dyDescent="0.2">
      <c r="A40" s="850">
        <v>31</v>
      </c>
      <c r="B40" s="847" t="s">
        <v>75</v>
      </c>
      <c r="C40" s="848" t="s">
        <v>76</v>
      </c>
      <c r="D40" s="970">
        <f t="shared" si="2"/>
        <v>1211</v>
      </c>
      <c r="E40" s="974">
        <v>0</v>
      </c>
      <c r="F40" s="974">
        <v>220</v>
      </c>
      <c r="G40" s="974">
        <v>991</v>
      </c>
      <c r="H40" s="974">
        <v>0</v>
      </c>
    </row>
    <row r="41" spans="1:8" x14ac:dyDescent="0.2">
      <c r="A41" s="843">
        <v>32</v>
      </c>
      <c r="B41" s="846" t="s">
        <v>77</v>
      </c>
      <c r="C41" s="845" t="s">
        <v>78</v>
      </c>
      <c r="D41" s="970">
        <f t="shared" si="2"/>
        <v>64975</v>
      </c>
      <c r="E41" s="974">
        <v>0</v>
      </c>
      <c r="F41" s="974">
        <v>14276</v>
      </c>
      <c r="G41" s="974">
        <v>42695</v>
      </c>
      <c r="H41" s="974">
        <v>8004</v>
      </c>
    </row>
    <row r="42" spans="1:8" x14ac:dyDescent="0.2">
      <c r="A42" s="850">
        <v>33</v>
      </c>
      <c r="B42" s="849" t="s">
        <v>79</v>
      </c>
      <c r="C42" s="32" t="s">
        <v>80</v>
      </c>
      <c r="D42" s="970">
        <f t="shared" si="2"/>
        <v>70079</v>
      </c>
      <c r="E42" s="974">
        <v>0</v>
      </c>
      <c r="F42" s="974">
        <v>13000</v>
      </c>
      <c r="G42" s="974">
        <v>43265</v>
      </c>
      <c r="H42" s="974">
        <v>13814</v>
      </c>
    </row>
    <row r="43" spans="1:8" x14ac:dyDescent="0.2">
      <c r="A43" s="843">
        <v>34</v>
      </c>
      <c r="B43" s="846" t="s">
        <v>81</v>
      </c>
      <c r="C43" s="845" t="s">
        <v>82</v>
      </c>
      <c r="D43" s="970">
        <f t="shared" si="2"/>
        <v>14944</v>
      </c>
      <c r="E43" s="974">
        <v>0</v>
      </c>
      <c r="F43" s="974">
        <v>5310</v>
      </c>
      <c r="G43" s="974">
        <v>9634</v>
      </c>
      <c r="H43" s="974">
        <v>0</v>
      </c>
    </row>
    <row r="44" spans="1:8" x14ac:dyDescent="0.2">
      <c r="A44" s="850">
        <v>35</v>
      </c>
      <c r="B44" s="847" t="s">
        <v>83</v>
      </c>
      <c r="C44" s="848" t="s">
        <v>84</v>
      </c>
      <c r="D44" s="970">
        <f t="shared" si="2"/>
        <v>43340</v>
      </c>
      <c r="E44" s="974">
        <v>0</v>
      </c>
      <c r="F44" s="974">
        <v>10191</v>
      </c>
      <c r="G44" s="974">
        <v>28749</v>
      </c>
      <c r="H44" s="974">
        <f>4825-425</f>
        <v>4400</v>
      </c>
    </row>
    <row r="45" spans="1:8" x14ac:dyDescent="0.2">
      <c r="A45" s="843">
        <v>36</v>
      </c>
      <c r="B45" s="846" t="s">
        <v>85</v>
      </c>
      <c r="C45" s="845" t="s">
        <v>86</v>
      </c>
      <c r="D45" s="970">
        <f t="shared" si="2"/>
        <v>11943</v>
      </c>
      <c r="E45" s="974">
        <v>0</v>
      </c>
      <c r="F45" s="974">
        <v>2677</v>
      </c>
      <c r="G45" s="974">
        <v>9266</v>
      </c>
      <c r="H45" s="974">
        <v>0</v>
      </c>
    </row>
    <row r="46" spans="1:8" x14ac:dyDescent="0.2">
      <c r="A46" s="850">
        <v>37</v>
      </c>
      <c r="B46" s="844" t="s">
        <v>87</v>
      </c>
      <c r="C46" s="845" t="s">
        <v>88</v>
      </c>
      <c r="D46" s="970">
        <f t="shared" si="2"/>
        <v>42021</v>
      </c>
      <c r="E46" s="974">
        <v>0</v>
      </c>
      <c r="F46" s="974">
        <v>2285</v>
      </c>
      <c r="G46" s="974">
        <v>39736</v>
      </c>
      <c r="H46" s="974">
        <v>0</v>
      </c>
    </row>
    <row r="47" spans="1:8" x14ac:dyDescent="0.2">
      <c r="A47" s="843">
        <v>38</v>
      </c>
      <c r="B47" s="851" t="s">
        <v>89</v>
      </c>
      <c r="C47" s="852" t="s">
        <v>90</v>
      </c>
      <c r="D47" s="970">
        <f t="shared" si="2"/>
        <v>19016</v>
      </c>
      <c r="E47" s="974">
        <v>0</v>
      </c>
      <c r="F47" s="974">
        <v>2922</v>
      </c>
      <c r="G47" s="974">
        <v>16094</v>
      </c>
      <c r="H47" s="974">
        <v>0</v>
      </c>
    </row>
    <row r="48" spans="1:8" x14ac:dyDescent="0.2">
      <c r="A48" s="850">
        <v>39</v>
      </c>
      <c r="B48" s="844" t="s">
        <v>91</v>
      </c>
      <c r="C48" s="845" t="s">
        <v>92</v>
      </c>
      <c r="D48" s="970">
        <f t="shared" si="2"/>
        <v>12114</v>
      </c>
      <c r="E48" s="974">
        <v>0</v>
      </c>
      <c r="F48" s="974">
        <v>0</v>
      </c>
      <c r="G48" s="974">
        <v>12114</v>
      </c>
      <c r="H48" s="974">
        <v>0</v>
      </c>
    </row>
    <row r="49" spans="1:8" x14ac:dyDescent="0.2">
      <c r="A49" s="843">
        <v>40</v>
      </c>
      <c r="B49" s="849" t="s">
        <v>93</v>
      </c>
      <c r="C49" s="32" t="s">
        <v>94</v>
      </c>
      <c r="D49" s="970">
        <f t="shared" si="2"/>
        <v>16396</v>
      </c>
      <c r="E49" s="974">
        <v>0</v>
      </c>
      <c r="F49" s="974">
        <v>1622</v>
      </c>
      <c r="G49" s="974">
        <v>14774</v>
      </c>
      <c r="H49" s="974">
        <v>0</v>
      </c>
    </row>
    <row r="50" spans="1:8" x14ac:dyDescent="0.2">
      <c r="A50" s="850">
        <v>41</v>
      </c>
      <c r="B50" s="847" t="s">
        <v>95</v>
      </c>
      <c r="C50" s="848" t="s">
        <v>96</v>
      </c>
      <c r="D50" s="970">
        <f t="shared" si="2"/>
        <v>7023</v>
      </c>
      <c r="E50" s="974">
        <v>0</v>
      </c>
      <c r="F50" s="974">
        <v>1688</v>
      </c>
      <c r="G50" s="974">
        <v>5335</v>
      </c>
      <c r="H50" s="974">
        <v>0</v>
      </c>
    </row>
    <row r="51" spans="1:8" x14ac:dyDescent="0.2">
      <c r="A51" s="843">
        <v>42</v>
      </c>
      <c r="B51" s="846" t="s">
        <v>97</v>
      </c>
      <c r="C51" s="845" t="s">
        <v>98</v>
      </c>
      <c r="D51" s="970">
        <f t="shared" si="2"/>
        <v>3150</v>
      </c>
      <c r="E51" s="974">
        <v>0</v>
      </c>
      <c r="F51" s="974">
        <v>20</v>
      </c>
      <c r="G51" s="974">
        <v>3130</v>
      </c>
      <c r="H51" s="974">
        <v>0</v>
      </c>
    </row>
    <row r="52" spans="1:8" x14ac:dyDescent="0.2">
      <c r="A52" s="850">
        <v>43</v>
      </c>
      <c r="B52" s="847" t="s">
        <v>99</v>
      </c>
      <c r="C52" s="848" t="s">
        <v>100</v>
      </c>
      <c r="D52" s="970">
        <f t="shared" si="2"/>
        <v>82024</v>
      </c>
      <c r="E52" s="974">
        <v>0</v>
      </c>
      <c r="F52" s="974">
        <v>12926</v>
      </c>
      <c r="G52" s="974">
        <v>47120</v>
      </c>
      <c r="H52" s="974">
        <v>21978</v>
      </c>
    </row>
    <row r="53" spans="1:8" x14ac:dyDescent="0.2">
      <c r="A53" s="843">
        <v>44</v>
      </c>
      <c r="B53" s="844" t="s">
        <v>101</v>
      </c>
      <c r="C53" s="845" t="s">
        <v>102</v>
      </c>
      <c r="D53" s="970">
        <f t="shared" si="2"/>
        <v>9407</v>
      </c>
      <c r="E53" s="974">
        <v>0</v>
      </c>
      <c r="F53" s="974">
        <v>1790</v>
      </c>
      <c r="G53" s="974">
        <v>7617</v>
      </c>
      <c r="H53" s="974">
        <v>0</v>
      </c>
    </row>
    <row r="54" spans="1:8" x14ac:dyDescent="0.2">
      <c r="A54" s="850">
        <v>45</v>
      </c>
      <c r="B54" s="844" t="s">
        <v>103</v>
      </c>
      <c r="C54" s="845" t="s">
        <v>104</v>
      </c>
      <c r="D54" s="970">
        <f t="shared" si="2"/>
        <v>55068</v>
      </c>
      <c r="E54" s="974">
        <v>0</v>
      </c>
      <c r="F54" s="974">
        <v>12396</v>
      </c>
      <c r="G54" s="974">
        <v>42672</v>
      </c>
      <c r="H54" s="974">
        <v>0</v>
      </c>
    </row>
    <row r="55" spans="1:8" x14ac:dyDescent="0.2">
      <c r="A55" s="843">
        <v>46</v>
      </c>
      <c r="B55" s="847" t="s">
        <v>105</v>
      </c>
      <c r="C55" s="848" t="s">
        <v>106</v>
      </c>
      <c r="D55" s="970">
        <f t="shared" si="2"/>
        <v>12112</v>
      </c>
      <c r="E55" s="974">
        <v>0</v>
      </c>
      <c r="F55" s="974">
        <v>3700</v>
      </c>
      <c r="G55" s="974">
        <v>8412</v>
      </c>
      <c r="H55" s="974">
        <v>0</v>
      </c>
    </row>
    <row r="56" spans="1:8" x14ac:dyDescent="0.2">
      <c r="A56" s="850">
        <v>47</v>
      </c>
      <c r="B56" s="847" t="s">
        <v>107</v>
      </c>
      <c r="C56" s="848" t="s">
        <v>108</v>
      </c>
      <c r="D56" s="970">
        <f t="shared" si="2"/>
        <v>21540</v>
      </c>
      <c r="E56" s="974">
        <v>0</v>
      </c>
      <c r="F56" s="974">
        <v>8359</v>
      </c>
      <c r="G56" s="974">
        <v>13181</v>
      </c>
      <c r="H56" s="974">
        <v>0</v>
      </c>
    </row>
    <row r="57" spans="1:8" x14ac:dyDescent="0.2">
      <c r="A57" s="843">
        <v>48</v>
      </c>
      <c r="B57" s="846" t="s">
        <v>109</v>
      </c>
      <c r="C57" s="845" t="s">
        <v>110</v>
      </c>
      <c r="D57" s="970">
        <f t="shared" si="2"/>
        <v>12282</v>
      </c>
      <c r="E57" s="974">
        <v>0</v>
      </c>
      <c r="F57" s="974">
        <v>952</v>
      </c>
      <c r="G57" s="974">
        <v>11330</v>
      </c>
      <c r="H57" s="974">
        <v>0</v>
      </c>
    </row>
    <row r="58" spans="1:8" x14ac:dyDescent="0.2">
      <c r="A58" s="850">
        <v>49</v>
      </c>
      <c r="B58" s="847" t="s">
        <v>111</v>
      </c>
      <c r="C58" s="848" t="s">
        <v>112</v>
      </c>
      <c r="D58" s="970">
        <f t="shared" si="2"/>
        <v>9273</v>
      </c>
      <c r="E58" s="974">
        <v>0</v>
      </c>
      <c r="F58" s="974">
        <v>1984</v>
      </c>
      <c r="G58" s="974">
        <v>7289</v>
      </c>
      <c r="H58" s="974">
        <v>0</v>
      </c>
    </row>
    <row r="59" spans="1:8" x14ac:dyDescent="0.2">
      <c r="A59" s="843">
        <v>50</v>
      </c>
      <c r="B59" s="846" t="s">
        <v>113</v>
      </c>
      <c r="C59" s="845" t="s">
        <v>114</v>
      </c>
      <c r="D59" s="970">
        <f t="shared" si="2"/>
        <v>12071</v>
      </c>
      <c r="E59" s="974">
        <v>0</v>
      </c>
      <c r="F59" s="974">
        <v>4044</v>
      </c>
      <c r="G59" s="974">
        <v>8027</v>
      </c>
      <c r="H59" s="974">
        <v>0</v>
      </c>
    </row>
    <row r="60" spans="1:8" x14ac:dyDescent="0.2">
      <c r="A60" s="850">
        <v>51</v>
      </c>
      <c r="B60" s="847" t="s">
        <v>115</v>
      </c>
      <c r="C60" s="848" t="s">
        <v>116</v>
      </c>
      <c r="D60" s="970">
        <f t="shared" si="2"/>
        <v>24077</v>
      </c>
      <c r="E60" s="974">
        <v>0</v>
      </c>
      <c r="F60" s="974">
        <v>6958</v>
      </c>
      <c r="G60" s="974">
        <v>17119</v>
      </c>
      <c r="H60" s="974">
        <v>0</v>
      </c>
    </row>
    <row r="61" spans="1:8" x14ac:dyDescent="0.2">
      <c r="A61" s="843">
        <v>52</v>
      </c>
      <c r="B61" s="847" t="s">
        <v>117</v>
      </c>
      <c r="C61" s="848" t="s">
        <v>118</v>
      </c>
      <c r="D61" s="970">
        <f t="shared" si="2"/>
        <v>66434</v>
      </c>
      <c r="E61" s="974">
        <v>0</v>
      </c>
      <c r="F61" s="974">
        <v>15612</v>
      </c>
      <c r="G61" s="974">
        <v>47755</v>
      </c>
      <c r="H61" s="974">
        <v>3067</v>
      </c>
    </row>
    <row r="62" spans="1:8" x14ac:dyDescent="0.2">
      <c r="A62" s="850">
        <v>53</v>
      </c>
      <c r="B62" s="847" t="s">
        <v>119</v>
      </c>
      <c r="C62" s="848" t="s">
        <v>120</v>
      </c>
      <c r="D62" s="970">
        <f t="shared" si="2"/>
        <v>15636</v>
      </c>
      <c r="E62" s="974">
        <v>0</v>
      </c>
      <c r="F62" s="974">
        <v>5277</v>
      </c>
      <c r="G62" s="974">
        <v>10359</v>
      </c>
      <c r="H62" s="974">
        <v>0</v>
      </c>
    </row>
    <row r="63" spans="1:8" x14ac:dyDescent="0.2">
      <c r="A63" s="843">
        <v>54</v>
      </c>
      <c r="B63" s="847" t="s">
        <v>121</v>
      </c>
      <c r="C63" s="848" t="s">
        <v>122</v>
      </c>
      <c r="D63" s="970">
        <f t="shared" si="2"/>
        <v>0</v>
      </c>
      <c r="E63" s="974">
        <v>0</v>
      </c>
      <c r="F63" s="974">
        <v>0</v>
      </c>
      <c r="G63" s="974">
        <v>0</v>
      </c>
      <c r="H63" s="974">
        <v>0</v>
      </c>
    </row>
    <row r="64" spans="1:8" x14ac:dyDescent="0.2">
      <c r="A64" s="850">
        <v>55</v>
      </c>
      <c r="B64" s="847" t="s">
        <v>123</v>
      </c>
      <c r="C64" s="848" t="s">
        <v>124</v>
      </c>
      <c r="D64" s="970">
        <f t="shared" si="2"/>
        <v>0</v>
      </c>
      <c r="E64" s="974">
        <v>0</v>
      </c>
      <c r="F64" s="974">
        <v>0</v>
      </c>
      <c r="G64" s="974">
        <v>0</v>
      </c>
      <c r="H64" s="974">
        <v>0</v>
      </c>
    </row>
    <row r="65" spans="1:8" ht="24" x14ac:dyDescent="0.2">
      <c r="A65" s="843">
        <v>56</v>
      </c>
      <c r="B65" s="853" t="s">
        <v>125</v>
      </c>
      <c r="C65" s="32" t="s">
        <v>126</v>
      </c>
      <c r="D65" s="970">
        <f t="shared" si="2"/>
        <v>0</v>
      </c>
      <c r="E65" s="974">
        <v>0</v>
      </c>
      <c r="F65" s="974">
        <v>0</v>
      </c>
      <c r="G65" s="974">
        <v>0</v>
      </c>
      <c r="H65" s="974">
        <v>0</v>
      </c>
    </row>
    <row r="66" spans="1:8" ht="24" x14ac:dyDescent="0.2">
      <c r="A66" s="850">
        <v>57</v>
      </c>
      <c r="B66" s="847" t="s">
        <v>127</v>
      </c>
      <c r="C66" s="848" t="s">
        <v>128</v>
      </c>
      <c r="D66" s="970">
        <f t="shared" si="2"/>
        <v>70813</v>
      </c>
      <c r="E66" s="974">
        <v>0</v>
      </c>
      <c r="F66" s="974">
        <v>3631</v>
      </c>
      <c r="G66" s="974">
        <v>67182</v>
      </c>
      <c r="H66" s="974">
        <v>0</v>
      </c>
    </row>
    <row r="67" spans="1:8" ht="24" x14ac:dyDescent="0.2">
      <c r="A67" s="843">
        <v>58</v>
      </c>
      <c r="B67" s="846" t="s">
        <v>129</v>
      </c>
      <c r="C67" s="848" t="s">
        <v>130</v>
      </c>
      <c r="D67" s="970">
        <f t="shared" si="2"/>
        <v>48850</v>
      </c>
      <c r="E67" s="974">
        <v>0</v>
      </c>
      <c r="F67" s="974">
        <v>1020</v>
      </c>
      <c r="G67" s="974">
        <v>47830</v>
      </c>
      <c r="H67" s="974">
        <v>0</v>
      </c>
    </row>
    <row r="68" spans="1:8" ht="24" x14ac:dyDescent="0.2">
      <c r="A68" s="850">
        <v>59</v>
      </c>
      <c r="B68" s="849" t="s">
        <v>131</v>
      </c>
      <c r="C68" s="32" t="s">
        <v>132</v>
      </c>
      <c r="D68" s="970">
        <f t="shared" si="2"/>
        <v>61058</v>
      </c>
      <c r="E68" s="974">
        <v>0</v>
      </c>
      <c r="F68" s="974">
        <v>360</v>
      </c>
      <c r="G68" s="974">
        <v>60698</v>
      </c>
      <c r="H68" s="974">
        <v>0</v>
      </c>
    </row>
    <row r="69" spans="1:8" ht="24" x14ac:dyDescent="0.2">
      <c r="A69" s="843">
        <v>60</v>
      </c>
      <c r="B69" s="846" t="s">
        <v>133</v>
      </c>
      <c r="C69" s="848" t="s">
        <v>134</v>
      </c>
      <c r="D69" s="970">
        <f t="shared" si="2"/>
        <v>110392</v>
      </c>
      <c r="E69" s="974">
        <v>0</v>
      </c>
      <c r="F69" s="974">
        <v>12352</v>
      </c>
      <c r="G69" s="974">
        <v>88607</v>
      </c>
      <c r="H69" s="974">
        <v>9433</v>
      </c>
    </row>
    <row r="70" spans="1:8" ht="24" x14ac:dyDescent="0.2">
      <c r="A70" s="850">
        <v>61</v>
      </c>
      <c r="B70" s="847" t="s">
        <v>135</v>
      </c>
      <c r="C70" s="848" t="s">
        <v>136</v>
      </c>
      <c r="D70" s="970">
        <f t="shared" si="2"/>
        <v>24889</v>
      </c>
      <c r="E70" s="974">
        <v>0</v>
      </c>
      <c r="F70" s="974">
        <v>3324</v>
      </c>
      <c r="G70" s="974">
        <v>21565</v>
      </c>
      <c r="H70" s="974">
        <v>0</v>
      </c>
    </row>
    <row r="71" spans="1:8" ht="36" x14ac:dyDescent="0.2">
      <c r="A71" s="843">
        <v>62</v>
      </c>
      <c r="B71" s="844" t="s">
        <v>137</v>
      </c>
      <c r="C71" s="848" t="s">
        <v>138</v>
      </c>
      <c r="D71" s="970">
        <f t="shared" si="2"/>
        <v>0</v>
      </c>
      <c r="E71" s="974">
        <v>0</v>
      </c>
      <c r="F71" s="974">
        <v>0</v>
      </c>
      <c r="G71" s="974">
        <v>0</v>
      </c>
      <c r="H71" s="974">
        <v>0</v>
      </c>
    </row>
    <row r="72" spans="1:8" ht="36" x14ac:dyDescent="0.2">
      <c r="A72" s="850">
        <v>63</v>
      </c>
      <c r="B72" s="844" t="s">
        <v>139</v>
      </c>
      <c r="C72" s="848" t="s">
        <v>140</v>
      </c>
      <c r="D72" s="970">
        <f t="shared" si="2"/>
        <v>0</v>
      </c>
      <c r="E72" s="974">
        <v>0</v>
      </c>
      <c r="F72" s="974">
        <v>0</v>
      </c>
      <c r="G72" s="974">
        <v>0</v>
      </c>
      <c r="H72" s="974">
        <v>0</v>
      </c>
    </row>
    <row r="73" spans="1:8" x14ac:dyDescent="0.2">
      <c r="A73" s="843">
        <v>64</v>
      </c>
      <c r="B73" s="846" t="s">
        <v>141</v>
      </c>
      <c r="C73" s="848" t="s">
        <v>142</v>
      </c>
      <c r="D73" s="970">
        <f t="shared" si="2"/>
        <v>10468</v>
      </c>
      <c r="E73" s="974">
        <v>0</v>
      </c>
      <c r="F73" s="974">
        <v>1644</v>
      </c>
      <c r="G73" s="974">
        <v>8824</v>
      </c>
      <c r="H73" s="974">
        <v>0</v>
      </c>
    </row>
    <row r="74" spans="1:8" x14ac:dyDescent="0.2">
      <c r="A74" s="850">
        <v>65</v>
      </c>
      <c r="B74" s="846" t="s">
        <v>143</v>
      </c>
      <c r="C74" s="845" t="s">
        <v>144</v>
      </c>
      <c r="D74" s="970">
        <f t="shared" ref="D74:D137" si="3">E74+F74+G74+H74</f>
        <v>16915</v>
      </c>
      <c r="E74" s="974">
        <v>0</v>
      </c>
      <c r="F74" s="974">
        <v>2658</v>
      </c>
      <c r="G74" s="974">
        <v>3894</v>
      </c>
      <c r="H74" s="974">
        <v>10363</v>
      </c>
    </row>
    <row r="75" spans="1:8" x14ac:dyDescent="0.2">
      <c r="A75" s="843">
        <v>66</v>
      </c>
      <c r="B75" s="846" t="s">
        <v>145</v>
      </c>
      <c r="C75" s="848" t="s">
        <v>146</v>
      </c>
      <c r="D75" s="970">
        <f t="shared" si="3"/>
        <v>10970</v>
      </c>
      <c r="E75" s="974">
        <v>0</v>
      </c>
      <c r="F75" s="974">
        <v>7555</v>
      </c>
      <c r="G75" s="974">
        <v>3415</v>
      </c>
      <c r="H75" s="974">
        <v>0</v>
      </c>
    </row>
    <row r="76" spans="1:8" ht="24" x14ac:dyDescent="0.2">
      <c r="A76" s="850">
        <v>67</v>
      </c>
      <c r="B76" s="846" t="s">
        <v>147</v>
      </c>
      <c r="C76" s="848" t="s">
        <v>148</v>
      </c>
      <c r="D76" s="970">
        <f t="shared" si="3"/>
        <v>300</v>
      </c>
      <c r="E76" s="974">
        <v>300</v>
      </c>
      <c r="F76" s="974">
        <v>0</v>
      </c>
      <c r="G76" s="974">
        <v>0</v>
      </c>
      <c r="H76" s="974">
        <v>0</v>
      </c>
    </row>
    <row r="77" spans="1:8" ht="24" x14ac:dyDescent="0.2">
      <c r="A77" s="843">
        <v>68</v>
      </c>
      <c r="B77" s="844" t="s">
        <v>149</v>
      </c>
      <c r="C77" s="848" t="s">
        <v>150</v>
      </c>
      <c r="D77" s="970">
        <f t="shared" si="3"/>
        <v>100</v>
      </c>
      <c r="E77" s="974">
        <v>100</v>
      </c>
      <c r="F77" s="974">
        <v>0</v>
      </c>
      <c r="G77" s="974">
        <v>0</v>
      </c>
      <c r="H77" s="974">
        <v>0</v>
      </c>
    </row>
    <row r="78" spans="1:8" ht="24" x14ac:dyDescent="0.2">
      <c r="A78" s="850">
        <v>69</v>
      </c>
      <c r="B78" s="846" t="s">
        <v>151</v>
      </c>
      <c r="C78" s="848" t="s">
        <v>152</v>
      </c>
      <c r="D78" s="970">
        <f t="shared" si="3"/>
        <v>50</v>
      </c>
      <c r="E78" s="974">
        <v>50</v>
      </c>
      <c r="F78" s="974">
        <v>0</v>
      </c>
      <c r="G78" s="974">
        <v>0</v>
      </c>
      <c r="H78" s="974">
        <v>0</v>
      </c>
    </row>
    <row r="79" spans="1:8" ht="24" x14ac:dyDescent="0.2">
      <c r="A79" s="843">
        <v>70</v>
      </c>
      <c r="B79" s="846" t="s">
        <v>153</v>
      </c>
      <c r="C79" s="848" t="s">
        <v>154</v>
      </c>
      <c r="D79" s="970">
        <f t="shared" si="3"/>
        <v>290</v>
      </c>
      <c r="E79" s="974">
        <v>290</v>
      </c>
      <c r="F79" s="974">
        <v>0</v>
      </c>
      <c r="G79" s="974">
        <v>0</v>
      </c>
      <c r="H79" s="974">
        <v>0</v>
      </c>
    </row>
    <row r="80" spans="1:8" ht="24" x14ac:dyDescent="0.2">
      <c r="A80" s="850">
        <v>71</v>
      </c>
      <c r="B80" s="844" t="s">
        <v>155</v>
      </c>
      <c r="C80" s="848" t="s">
        <v>156</v>
      </c>
      <c r="D80" s="970">
        <f t="shared" si="3"/>
        <v>1600</v>
      </c>
      <c r="E80" s="974">
        <v>1600</v>
      </c>
      <c r="F80" s="974">
        <v>0</v>
      </c>
      <c r="G80" s="974">
        <v>0</v>
      </c>
      <c r="H80" s="974">
        <v>0</v>
      </c>
    </row>
    <row r="81" spans="1:8" ht="24" x14ac:dyDescent="0.2">
      <c r="A81" s="843">
        <v>72</v>
      </c>
      <c r="B81" s="844" t="s">
        <v>157</v>
      </c>
      <c r="C81" s="848" t="s">
        <v>158</v>
      </c>
      <c r="D81" s="970">
        <f t="shared" si="3"/>
        <v>150</v>
      </c>
      <c r="E81" s="974">
        <v>150</v>
      </c>
      <c r="F81" s="974">
        <v>0</v>
      </c>
      <c r="G81" s="974">
        <v>0</v>
      </c>
      <c r="H81" s="974">
        <v>0</v>
      </c>
    </row>
    <row r="82" spans="1:8" ht="24" x14ac:dyDescent="0.2">
      <c r="A82" s="850">
        <v>73</v>
      </c>
      <c r="B82" s="844" t="s">
        <v>159</v>
      </c>
      <c r="C82" s="848" t="s">
        <v>160</v>
      </c>
      <c r="D82" s="970">
        <f t="shared" si="3"/>
        <v>0</v>
      </c>
      <c r="E82" s="974">
        <v>0</v>
      </c>
      <c r="F82" s="974">
        <v>0</v>
      </c>
      <c r="G82" s="974">
        <v>0</v>
      </c>
      <c r="H82" s="974">
        <v>0</v>
      </c>
    </row>
    <row r="83" spans="1:8" ht="24" x14ac:dyDescent="0.2">
      <c r="A83" s="843">
        <v>74</v>
      </c>
      <c r="B83" s="847" t="s">
        <v>161</v>
      </c>
      <c r="C83" s="848" t="s">
        <v>162</v>
      </c>
      <c r="D83" s="970">
        <f t="shared" si="3"/>
        <v>71693</v>
      </c>
      <c r="E83" s="974">
        <v>0</v>
      </c>
      <c r="F83" s="974">
        <v>8645</v>
      </c>
      <c r="G83" s="974">
        <v>54346</v>
      </c>
      <c r="H83" s="974">
        <f>9251-549</f>
        <v>8702</v>
      </c>
    </row>
    <row r="84" spans="1:8" x14ac:dyDescent="0.2">
      <c r="A84" s="850">
        <v>75</v>
      </c>
      <c r="B84" s="844" t="s">
        <v>163</v>
      </c>
      <c r="C84" s="848" t="s">
        <v>164</v>
      </c>
      <c r="D84" s="970">
        <f t="shared" si="3"/>
        <v>31808</v>
      </c>
      <c r="E84" s="974">
        <v>0</v>
      </c>
      <c r="F84" s="974">
        <v>18500</v>
      </c>
      <c r="G84" s="974">
        <v>13308</v>
      </c>
      <c r="H84" s="974">
        <v>0</v>
      </c>
    </row>
    <row r="85" spans="1:8" x14ac:dyDescent="0.2">
      <c r="A85" s="843">
        <v>76</v>
      </c>
      <c r="B85" s="847" t="s">
        <v>165</v>
      </c>
      <c r="C85" s="848" t="s">
        <v>166</v>
      </c>
      <c r="D85" s="970">
        <f t="shared" si="3"/>
        <v>22715</v>
      </c>
      <c r="E85" s="974">
        <v>0</v>
      </c>
      <c r="F85" s="974">
        <v>5411</v>
      </c>
      <c r="G85" s="974">
        <v>8232</v>
      </c>
      <c r="H85" s="974">
        <f>9072</f>
        <v>9072</v>
      </c>
    </row>
    <row r="86" spans="1:8" x14ac:dyDescent="0.2">
      <c r="A86" s="850">
        <v>77</v>
      </c>
      <c r="B86" s="849" t="s">
        <v>167</v>
      </c>
      <c r="C86" s="32" t="s">
        <v>168</v>
      </c>
      <c r="D86" s="970">
        <f t="shared" si="3"/>
        <v>2268</v>
      </c>
      <c r="E86" s="974">
        <v>0</v>
      </c>
      <c r="F86" s="974">
        <v>1182</v>
      </c>
      <c r="G86" s="974">
        <v>1086</v>
      </c>
      <c r="H86" s="974">
        <v>0</v>
      </c>
    </row>
    <row r="87" spans="1:8" x14ac:dyDescent="0.2">
      <c r="A87" s="843">
        <v>78</v>
      </c>
      <c r="B87" s="844" t="s">
        <v>169</v>
      </c>
      <c r="C87" s="848" t="s">
        <v>170</v>
      </c>
      <c r="D87" s="970">
        <f t="shared" si="3"/>
        <v>48834</v>
      </c>
      <c r="E87" s="974">
        <v>0</v>
      </c>
      <c r="F87" s="974">
        <v>12510</v>
      </c>
      <c r="G87" s="974">
        <v>36324</v>
      </c>
      <c r="H87" s="974">
        <v>0</v>
      </c>
    </row>
    <row r="88" spans="1:8" x14ac:dyDescent="0.2">
      <c r="A88" s="850">
        <v>79</v>
      </c>
      <c r="B88" s="849" t="s">
        <v>171</v>
      </c>
      <c r="C88" s="32" t="s">
        <v>172</v>
      </c>
      <c r="D88" s="970">
        <f t="shared" si="3"/>
        <v>41320</v>
      </c>
      <c r="E88" s="974">
        <v>0</v>
      </c>
      <c r="F88" s="974">
        <v>2340</v>
      </c>
      <c r="G88" s="974">
        <v>32873</v>
      </c>
      <c r="H88" s="974">
        <v>6107</v>
      </c>
    </row>
    <row r="89" spans="1:8" x14ac:dyDescent="0.2">
      <c r="A89" s="843">
        <v>80</v>
      </c>
      <c r="B89" s="844" t="s">
        <v>173</v>
      </c>
      <c r="C89" s="848" t="s">
        <v>174</v>
      </c>
      <c r="D89" s="970">
        <f t="shared" si="3"/>
        <v>61357</v>
      </c>
      <c r="E89" s="974">
        <v>0</v>
      </c>
      <c r="F89" s="974">
        <v>8000</v>
      </c>
      <c r="G89" s="974">
        <v>15575</v>
      </c>
      <c r="H89" s="974">
        <v>37782</v>
      </c>
    </row>
    <row r="90" spans="1:8" x14ac:dyDescent="0.2">
      <c r="A90" s="850">
        <v>81</v>
      </c>
      <c r="B90" s="849" t="s">
        <v>175</v>
      </c>
      <c r="C90" s="32" t="s">
        <v>746</v>
      </c>
      <c r="D90" s="970">
        <f t="shared" si="3"/>
        <v>28748</v>
      </c>
      <c r="E90" s="974">
        <v>28748</v>
      </c>
      <c r="F90" s="974">
        <v>0</v>
      </c>
      <c r="G90" s="974">
        <v>0</v>
      </c>
      <c r="H90" s="974">
        <v>0</v>
      </c>
    </row>
    <row r="91" spans="1:8" x14ac:dyDescent="0.2">
      <c r="A91" s="843">
        <v>82</v>
      </c>
      <c r="B91" s="846" t="s">
        <v>177</v>
      </c>
      <c r="C91" s="848" t="s">
        <v>358</v>
      </c>
      <c r="D91" s="970">
        <f t="shared" si="3"/>
        <v>0</v>
      </c>
      <c r="E91" s="974">
        <v>0</v>
      </c>
      <c r="F91" s="974">
        <v>0</v>
      </c>
      <c r="G91" s="974">
        <v>0</v>
      </c>
      <c r="H91" s="974">
        <v>0</v>
      </c>
    </row>
    <row r="92" spans="1:8" ht="48" x14ac:dyDescent="0.2">
      <c r="A92" s="1059">
        <v>83</v>
      </c>
      <c r="B92" s="1062" t="s">
        <v>178</v>
      </c>
      <c r="C92" s="1" t="s">
        <v>744</v>
      </c>
      <c r="D92" s="970">
        <f t="shared" si="3"/>
        <v>1186</v>
      </c>
      <c r="E92" s="974">
        <v>0</v>
      </c>
      <c r="F92" s="974">
        <v>0</v>
      </c>
      <c r="G92" s="974">
        <v>1186</v>
      </c>
      <c r="H92" s="974">
        <v>0</v>
      </c>
    </row>
    <row r="93" spans="1:8" ht="24" x14ac:dyDescent="0.2">
      <c r="A93" s="1060"/>
      <c r="B93" s="1063"/>
      <c r="C93" s="848" t="s">
        <v>180</v>
      </c>
      <c r="D93" s="970">
        <f t="shared" si="3"/>
        <v>0</v>
      </c>
      <c r="E93" s="974">
        <v>0</v>
      </c>
      <c r="F93" s="974">
        <v>0</v>
      </c>
      <c r="G93" s="974">
        <v>0</v>
      </c>
      <c r="H93" s="974">
        <v>0</v>
      </c>
    </row>
    <row r="94" spans="1:8" ht="48" x14ac:dyDescent="0.2">
      <c r="A94" s="1061"/>
      <c r="B94" s="1064"/>
      <c r="C94" s="307" t="s">
        <v>509</v>
      </c>
      <c r="D94" s="970">
        <f t="shared" si="3"/>
        <v>0</v>
      </c>
      <c r="E94" s="974">
        <v>0</v>
      </c>
      <c r="F94" s="974">
        <v>0</v>
      </c>
      <c r="G94" s="974">
        <v>0</v>
      </c>
      <c r="H94" s="974">
        <v>0</v>
      </c>
    </row>
    <row r="95" spans="1:8" ht="24" x14ac:dyDescent="0.2">
      <c r="A95" s="843">
        <v>84</v>
      </c>
      <c r="B95" s="846" t="s">
        <v>181</v>
      </c>
      <c r="C95" s="845" t="s">
        <v>182</v>
      </c>
      <c r="D95" s="970">
        <f t="shared" si="3"/>
        <v>0</v>
      </c>
      <c r="E95" s="974">
        <v>0</v>
      </c>
      <c r="F95" s="974">
        <v>0</v>
      </c>
      <c r="G95" s="974">
        <v>0</v>
      </c>
      <c r="H95" s="974">
        <v>0</v>
      </c>
    </row>
    <row r="96" spans="1:8" x14ac:dyDescent="0.2">
      <c r="A96" s="843">
        <v>85</v>
      </c>
      <c r="B96" s="846" t="s">
        <v>183</v>
      </c>
      <c r="C96" s="32" t="s">
        <v>184</v>
      </c>
      <c r="D96" s="970">
        <f t="shared" si="3"/>
        <v>3163</v>
      </c>
      <c r="E96" s="974">
        <v>0</v>
      </c>
      <c r="F96" s="974">
        <v>300</v>
      </c>
      <c r="G96" s="974">
        <v>2863</v>
      </c>
      <c r="H96" s="974">
        <v>0</v>
      </c>
    </row>
    <row r="97" spans="1:8" x14ac:dyDescent="0.2">
      <c r="A97" s="843">
        <v>86</v>
      </c>
      <c r="B97" s="847" t="s">
        <v>185</v>
      </c>
      <c r="C97" s="848" t="s">
        <v>186</v>
      </c>
      <c r="D97" s="970">
        <f t="shared" si="3"/>
        <v>3987</v>
      </c>
      <c r="E97" s="974">
        <v>0</v>
      </c>
      <c r="F97" s="974">
        <v>788</v>
      </c>
      <c r="G97" s="974">
        <v>3199</v>
      </c>
      <c r="H97" s="974">
        <v>0</v>
      </c>
    </row>
    <row r="98" spans="1:8" x14ac:dyDescent="0.2">
      <c r="A98" s="843">
        <v>87</v>
      </c>
      <c r="B98" s="846" t="s">
        <v>187</v>
      </c>
      <c r="C98" s="845" t="s">
        <v>188</v>
      </c>
      <c r="D98" s="970">
        <f t="shared" si="3"/>
        <v>8934</v>
      </c>
      <c r="E98" s="974">
        <v>0</v>
      </c>
      <c r="F98" s="974">
        <v>2019</v>
      </c>
      <c r="G98" s="974">
        <v>6915</v>
      </c>
      <c r="H98" s="974">
        <v>0</v>
      </c>
    </row>
    <row r="99" spans="1:8" x14ac:dyDescent="0.2">
      <c r="A99" s="843">
        <v>88</v>
      </c>
      <c r="B99" s="847" t="s">
        <v>189</v>
      </c>
      <c r="C99" s="848" t="s">
        <v>190</v>
      </c>
      <c r="D99" s="970">
        <f t="shared" si="3"/>
        <v>8356</v>
      </c>
      <c r="E99" s="974">
        <v>0</v>
      </c>
      <c r="F99" s="974">
        <v>1368</v>
      </c>
      <c r="G99" s="974">
        <v>6988</v>
      </c>
      <c r="H99" s="974">
        <v>0</v>
      </c>
    </row>
    <row r="100" spans="1:8" x14ac:dyDescent="0.2">
      <c r="A100" s="843">
        <v>89</v>
      </c>
      <c r="B100" s="847" t="s">
        <v>191</v>
      </c>
      <c r="C100" s="848" t="s">
        <v>192</v>
      </c>
      <c r="D100" s="970">
        <f t="shared" si="3"/>
        <v>27763</v>
      </c>
      <c r="E100" s="974">
        <v>0</v>
      </c>
      <c r="F100" s="974">
        <v>6300</v>
      </c>
      <c r="G100" s="974">
        <v>21463</v>
      </c>
      <c r="H100" s="974">
        <v>0</v>
      </c>
    </row>
    <row r="101" spans="1:8" x14ac:dyDescent="0.2">
      <c r="A101" s="843">
        <v>90</v>
      </c>
      <c r="B101" s="846" t="s">
        <v>193</v>
      </c>
      <c r="C101" s="32" t="s">
        <v>194</v>
      </c>
      <c r="D101" s="970">
        <f t="shared" si="3"/>
        <v>11202</v>
      </c>
      <c r="E101" s="974">
        <v>0</v>
      </c>
      <c r="F101" s="974">
        <v>1662</v>
      </c>
      <c r="G101" s="974">
        <v>9540</v>
      </c>
      <c r="H101" s="974">
        <v>0</v>
      </c>
    </row>
    <row r="102" spans="1:8" x14ac:dyDescent="0.2">
      <c r="A102" s="843">
        <v>91</v>
      </c>
      <c r="B102" s="846" t="s">
        <v>195</v>
      </c>
      <c r="C102" s="845" t="s">
        <v>196</v>
      </c>
      <c r="D102" s="970">
        <f t="shared" si="3"/>
        <v>10628</v>
      </c>
      <c r="E102" s="974">
        <v>0</v>
      </c>
      <c r="F102" s="974">
        <v>6541</v>
      </c>
      <c r="G102" s="974">
        <v>4087</v>
      </c>
      <c r="H102" s="974">
        <v>0</v>
      </c>
    </row>
    <row r="103" spans="1:8" x14ac:dyDescent="0.2">
      <c r="A103" s="843">
        <v>92</v>
      </c>
      <c r="B103" s="844" t="s">
        <v>197</v>
      </c>
      <c r="C103" s="845" t="s">
        <v>198</v>
      </c>
      <c r="D103" s="970">
        <f t="shared" si="3"/>
        <v>39656</v>
      </c>
      <c r="E103" s="974">
        <v>0</v>
      </c>
      <c r="F103" s="974">
        <v>3525</v>
      </c>
      <c r="G103" s="974">
        <v>36131</v>
      </c>
      <c r="H103" s="974">
        <v>0</v>
      </c>
    </row>
    <row r="104" spans="1:8" x14ac:dyDescent="0.2">
      <c r="A104" s="843">
        <v>93</v>
      </c>
      <c r="B104" s="844" t="s">
        <v>199</v>
      </c>
      <c r="C104" s="845" t="s">
        <v>200</v>
      </c>
      <c r="D104" s="970">
        <f t="shared" si="3"/>
        <v>25358</v>
      </c>
      <c r="E104" s="974">
        <v>0</v>
      </c>
      <c r="F104" s="974">
        <v>13653</v>
      </c>
      <c r="G104" s="974">
        <v>11705</v>
      </c>
      <c r="H104" s="974">
        <v>0</v>
      </c>
    </row>
    <row r="105" spans="1:8" x14ac:dyDescent="0.2">
      <c r="A105" s="843">
        <v>94</v>
      </c>
      <c r="B105" s="847" t="s">
        <v>201</v>
      </c>
      <c r="C105" s="848" t="s">
        <v>202</v>
      </c>
      <c r="D105" s="970">
        <f t="shared" si="3"/>
        <v>10500</v>
      </c>
      <c r="E105" s="974">
        <v>0</v>
      </c>
      <c r="F105" s="974">
        <v>1400</v>
      </c>
      <c r="G105" s="974">
        <v>9100</v>
      </c>
      <c r="H105" s="974">
        <v>0</v>
      </c>
    </row>
    <row r="106" spans="1:8" x14ac:dyDescent="0.2">
      <c r="A106" s="843">
        <v>95</v>
      </c>
      <c r="B106" s="849" t="s">
        <v>203</v>
      </c>
      <c r="C106" s="32" t="s">
        <v>204</v>
      </c>
      <c r="D106" s="970">
        <f t="shared" si="3"/>
        <v>16034</v>
      </c>
      <c r="E106" s="974">
        <v>0</v>
      </c>
      <c r="F106" s="974">
        <v>2905</v>
      </c>
      <c r="G106" s="974">
        <v>13129</v>
      </c>
      <c r="H106" s="974">
        <v>0</v>
      </c>
    </row>
    <row r="107" spans="1:8" x14ac:dyDescent="0.2">
      <c r="A107" s="843">
        <v>96</v>
      </c>
      <c r="B107" s="844" t="s">
        <v>205</v>
      </c>
      <c r="C107" s="845" t="s">
        <v>206</v>
      </c>
      <c r="D107" s="970">
        <f t="shared" si="3"/>
        <v>11431</v>
      </c>
      <c r="E107" s="974">
        <v>0</v>
      </c>
      <c r="F107" s="974">
        <v>2521</v>
      </c>
      <c r="G107" s="974">
        <v>8910</v>
      </c>
      <c r="H107" s="974">
        <v>0</v>
      </c>
    </row>
    <row r="108" spans="1:8" x14ac:dyDescent="0.2">
      <c r="A108" s="843">
        <v>97</v>
      </c>
      <c r="B108" s="846" t="s">
        <v>207</v>
      </c>
      <c r="C108" s="845" t="s">
        <v>208</v>
      </c>
      <c r="D108" s="970">
        <f t="shared" si="3"/>
        <v>24820</v>
      </c>
      <c r="E108" s="974">
        <v>0</v>
      </c>
      <c r="F108" s="974">
        <v>2830</v>
      </c>
      <c r="G108" s="974">
        <v>15699</v>
      </c>
      <c r="H108" s="974">
        <v>6291</v>
      </c>
    </row>
    <row r="109" spans="1:8" x14ac:dyDescent="0.2">
      <c r="A109" s="843">
        <v>98</v>
      </c>
      <c r="B109" s="847" t="s">
        <v>209</v>
      </c>
      <c r="C109" s="848" t="s">
        <v>210</v>
      </c>
      <c r="D109" s="970">
        <f t="shared" si="3"/>
        <v>12597</v>
      </c>
      <c r="E109" s="974">
        <v>0</v>
      </c>
      <c r="F109" s="974">
        <v>5443</v>
      </c>
      <c r="G109" s="974">
        <v>7154</v>
      </c>
      <c r="H109" s="974">
        <v>0</v>
      </c>
    </row>
    <row r="110" spans="1:8" x14ac:dyDescent="0.2">
      <c r="A110" s="843">
        <v>99</v>
      </c>
      <c r="B110" s="847" t="s">
        <v>211</v>
      </c>
      <c r="C110" s="848" t="s">
        <v>212</v>
      </c>
      <c r="D110" s="970">
        <f t="shared" si="3"/>
        <v>12286</v>
      </c>
      <c r="E110" s="974">
        <v>0</v>
      </c>
      <c r="F110" s="974">
        <v>3290</v>
      </c>
      <c r="G110" s="974">
        <v>8996</v>
      </c>
      <c r="H110" s="974">
        <v>0</v>
      </c>
    </row>
    <row r="111" spans="1:8" x14ac:dyDescent="0.2">
      <c r="A111" s="843">
        <v>100</v>
      </c>
      <c r="B111" s="844" t="s">
        <v>213</v>
      </c>
      <c r="C111" s="845" t="s">
        <v>214</v>
      </c>
      <c r="D111" s="970">
        <f t="shared" si="3"/>
        <v>25359</v>
      </c>
      <c r="E111" s="974">
        <v>0</v>
      </c>
      <c r="F111" s="974">
        <v>4765</v>
      </c>
      <c r="G111" s="974">
        <v>20594</v>
      </c>
      <c r="H111" s="974">
        <v>0</v>
      </c>
    </row>
    <row r="112" spans="1:8" x14ac:dyDescent="0.2">
      <c r="A112" s="843">
        <v>101</v>
      </c>
      <c r="B112" s="846" t="s">
        <v>215</v>
      </c>
      <c r="C112" s="845" t="s">
        <v>216</v>
      </c>
      <c r="D112" s="970">
        <f t="shared" si="3"/>
        <v>5473</v>
      </c>
      <c r="E112" s="974">
        <v>0</v>
      </c>
      <c r="F112" s="974">
        <v>1165</v>
      </c>
      <c r="G112" s="974">
        <v>4308</v>
      </c>
      <c r="H112" s="974">
        <v>0</v>
      </c>
    </row>
    <row r="113" spans="1:8" x14ac:dyDescent="0.2">
      <c r="A113" s="843">
        <v>102</v>
      </c>
      <c r="B113" s="844" t="s">
        <v>217</v>
      </c>
      <c r="C113" s="848" t="s">
        <v>218</v>
      </c>
      <c r="D113" s="970">
        <f t="shared" si="3"/>
        <v>0</v>
      </c>
      <c r="E113" s="974">
        <v>0</v>
      </c>
      <c r="F113" s="974">
        <v>0</v>
      </c>
      <c r="G113" s="974">
        <v>0</v>
      </c>
      <c r="H113" s="974">
        <v>0</v>
      </c>
    </row>
    <row r="114" spans="1:8" x14ac:dyDescent="0.2">
      <c r="A114" s="843">
        <v>103</v>
      </c>
      <c r="B114" s="844" t="s">
        <v>219</v>
      </c>
      <c r="C114" s="845" t="s">
        <v>220</v>
      </c>
      <c r="D114" s="970">
        <f t="shared" si="3"/>
        <v>0</v>
      </c>
      <c r="E114" s="974">
        <v>0</v>
      </c>
      <c r="F114" s="974">
        <v>0</v>
      </c>
      <c r="G114" s="974">
        <v>0</v>
      </c>
      <c r="H114" s="974"/>
    </row>
    <row r="115" spans="1:8" x14ac:dyDescent="0.2">
      <c r="A115" s="843">
        <v>104</v>
      </c>
      <c r="B115" s="847" t="s">
        <v>221</v>
      </c>
      <c r="C115" s="848" t="s">
        <v>222</v>
      </c>
      <c r="D115" s="970">
        <f t="shared" si="3"/>
        <v>0</v>
      </c>
      <c r="E115" s="974">
        <v>0</v>
      </c>
      <c r="F115" s="974">
        <v>0</v>
      </c>
      <c r="G115" s="974">
        <v>0</v>
      </c>
      <c r="H115" s="974">
        <v>0</v>
      </c>
    </row>
    <row r="116" spans="1:8" x14ac:dyDescent="0.2">
      <c r="A116" s="843">
        <v>105</v>
      </c>
      <c r="B116" s="847" t="s">
        <v>223</v>
      </c>
      <c r="C116" s="848" t="s">
        <v>224</v>
      </c>
      <c r="D116" s="970">
        <f t="shared" si="3"/>
        <v>0</v>
      </c>
      <c r="E116" s="974">
        <v>0</v>
      </c>
      <c r="F116" s="974">
        <v>0</v>
      </c>
      <c r="G116" s="974">
        <v>0</v>
      </c>
      <c r="H116" s="974">
        <v>0</v>
      </c>
    </row>
    <row r="117" spans="1:8" x14ac:dyDescent="0.2">
      <c r="A117" s="843">
        <v>106</v>
      </c>
      <c r="B117" s="847" t="s">
        <v>225</v>
      </c>
      <c r="C117" s="848" t="s">
        <v>226</v>
      </c>
      <c r="D117" s="970">
        <f t="shared" si="3"/>
        <v>0</v>
      </c>
      <c r="E117" s="974">
        <v>0</v>
      </c>
      <c r="F117" s="974">
        <v>0</v>
      </c>
      <c r="G117" s="974">
        <v>0</v>
      </c>
      <c r="H117" s="974">
        <v>0</v>
      </c>
    </row>
    <row r="118" spans="1:8" ht="24" x14ac:dyDescent="0.2">
      <c r="A118" s="843">
        <v>107</v>
      </c>
      <c r="B118" s="847" t="s">
        <v>227</v>
      </c>
      <c r="C118" s="848" t="s">
        <v>228</v>
      </c>
      <c r="D118" s="970">
        <f t="shared" si="3"/>
        <v>0</v>
      </c>
      <c r="E118" s="974">
        <v>0</v>
      </c>
      <c r="F118" s="974">
        <v>0</v>
      </c>
      <c r="G118" s="974">
        <v>0</v>
      </c>
      <c r="H118" s="974">
        <v>0</v>
      </c>
    </row>
    <row r="119" spans="1:8" x14ac:dyDescent="0.2">
      <c r="A119" s="843">
        <v>108</v>
      </c>
      <c r="B119" s="847" t="s">
        <v>229</v>
      </c>
      <c r="C119" s="848" t="s">
        <v>230</v>
      </c>
      <c r="D119" s="970">
        <f t="shared" si="3"/>
        <v>0</v>
      </c>
      <c r="E119" s="974">
        <v>0</v>
      </c>
      <c r="F119" s="974">
        <v>0</v>
      </c>
      <c r="G119" s="974">
        <v>0</v>
      </c>
      <c r="H119" s="974">
        <v>0</v>
      </c>
    </row>
    <row r="120" spans="1:8" x14ac:dyDescent="0.2">
      <c r="A120" s="843">
        <v>109</v>
      </c>
      <c r="B120" s="847" t="s">
        <v>231</v>
      </c>
      <c r="C120" s="848" t="s">
        <v>232</v>
      </c>
      <c r="D120" s="970">
        <f t="shared" si="3"/>
        <v>0</v>
      </c>
      <c r="E120" s="974">
        <v>0</v>
      </c>
      <c r="F120" s="974">
        <v>0</v>
      </c>
      <c r="G120" s="974">
        <v>0</v>
      </c>
      <c r="H120" s="974">
        <v>0</v>
      </c>
    </row>
    <row r="121" spans="1:8" x14ac:dyDescent="0.2">
      <c r="A121" s="843">
        <v>110</v>
      </c>
      <c r="B121" s="854" t="s">
        <v>233</v>
      </c>
      <c r="C121" s="855" t="s">
        <v>234</v>
      </c>
      <c r="D121" s="970">
        <f t="shared" si="3"/>
        <v>0</v>
      </c>
      <c r="E121" s="974">
        <v>0</v>
      </c>
      <c r="F121" s="974">
        <v>0</v>
      </c>
      <c r="G121" s="974">
        <v>0</v>
      </c>
      <c r="H121" s="974">
        <v>0</v>
      </c>
    </row>
    <row r="122" spans="1:8" x14ac:dyDescent="0.2">
      <c r="A122" s="843">
        <v>111</v>
      </c>
      <c r="B122" s="854" t="s">
        <v>235</v>
      </c>
      <c r="C122" s="855" t="s">
        <v>236</v>
      </c>
      <c r="D122" s="970">
        <f t="shared" si="3"/>
        <v>0</v>
      </c>
      <c r="E122" s="974">
        <v>0</v>
      </c>
      <c r="F122" s="974">
        <v>0</v>
      </c>
      <c r="G122" s="974">
        <v>0</v>
      </c>
      <c r="H122" s="974">
        <v>0</v>
      </c>
    </row>
    <row r="123" spans="1:8" x14ac:dyDescent="0.2">
      <c r="A123" s="843">
        <v>112</v>
      </c>
      <c r="B123" s="846" t="s">
        <v>237</v>
      </c>
      <c r="C123" s="845" t="s">
        <v>238</v>
      </c>
      <c r="D123" s="970">
        <f t="shared" si="3"/>
        <v>0</v>
      </c>
      <c r="E123" s="974">
        <v>0</v>
      </c>
      <c r="F123" s="974">
        <v>0</v>
      </c>
      <c r="G123" s="974">
        <v>0</v>
      </c>
      <c r="H123" s="974">
        <v>0</v>
      </c>
    </row>
    <row r="124" spans="1:8" x14ac:dyDescent="0.2">
      <c r="A124" s="843">
        <v>113</v>
      </c>
      <c r="B124" s="847" t="s">
        <v>239</v>
      </c>
      <c r="C124" s="848" t="s">
        <v>240</v>
      </c>
      <c r="D124" s="970">
        <f t="shared" si="3"/>
        <v>0</v>
      </c>
      <c r="E124" s="974">
        <v>0</v>
      </c>
      <c r="F124" s="974">
        <v>0</v>
      </c>
      <c r="G124" s="974">
        <v>0</v>
      </c>
      <c r="H124" s="974">
        <v>0</v>
      </c>
    </row>
    <row r="125" spans="1:8" ht="24" x14ac:dyDescent="0.2">
      <c r="A125" s="843">
        <v>114</v>
      </c>
      <c r="B125" s="844" t="s">
        <v>241</v>
      </c>
      <c r="C125" s="856" t="s">
        <v>242</v>
      </c>
      <c r="D125" s="970">
        <f t="shared" si="3"/>
        <v>0</v>
      </c>
      <c r="E125" s="974">
        <v>0</v>
      </c>
      <c r="F125" s="974">
        <v>0</v>
      </c>
      <c r="G125" s="974">
        <v>0</v>
      </c>
      <c r="H125" s="974">
        <v>0</v>
      </c>
    </row>
    <row r="126" spans="1:8" x14ac:dyDescent="0.2">
      <c r="A126" s="843">
        <v>115</v>
      </c>
      <c r="B126" s="847" t="s">
        <v>243</v>
      </c>
      <c r="C126" s="32" t="s">
        <v>385</v>
      </c>
      <c r="D126" s="970">
        <f t="shared" si="3"/>
        <v>0</v>
      </c>
      <c r="E126" s="974">
        <v>0</v>
      </c>
      <c r="F126" s="974">
        <v>0</v>
      </c>
      <c r="G126" s="974">
        <v>0</v>
      </c>
      <c r="H126" s="974">
        <v>0</v>
      </c>
    </row>
    <row r="127" spans="1:8" x14ac:dyDescent="0.2">
      <c r="A127" s="843">
        <v>116</v>
      </c>
      <c r="B127" s="846" t="s">
        <v>244</v>
      </c>
      <c r="C127" s="848" t="s">
        <v>245</v>
      </c>
      <c r="D127" s="970">
        <f t="shared" si="3"/>
        <v>0</v>
      </c>
      <c r="E127" s="974">
        <v>0</v>
      </c>
      <c r="F127" s="974">
        <v>0</v>
      </c>
      <c r="G127" s="974">
        <v>0</v>
      </c>
      <c r="H127" s="974">
        <v>0</v>
      </c>
    </row>
    <row r="128" spans="1:8" x14ac:dyDescent="0.2">
      <c r="A128" s="843">
        <v>117</v>
      </c>
      <c r="B128" s="846" t="s">
        <v>246</v>
      </c>
      <c r="C128" s="848" t="s">
        <v>247</v>
      </c>
      <c r="D128" s="970">
        <f t="shared" si="3"/>
        <v>0</v>
      </c>
      <c r="E128" s="974">
        <v>0</v>
      </c>
      <c r="F128" s="974">
        <v>0</v>
      </c>
      <c r="G128" s="974">
        <v>0</v>
      </c>
      <c r="H128" s="974">
        <v>0</v>
      </c>
    </row>
    <row r="129" spans="1:8" x14ac:dyDescent="0.2">
      <c r="A129" s="843">
        <v>118</v>
      </c>
      <c r="B129" s="846" t="s">
        <v>248</v>
      </c>
      <c r="C129" s="848" t="s">
        <v>249</v>
      </c>
      <c r="D129" s="970">
        <f t="shared" si="3"/>
        <v>0</v>
      </c>
      <c r="E129" s="974">
        <v>0</v>
      </c>
      <c r="F129" s="974">
        <v>0</v>
      </c>
      <c r="G129" s="974">
        <v>0</v>
      </c>
      <c r="H129" s="974">
        <v>0</v>
      </c>
    </row>
    <row r="130" spans="1:8" x14ac:dyDescent="0.2">
      <c r="A130" s="843">
        <v>119</v>
      </c>
      <c r="B130" s="844" t="s">
        <v>250</v>
      </c>
      <c r="C130" s="845" t="s">
        <v>251</v>
      </c>
      <c r="D130" s="970">
        <f t="shared" si="3"/>
        <v>0</v>
      </c>
      <c r="E130" s="974">
        <v>0</v>
      </c>
      <c r="F130" s="974">
        <v>0</v>
      </c>
      <c r="G130" s="974">
        <v>0</v>
      </c>
      <c r="H130" s="974">
        <v>0</v>
      </c>
    </row>
    <row r="131" spans="1:8" x14ac:dyDescent="0.2">
      <c r="A131" s="843">
        <v>120</v>
      </c>
      <c r="B131" s="846" t="s">
        <v>252</v>
      </c>
      <c r="C131" s="845" t="s">
        <v>253</v>
      </c>
      <c r="D131" s="970">
        <f t="shared" si="3"/>
        <v>0</v>
      </c>
      <c r="E131" s="974">
        <v>0</v>
      </c>
      <c r="F131" s="974">
        <v>0</v>
      </c>
      <c r="G131" s="974">
        <v>0</v>
      </c>
      <c r="H131" s="974">
        <v>0</v>
      </c>
    </row>
    <row r="132" spans="1:8" x14ac:dyDescent="0.2">
      <c r="A132" s="843">
        <v>121</v>
      </c>
      <c r="B132" s="847" t="s">
        <v>254</v>
      </c>
      <c r="C132" s="848" t="s">
        <v>255</v>
      </c>
      <c r="D132" s="970">
        <f t="shared" si="3"/>
        <v>0</v>
      </c>
      <c r="E132" s="974">
        <v>0</v>
      </c>
      <c r="F132" s="974">
        <v>0</v>
      </c>
      <c r="G132" s="974">
        <v>0</v>
      </c>
      <c r="H132" s="974">
        <v>0</v>
      </c>
    </row>
    <row r="133" spans="1:8" x14ac:dyDescent="0.2">
      <c r="A133" s="843">
        <v>122</v>
      </c>
      <c r="B133" s="847" t="s">
        <v>256</v>
      </c>
      <c r="C133" s="848" t="s">
        <v>257</v>
      </c>
      <c r="D133" s="970">
        <f t="shared" si="3"/>
        <v>0</v>
      </c>
      <c r="E133" s="974">
        <v>0</v>
      </c>
      <c r="F133" s="974">
        <v>0</v>
      </c>
      <c r="G133" s="974">
        <v>0</v>
      </c>
      <c r="H133" s="974">
        <v>0</v>
      </c>
    </row>
    <row r="134" spans="1:8" x14ac:dyDescent="0.2">
      <c r="A134" s="843">
        <v>123</v>
      </c>
      <c r="B134" s="847" t="s">
        <v>258</v>
      </c>
      <c r="C134" s="848" t="s">
        <v>259</v>
      </c>
      <c r="D134" s="970">
        <f t="shared" si="3"/>
        <v>0</v>
      </c>
      <c r="E134" s="974">
        <v>0</v>
      </c>
      <c r="F134" s="974">
        <v>0</v>
      </c>
      <c r="G134" s="974">
        <v>0</v>
      </c>
      <c r="H134" s="974">
        <v>0</v>
      </c>
    </row>
    <row r="135" spans="1:8" x14ac:dyDescent="0.2">
      <c r="A135" s="843">
        <v>124</v>
      </c>
      <c r="B135" s="847" t="s">
        <v>260</v>
      </c>
      <c r="C135" s="848" t="s">
        <v>261</v>
      </c>
      <c r="D135" s="970">
        <f t="shared" si="3"/>
        <v>0</v>
      </c>
      <c r="E135" s="974">
        <v>0</v>
      </c>
      <c r="F135" s="974">
        <v>0</v>
      </c>
      <c r="G135" s="974">
        <v>0</v>
      </c>
      <c r="H135" s="974">
        <v>0</v>
      </c>
    </row>
    <row r="136" spans="1:8" x14ac:dyDescent="0.2">
      <c r="A136" s="843">
        <v>125</v>
      </c>
      <c r="B136" s="847" t="s">
        <v>262</v>
      </c>
      <c r="C136" s="848" t="s">
        <v>263</v>
      </c>
      <c r="D136" s="970">
        <f t="shared" si="3"/>
        <v>0</v>
      </c>
      <c r="E136" s="974">
        <v>0</v>
      </c>
      <c r="F136" s="974">
        <v>0</v>
      </c>
      <c r="G136" s="974">
        <v>0</v>
      </c>
      <c r="H136" s="974">
        <v>0</v>
      </c>
    </row>
    <row r="137" spans="1:8" x14ac:dyDescent="0.2">
      <c r="A137" s="843">
        <v>126</v>
      </c>
      <c r="B137" s="844" t="s">
        <v>264</v>
      </c>
      <c r="C137" s="845" t="s">
        <v>265</v>
      </c>
      <c r="D137" s="970">
        <f t="shared" si="3"/>
        <v>0</v>
      </c>
      <c r="E137" s="974">
        <v>0</v>
      </c>
      <c r="F137" s="974">
        <v>0</v>
      </c>
      <c r="G137" s="974">
        <v>0</v>
      </c>
      <c r="H137" s="974">
        <v>0</v>
      </c>
    </row>
    <row r="138" spans="1:8" x14ac:dyDescent="0.2">
      <c r="A138" s="843">
        <v>127</v>
      </c>
      <c r="B138" s="844" t="s">
        <v>266</v>
      </c>
      <c r="C138" s="848" t="s">
        <v>267</v>
      </c>
      <c r="D138" s="970">
        <f t="shared" ref="D138:D151" si="4">E138+F138+G138+H138</f>
        <v>11801</v>
      </c>
      <c r="E138" s="974">
        <v>11801</v>
      </c>
      <c r="F138" s="974">
        <v>0</v>
      </c>
      <c r="G138" s="974">
        <v>0</v>
      </c>
      <c r="H138" s="974">
        <v>0</v>
      </c>
    </row>
    <row r="139" spans="1:8" x14ac:dyDescent="0.2">
      <c r="A139" s="843">
        <v>128</v>
      </c>
      <c r="B139" s="849" t="s">
        <v>268</v>
      </c>
      <c r="C139" s="32" t="s">
        <v>269</v>
      </c>
      <c r="D139" s="970">
        <f t="shared" si="4"/>
        <v>24131</v>
      </c>
      <c r="E139" s="974">
        <v>24131</v>
      </c>
      <c r="F139" s="974">
        <v>0</v>
      </c>
      <c r="G139" s="974">
        <v>0</v>
      </c>
      <c r="H139" s="974">
        <v>0</v>
      </c>
    </row>
    <row r="140" spans="1:8" x14ac:dyDescent="0.2">
      <c r="A140" s="843">
        <v>129</v>
      </c>
      <c r="B140" s="847" t="s">
        <v>270</v>
      </c>
      <c r="C140" s="848" t="s">
        <v>271</v>
      </c>
      <c r="D140" s="970">
        <f t="shared" si="4"/>
        <v>0</v>
      </c>
      <c r="E140" s="974">
        <v>0</v>
      </c>
      <c r="F140" s="974">
        <v>0</v>
      </c>
      <c r="G140" s="974">
        <v>0</v>
      </c>
      <c r="H140" s="974">
        <v>0</v>
      </c>
    </row>
    <row r="141" spans="1:8" x14ac:dyDescent="0.2">
      <c r="A141" s="843">
        <v>130</v>
      </c>
      <c r="B141" s="847" t="s">
        <v>272</v>
      </c>
      <c r="C141" s="848" t="s">
        <v>273</v>
      </c>
      <c r="D141" s="970">
        <f t="shared" si="4"/>
        <v>12487</v>
      </c>
      <c r="E141" s="974">
        <v>0</v>
      </c>
      <c r="F141" s="974">
        <v>0</v>
      </c>
      <c r="G141" s="974">
        <v>0</v>
      </c>
      <c r="H141" s="974">
        <f>11695+792</f>
        <v>12487</v>
      </c>
    </row>
    <row r="142" spans="1:8" x14ac:dyDescent="0.2">
      <c r="A142" s="843">
        <v>131</v>
      </c>
      <c r="B142" s="847" t="s">
        <v>274</v>
      </c>
      <c r="C142" s="848" t="s">
        <v>275</v>
      </c>
      <c r="D142" s="970">
        <f t="shared" si="4"/>
        <v>0</v>
      </c>
      <c r="E142" s="974">
        <v>0</v>
      </c>
      <c r="F142" s="974">
        <v>0</v>
      </c>
      <c r="G142" s="974">
        <v>0</v>
      </c>
      <c r="H142" s="974">
        <v>0</v>
      </c>
    </row>
    <row r="143" spans="1:8" x14ac:dyDescent="0.2">
      <c r="A143" s="843">
        <v>132</v>
      </c>
      <c r="B143" s="849" t="s">
        <v>276</v>
      </c>
      <c r="C143" s="32" t="s">
        <v>277</v>
      </c>
      <c r="D143" s="970">
        <f t="shared" si="4"/>
        <v>7822</v>
      </c>
      <c r="E143" s="974">
        <v>0</v>
      </c>
      <c r="F143" s="974">
        <v>3836</v>
      </c>
      <c r="G143" s="974">
        <v>3986</v>
      </c>
      <c r="H143" s="974">
        <v>0</v>
      </c>
    </row>
    <row r="144" spans="1:8" x14ac:dyDescent="0.2">
      <c r="A144" s="843">
        <v>133</v>
      </c>
      <c r="B144" s="846" t="s">
        <v>278</v>
      </c>
      <c r="C144" s="32" t="s">
        <v>279</v>
      </c>
      <c r="D144" s="970">
        <f t="shared" si="4"/>
        <v>61715</v>
      </c>
      <c r="E144" s="974">
        <v>0</v>
      </c>
      <c r="F144" s="974">
        <v>13757</v>
      </c>
      <c r="G144" s="974">
        <v>47958</v>
      </c>
      <c r="H144" s="974">
        <v>0</v>
      </c>
    </row>
    <row r="145" spans="1:8" x14ac:dyDescent="0.2">
      <c r="A145" s="843">
        <v>134</v>
      </c>
      <c r="B145" s="847" t="s">
        <v>280</v>
      </c>
      <c r="C145" s="848" t="s">
        <v>281</v>
      </c>
      <c r="D145" s="970">
        <f t="shared" si="4"/>
        <v>0</v>
      </c>
      <c r="E145" s="974">
        <v>0</v>
      </c>
      <c r="F145" s="974">
        <v>0</v>
      </c>
      <c r="G145" s="974">
        <v>0</v>
      </c>
      <c r="H145" s="974">
        <v>0</v>
      </c>
    </row>
    <row r="146" spans="1:8" x14ac:dyDescent="0.2">
      <c r="A146" s="843">
        <v>135</v>
      </c>
      <c r="B146" s="844" t="s">
        <v>282</v>
      </c>
      <c r="C146" s="845" t="s">
        <v>283</v>
      </c>
      <c r="D146" s="970">
        <f t="shared" si="4"/>
        <v>0</v>
      </c>
      <c r="E146" s="974">
        <v>0</v>
      </c>
      <c r="F146" s="974">
        <v>0</v>
      </c>
      <c r="G146" s="974">
        <v>0</v>
      </c>
      <c r="H146" s="974">
        <v>0</v>
      </c>
    </row>
    <row r="147" spans="1:8" ht="12.75" x14ac:dyDescent="0.2">
      <c r="A147" s="843">
        <v>136</v>
      </c>
      <c r="B147" s="857" t="s">
        <v>284</v>
      </c>
      <c r="C147" s="858" t="s">
        <v>285</v>
      </c>
      <c r="D147" s="970">
        <f t="shared" si="4"/>
        <v>0</v>
      </c>
      <c r="E147" s="974">
        <v>0</v>
      </c>
      <c r="F147" s="974">
        <v>0</v>
      </c>
      <c r="G147" s="974">
        <v>0</v>
      </c>
      <c r="H147" s="974">
        <v>0</v>
      </c>
    </row>
    <row r="148" spans="1:8" x14ac:dyDescent="0.2">
      <c r="A148" s="843">
        <v>137</v>
      </c>
      <c r="B148" s="40" t="s">
        <v>387</v>
      </c>
      <c r="C148" s="859" t="s">
        <v>388</v>
      </c>
      <c r="D148" s="970">
        <f t="shared" si="4"/>
        <v>0</v>
      </c>
      <c r="E148" s="974"/>
      <c r="F148" s="974"/>
      <c r="G148" s="974"/>
      <c r="H148" s="975">
        <v>0</v>
      </c>
    </row>
    <row r="149" spans="1:8" x14ac:dyDescent="0.2">
      <c r="A149" s="843">
        <v>138</v>
      </c>
      <c r="B149" s="41" t="s">
        <v>389</v>
      </c>
      <c r="C149" s="860" t="s">
        <v>390</v>
      </c>
      <c r="D149" s="970">
        <f t="shared" si="4"/>
        <v>0</v>
      </c>
      <c r="E149" s="974"/>
      <c r="F149" s="974"/>
      <c r="G149" s="974"/>
      <c r="H149" s="975">
        <v>0</v>
      </c>
    </row>
    <row r="150" spans="1:8" x14ac:dyDescent="0.2">
      <c r="A150" s="843">
        <v>139</v>
      </c>
      <c r="B150" s="42" t="s">
        <v>391</v>
      </c>
      <c r="C150" s="861" t="s">
        <v>392</v>
      </c>
      <c r="D150" s="970">
        <f t="shared" si="4"/>
        <v>0</v>
      </c>
      <c r="E150" s="974"/>
      <c r="F150" s="974"/>
      <c r="G150" s="974"/>
      <c r="H150" s="975">
        <v>0</v>
      </c>
    </row>
    <row r="151" spans="1:8" x14ac:dyDescent="0.2">
      <c r="A151" s="843">
        <v>140</v>
      </c>
      <c r="B151" s="843" t="s">
        <v>393</v>
      </c>
      <c r="C151" s="862" t="s">
        <v>394</v>
      </c>
      <c r="D151" s="970">
        <f t="shared" si="4"/>
        <v>0</v>
      </c>
      <c r="E151" s="974"/>
      <c r="F151" s="974"/>
      <c r="G151" s="974"/>
      <c r="H151" s="975">
        <v>0</v>
      </c>
    </row>
  </sheetData>
  <mergeCells count="15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55"/>
  <sheetViews>
    <sheetView workbookViewId="0">
      <pane xSplit="4" ySplit="9" topLeftCell="E133" activePane="bottomRight" state="frozen"/>
      <selection pane="topRight" activeCell="E1" sqref="E1"/>
      <selection pane="bottomLeft" activeCell="A10" sqref="A10"/>
      <selection pane="bottomRight" activeCell="O5" sqref="O5"/>
    </sheetView>
  </sheetViews>
  <sheetFormatPr defaultRowHeight="15" x14ac:dyDescent="0.25"/>
  <cols>
    <col min="1" max="2" width="9.140625" style="293"/>
    <col min="3" max="3" width="46.7109375" style="293" customWidth="1"/>
    <col min="4" max="4" width="14" style="293" customWidth="1"/>
    <col min="5" max="5" width="17.28515625" style="293" customWidth="1"/>
    <col min="6" max="6" width="9.140625" style="293"/>
    <col min="7" max="7" width="14.85546875" style="293" customWidth="1"/>
    <col min="8" max="8" width="16.7109375" style="293" customWidth="1"/>
    <col min="9" max="16384" width="9.140625" style="293"/>
  </cols>
  <sheetData>
    <row r="1" spans="1:8" ht="43.5" customHeight="1" x14ac:dyDescent="0.25">
      <c r="A1" s="1106" t="s">
        <v>747</v>
      </c>
      <c r="B1" s="1106"/>
      <c r="C1" s="1106"/>
      <c r="D1" s="1106"/>
      <c r="E1" s="1106"/>
      <c r="F1" s="1106"/>
      <c r="G1" s="1106"/>
      <c r="H1" s="1106"/>
    </row>
    <row r="2" spans="1:8" ht="32.25" customHeight="1" x14ac:dyDescent="0.25">
      <c r="A2" s="1107" t="s">
        <v>0</v>
      </c>
      <c r="B2" s="1108" t="s">
        <v>1</v>
      </c>
      <c r="C2" s="1107" t="s">
        <v>2</v>
      </c>
      <c r="D2" s="1110" t="s">
        <v>748</v>
      </c>
      <c r="E2" s="1111"/>
      <c r="F2" s="1111"/>
      <c r="G2" s="1111"/>
      <c r="H2" s="1112"/>
    </row>
    <row r="3" spans="1:8" x14ac:dyDescent="0.25">
      <c r="A3" s="1107"/>
      <c r="B3" s="1109"/>
      <c r="C3" s="1107"/>
      <c r="D3" s="1113" t="s">
        <v>3</v>
      </c>
      <c r="E3" s="1107" t="s">
        <v>4</v>
      </c>
      <c r="F3" s="1107"/>
      <c r="G3" s="1107"/>
      <c r="H3" s="1107"/>
    </row>
    <row r="4" spans="1:8" ht="39" customHeight="1" x14ac:dyDescent="0.25">
      <c r="A4" s="1107"/>
      <c r="B4" s="1109"/>
      <c r="C4" s="1107"/>
      <c r="D4" s="1113"/>
      <c r="E4" s="1114" t="s">
        <v>340</v>
      </c>
      <c r="F4" s="1116" t="s">
        <v>341</v>
      </c>
      <c r="G4" s="1116"/>
      <c r="H4" s="1116"/>
    </row>
    <row r="5" spans="1:8" ht="36" x14ac:dyDescent="0.25">
      <c r="A5" s="1107"/>
      <c r="B5" s="1109"/>
      <c r="C5" s="1107"/>
      <c r="D5" s="1113"/>
      <c r="E5" s="1115"/>
      <c r="F5" s="976" t="s">
        <v>297</v>
      </c>
      <c r="G5" s="977" t="s">
        <v>345</v>
      </c>
      <c r="H5" s="978" t="s">
        <v>346</v>
      </c>
    </row>
    <row r="6" spans="1:8" x14ac:dyDescent="0.25">
      <c r="A6" s="979">
        <v>1</v>
      </c>
      <c r="B6" s="979">
        <v>2</v>
      </c>
      <c r="C6" s="979">
        <v>3</v>
      </c>
      <c r="D6" s="980">
        <v>4</v>
      </c>
      <c r="E6" s="981">
        <v>5</v>
      </c>
      <c r="F6" s="981">
        <v>6</v>
      </c>
      <c r="G6" s="981">
        <v>7</v>
      </c>
      <c r="H6" s="981">
        <v>8</v>
      </c>
    </row>
    <row r="7" spans="1:8" x14ac:dyDescent="0.25">
      <c r="A7" s="1117" t="s">
        <v>6</v>
      </c>
      <c r="B7" s="1117"/>
      <c r="C7" s="1117"/>
      <c r="D7" s="982">
        <f>D8+D9</f>
        <v>572528</v>
      </c>
      <c r="E7" s="982">
        <f>E8+E9</f>
        <v>33593</v>
      </c>
      <c r="F7" s="982">
        <f>F8+F9</f>
        <v>538935</v>
      </c>
      <c r="G7" s="982">
        <f>G8+G9</f>
        <v>95136</v>
      </c>
      <c r="H7" s="982">
        <f t="shared" ref="H7" si="0">H8+H9</f>
        <v>443799</v>
      </c>
    </row>
    <row r="8" spans="1:8" x14ac:dyDescent="0.25">
      <c r="A8" s="1118" t="s">
        <v>14</v>
      </c>
      <c r="B8" s="1119"/>
      <c r="C8" s="1120"/>
      <c r="D8" s="980">
        <f t="shared" ref="D8" si="1">E8+F8</f>
        <v>0</v>
      </c>
      <c r="E8" s="981"/>
      <c r="F8" s="981"/>
      <c r="G8" s="981"/>
      <c r="H8" s="981"/>
    </row>
    <row r="9" spans="1:8" x14ac:dyDescent="0.25">
      <c r="A9" s="1118" t="s">
        <v>15</v>
      </c>
      <c r="B9" s="1119"/>
      <c r="C9" s="1120"/>
      <c r="D9" s="982">
        <f>E9+F9</f>
        <v>572528</v>
      </c>
      <c r="E9" s="982">
        <f>SUM(E10:E145)</f>
        <v>33593</v>
      </c>
      <c r="F9" s="982">
        <f>SUM(G9:H9)</f>
        <v>538935</v>
      </c>
      <c r="G9" s="982">
        <f>SUM(G10:G145)</f>
        <v>95136</v>
      </c>
      <c r="H9" s="982">
        <f>SUM(H10:H145)</f>
        <v>443799</v>
      </c>
    </row>
    <row r="10" spans="1:8" x14ac:dyDescent="0.25">
      <c r="A10" s="294">
        <v>1</v>
      </c>
      <c r="B10" s="295" t="s">
        <v>16</v>
      </c>
      <c r="C10" s="296" t="s">
        <v>17</v>
      </c>
      <c r="D10" s="981">
        <f t="shared" ref="D10:D73" si="2">E10+F10</f>
        <v>0</v>
      </c>
      <c r="E10" s="981">
        <v>0</v>
      </c>
      <c r="F10" s="981">
        <f t="shared" ref="F10:F73" si="3">SUM(G10:H10)</f>
        <v>0</v>
      </c>
      <c r="G10" s="981">
        <v>0</v>
      </c>
      <c r="H10" s="981">
        <v>0</v>
      </c>
    </row>
    <row r="11" spans="1:8" x14ac:dyDescent="0.25">
      <c r="A11" s="294">
        <v>2</v>
      </c>
      <c r="B11" s="297" t="s">
        <v>18</v>
      </c>
      <c r="C11" s="296" t="s">
        <v>19</v>
      </c>
      <c r="D11" s="981">
        <f t="shared" si="2"/>
        <v>2852</v>
      </c>
      <c r="E11" s="981">
        <v>0</v>
      </c>
      <c r="F11" s="981">
        <f t="shared" si="3"/>
        <v>2852</v>
      </c>
      <c r="G11" s="981">
        <v>0</v>
      </c>
      <c r="H11" s="981">
        <v>2852</v>
      </c>
    </row>
    <row r="12" spans="1:8" x14ac:dyDescent="0.25">
      <c r="A12" s="294">
        <v>3</v>
      </c>
      <c r="B12" s="298" t="s">
        <v>20</v>
      </c>
      <c r="C12" s="299" t="s">
        <v>21</v>
      </c>
      <c r="D12" s="981">
        <f t="shared" si="2"/>
        <v>24850</v>
      </c>
      <c r="E12" s="981">
        <v>0</v>
      </c>
      <c r="F12" s="981">
        <f t="shared" si="3"/>
        <v>24850</v>
      </c>
      <c r="G12" s="981">
        <v>285</v>
      </c>
      <c r="H12" s="981">
        <v>24565</v>
      </c>
    </row>
    <row r="13" spans="1:8" x14ac:dyDescent="0.25">
      <c r="A13" s="294">
        <v>4</v>
      </c>
      <c r="B13" s="295" t="s">
        <v>22</v>
      </c>
      <c r="C13" s="296" t="s">
        <v>23</v>
      </c>
      <c r="D13" s="981">
        <f t="shared" si="2"/>
        <v>2387</v>
      </c>
      <c r="E13" s="981">
        <v>0</v>
      </c>
      <c r="F13" s="981">
        <f t="shared" si="3"/>
        <v>2387</v>
      </c>
      <c r="G13" s="981">
        <v>0</v>
      </c>
      <c r="H13" s="981">
        <v>2387</v>
      </c>
    </row>
    <row r="14" spans="1:8" x14ac:dyDescent="0.25">
      <c r="A14" s="294">
        <v>5</v>
      </c>
      <c r="B14" s="295" t="s">
        <v>24</v>
      </c>
      <c r="C14" s="296" t="s">
        <v>25</v>
      </c>
      <c r="D14" s="981">
        <f t="shared" si="2"/>
        <v>6201</v>
      </c>
      <c r="E14" s="981">
        <v>0</v>
      </c>
      <c r="F14" s="981">
        <f t="shared" si="3"/>
        <v>6201</v>
      </c>
      <c r="G14" s="981">
        <v>1500</v>
      </c>
      <c r="H14" s="981">
        <v>4701</v>
      </c>
    </row>
    <row r="15" spans="1:8" x14ac:dyDescent="0.25">
      <c r="A15" s="294">
        <v>6</v>
      </c>
      <c r="B15" s="298" t="s">
        <v>26</v>
      </c>
      <c r="C15" s="299" t="s">
        <v>27</v>
      </c>
      <c r="D15" s="981">
        <f t="shared" si="2"/>
        <v>3660</v>
      </c>
      <c r="E15" s="981">
        <v>0</v>
      </c>
      <c r="F15" s="981">
        <f t="shared" si="3"/>
        <v>3660</v>
      </c>
      <c r="G15" s="981">
        <v>2320</v>
      </c>
      <c r="H15" s="981">
        <v>1340</v>
      </c>
    </row>
    <row r="16" spans="1:8" x14ac:dyDescent="0.25">
      <c r="A16" s="294">
        <v>7</v>
      </c>
      <c r="B16" s="300" t="s">
        <v>28</v>
      </c>
      <c r="C16" s="301" t="s">
        <v>29</v>
      </c>
      <c r="D16" s="981">
        <f t="shared" si="2"/>
        <v>7165</v>
      </c>
      <c r="E16" s="981">
        <v>0</v>
      </c>
      <c r="F16" s="981">
        <f t="shared" si="3"/>
        <v>7165</v>
      </c>
      <c r="G16" s="981">
        <v>2012</v>
      </c>
      <c r="H16" s="981">
        <v>5153</v>
      </c>
    </row>
    <row r="17" spans="1:8" x14ac:dyDescent="0.25">
      <c r="A17" s="294">
        <v>8</v>
      </c>
      <c r="B17" s="298" t="s">
        <v>30</v>
      </c>
      <c r="C17" s="299" t="s">
        <v>31</v>
      </c>
      <c r="D17" s="981">
        <f t="shared" si="2"/>
        <v>6000</v>
      </c>
      <c r="E17" s="981">
        <v>0</v>
      </c>
      <c r="F17" s="981">
        <f t="shared" si="3"/>
        <v>6000</v>
      </c>
      <c r="G17" s="981">
        <v>3000</v>
      </c>
      <c r="H17" s="981">
        <v>3000</v>
      </c>
    </row>
    <row r="18" spans="1:8" x14ac:dyDescent="0.25">
      <c r="A18" s="294">
        <v>9</v>
      </c>
      <c r="B18" s="298" t="s">
        <v>32</v>
      </c>
      <c r="C18" s="299" t="s">
        <v>33</v>
      </c>
      <c r="D18" s="981">
        <f t="shared" si="2"/>
        <v>0</v>
      </c>
      <c r="E18" s="981">
        <v>0</v>
      </c>
      <c r="F18" s="981">
        <f t="shared" si="3"/>
        <v>0</v>
      </c>
      <c r="G18" s="981">
        <v>0</v>
      </c>
      <c r="H18" s="981">
        <v>0</v>
      </c>
    </row>
    <row r="19" spans="1:8" x14ac:dyDescent="0.25">
      <c r="A19" s="294">
        <v>10</v>
      </c>
      <c r="B19" s="298" t="s">
        <v>34</v>
      </c>
      <c r="C19" s="299" t="s">
        <v>35</v>
      </c>
      <c r="D19" s="981">
        <f t="shared" si="2"/>
        <v>5206</v>
      </c>
      <c r="E19" s="981">
        <v>0</v>
      </c>
      <c r="F19" s="981">
        <f t="shared" si="3"/>
        <v>5206</v>
      </c>
      <c r="G19" s="981">
        <v>1206</v>
      </c>
      <c r="H19" s="981">
        <v>4000</v>
      </c>
    </row>
    <row r="20" spans="1:8" x14ac:dyDescent="0.25">
      <c r="A20" s="294">
        <v>11</v>
      </c>
      <c r="B20" s="298" t="s">
        <v>36</v>
      </c>
      <c r="C20" s="299" t="s">
        <v>37</v>
      </c>
      <c r="D20" s="981">
        <f t="shared" si="2"/>
        <v>11105</v>
      </c>
      <c r="E20" s="981">
        <v>0</v>
      </c>
      <c r="F20" s="981">
        <f t="shared" si="3"/>
        <v>11105</v>
      </c>
      <c r="G20" s="981">
        <v>2520</v>
      </c>
      <c r="H20" s="981">
        <v>8585</v>
      </c>
    </row>
    <row r="21" spans="1:8" x14ac:dyDescent="0.25">
      <c r="A21" s="294">
        <v>12</v>
      </c>
      <c r="B21" s="298" t="s">
        <v>38</v>
      </c>
      <c r="C21" s="299" t="s">
        <v>39</v>
      </c>
      <c r="D21" s="981">
        <f t="shared" si="2"/>
        <v>2010</v>
      </c>
      <c r="E21" s="981">
        <v>0</v>
      </c>
      <c r="F21" s="981">
        <f t="shared" si="3"/>
        <v>2010</v>
      </c>
      <c r="G21" s="981">
        <v>10</v>
      </c>
      <c r="H21" s="981">
        <v>2000</v>
      </c>
    </row>
    <row r="22" spans="1:8" x14ac:dyDescent="0.25">
      <c r="A22" s="302">
        <v>13</v>
      </c>
      <c r="B22" s="298" t="s">
        <v>40</v>
      </c>
      <c r="C22" s="299" t="s">
        <v>41</v>
      </c>
      <c r="D22" s="981">
        <f t="shared" si="2"/>
        <v>0</v>
      </c>
      <c r="E22" s="981">
        <v>0</v>
      </c>
      <c r="F22" s="981">
        <f t="shared" si="3"/>
        <v>0</v>
      </c>
      <c r="G22" s="981">
        <v>0</v>
      </c>
      <c r="H22" s="981">
        <v>0</v>
      </c>
    </row>
    <row r="23" spans="1:8" x14ac:dyDescent="0.25">
      <c r="A23" s="294">
        <v>14</v>
      </c>
      <c r="B23" s="295" t="s">
        <v>42</v>
      </c>
      <c r="C23" s="299" t="s">
        <v>43</v>
      </c>
      <c r="D23" s="981">
        <f t="shared" si="2"/>
        <v>0</v>
      </c>
      <c r="E23" s="981">
        <v>0</v>
      </c>
      <c r="F23" s="981">
        <f t="shared" si="3"/>
        <v>0</v>
      </c>
      <c r="G23" s="981">
        <v>0</v>
      </c>
      <c r="H23" s="981">
        <v>0</v>
      </c>
    </row>
    <row r="24" spans="1:8" x14ac:dyDescent="0.25">
      <c r="A24" s="302">
        <v>15</v>
      </c>
      <c r="B24" s="298" t="s">
        <v>44</v>
      </c>
      <c r="C24" s="299" t="s">
        <v>45</v>
      </c>
      <c r="D24" s="981">
        <f t="shared" si="2"/>
        <v>5107</v>
      </c>
      <c r="E24" s="981">
        <v>0</v>
      </c>
      <c r="F24" s="981">
        <f t="shared" si="3"/>
        <v>5107</v>
      </c>
      <c r="G24" s="981">
        <v>602</v>
      </c>
      <c r="H24" s="981">
        <v>4505</v>
      </c>
    </row>
    <row r="25" spans="1:8" x14ac:dyDescent="0.25">
      <c r="A25" s="294">
        <v>16</v>
      </c>
      <c r="B25" s="298" t="s">
        <v>46</v>
      </c>
      <c r="C25" s="299" t="s">
        <v>47</v>
      </c>
      <c r="D25" s="981">
        <f t="shared" si="2"/>
        <v>0</v>
      </c>
      <c r="E25" s="981">
        <v>0</v>
      </c>
      <c r="F25" s="981">
        <f t="shared" si="3"/>
        <v>0</v>
      </c>
      <c r="G25" s="981">
        <v>0</v>
      </c>
      <c r="H25" s="981">
        <v>0</v>
      </c>
    </row>
    <row r="26" spans="1:8" x14ac:dyDescent="0.25">
      <c r="A26" s="302">
        <v>17</v>
      </c>
      <c r="B26" s="298" t="s">
        <v>48</v>
      </c>
      <c r="C26" s="299" t="s">
        <v>49</v>
      </c>
      <c r="D26" s="981">
        <f t="shared" si="2"/>
        <v>8866</v>
      </c>
      <c r="E26" s="981">
        <v>0</v>
      </c>
      <c r="F26" s="981">
        <f t="shared" si="3"/>
        <v>8866</v>
      </c>
      <c r="G26" s="981">
        <v>2272</v>
      </c>
      <c r="H26" s="981">
        <v>6594</v>
      </c>
    </row>
    <row r="27" spans="1:8" x14ac:dyDescent="0.25">
      <c r="A27" s="294">
        <v>18</v>
      </c>
      <c r="B27" s="298" t="s">
        <v>50</v>
      </c>
      <c r="C27" s="299" t="s">
        <v>51</v>
      </c>
      <c r="D27" s="981">
        <f t="shared" si="2"/>
        <v>52300</v>
      </c>
      <c r="E27" s="981">
        <v>0</v>
      </c>
      <c r="F27" s="981">
        <f t="shared" si="3"/>
        <v>52300</v>
      </c>
      <c r="G27" s="981">
        <v>800</v>
      </c>
      <c r="H27" s="981">
        <v>51500</v>
      </c>
    </row>
    <row r="28" spans="1:8" x14ac:dyDescent="0.25">
      <c r="A28" s="302">
        <v>19</v>
      </c>
      <c r="B28" s="295" t="s">
        <v>52</v>
      </c>
      <c r="C28" s="296" t="s">
        <v>53</v>
      </c>
      <c r="D28" s="981">
        <f t="shared" si="2"/>
        <v>1600</v>
      </c>
      <c r="E28" s="981">
        <v>0</v>
      </c>
      <c r="F28" s="981">
        <f t="shared" si="3"/>
        <v>1600</v>
      </c>
      <c r="G28" s="981">
        <v>1200</v>
      </c>
      <c r="H28" s="981">
        <v>400</v>
      </c>
    </row>
    <row r="29" spans="1:8" x14ac:dyDescent="0.25">
      <c r="A29" s="294">
        <v>20</v>
      </c>
      <c r="B29" s="295" t="s">
        <v>54</v>
      </c>
      <c r="C29" s="296" t="s">
        <v>55</v>
      </c>
      <c r="D29" s="981">
        <f t="shared" si="2"/>
        <v>0</v>
      </c>
      <c r="E29" s="981">
        <v>0</v>
      </c>
      <c r="F29" s="981">
        <f t="shared" si="3"/>
        <v>0</v>
      </c>
      <c r="G29" s="981">
        <v>0</v>
      </c>
      <c r="H29" s="981">
        <v>0</v>
      </c>
    </row>
    <row r="30" spans="1:8" x14ac:dyDescent="0.25">
      <c r="A30" s="302">
        <v>21</v>
      </c>
      <c r="B30" s="295" t="s">
        <v>56</v>
      </c>
      <c r="C30" s="296" t="s">
        <v>57</v>
      </c>
      <c r="D30" s="981">
        <f t="shared" si="2"/>
        <v>3033</v>
      </c>
      <c r="E30" s="981">
        <v>0</v>
      </c>
      <c r="F30" s="981">
        <f t="shared" si="3"/>
        <v>3033</v>
      </c>
      <c r="G30" s="981">
        <v>1981</v>
      </c>
      <c r="H30" s="981">
        <v>1052</v>
      </c>
    </row>
    <row r="31" spans="1:8" x14ac:dyDescent="0.25">
      <c r="A31" s="294">
        <v>22</v>
      </c>
      <c r="B31" s="295" t="s">
        <v>58</v>
      </c>
      <c r="C31" s="296" t="s">
        <v>59</v>
      </c>
      <c r="D31" s="981">
        <f t="shared" si="2"/>
        <v>2250</v>
      </c>
      <c r="E31" s="981">
        <v>0</v>
      </c>
      <c r="F31" s="981">
        <f t="shared" si="3"/>
        <v>2250</v>
      </c>
      <c r="G31" s="981">
        <v>2250</v>
      </c>
      <c r="H31" s="981">
        <v>0</v>
      </c>
    </row>
    <row r="32" spans="1:8" x14ac:dyDescent="0.25">
      <c r="A32" s="302">
        <v>23</v>
      </c>
      <c r="B32" s="298" t="s">
        <v>60</v>
      </c>
      <c r="C32" s="299" t="s">
        <v>61</v>
      </c>
      <c r="D32" s="981">
        <f t="shared" si="2"/>
        <v>1693</v>
      </c>
      <c r="E32" s="981">
        <v>0</v>
      </c>
      <c r="F32" s="981">
        <f t="shared" si="3"/>
        <v>1693</v>
      </c>
      <c r="G32" s="981">
        <v>1200</v>
      </c>
      <c r="H32" s="981">
        <v>493</v>
      </c>
    </row>
    <row r="33" spans="1:8" x14ac:dyDescent="0.25">
      <c r="A33" s="294">
        <v>24</v>
      </c>
      <c r="B33" s="298" t="s">
        <v>62</v>
      </c>
      <c r="C33" s="299" t="s">
        <v>63</v>
      </c>
      <c r="D33" s="981">
        <f t="shared" si="2"/>
        <v>0</v>
      </c>
      <c r="E33" s="981">
        <v>0</v>
      </c>
      <c r="F33" s="981">
        <f t="shared" si="3"/>
        <v>0</v>
      </c>
      <c r="G33" s="981">
        <v>0</v>
      </c>
      <c r="H33" s="981">
        <v>0</v>
      </c>
    </row>
    <row r="34" spans="1:8" x14ac:dyDescent="0.25">
      <c r="A34" s="302">
        <v>25</v>
      </c>
      <c r="B34" s="298" t="s">
        <v>64</v>
      </c>
      <c r="C34" s="299" t="s">
        <v>65</v>
      </c>
      <c r="D34" s="981">
        <f t="shared" si="2"/>
        <v>0</v>
      </c>
      <c r="E34" s="981">
        <v>0</v>
      </c>
      <c r="F34" s="981">
        <f t="shared" si="3"/>
        <v>0</v>
      </c>
      <c r="G34" s="981">
        <v>0</v>
      </c>
      <c r="H34" s="981">
        <v>0</v>
      </c>
    </row>
    <row r="35" spans="1:8" x14ac:dyDescent="0.25">
      <c r="A35" s="294">
        <v>26</v>
      </c>
      <c r="B35" s="295" t="s">
        <v>66</v>
      </c>
      <c r="C35" s="301" t="s">
        <v>67</v>
      </c>
      <c r="D35" s="981">
        <f t="shared" si="2"/>
        <v>33289</v>
      </c>
      <c r="E35" s="981">
        <v>0</v>
      </c>
      <c r="F35" s="981">
        <f t="shared" si="3"/>
        <v>33289</v>
      </c>
      <c r="G35" s="981">
        <v>1987</v>
      </c>
      <c r="H35" s="981">
        <v>31302</v>
      </c>
    </row>
    <row r="36" spans="1:8" x14ac:dyDescent="0.25">
      <c r="A36" s="302">
        <v>27</v>
      </c>
      <c r="B36" s="298" t="s">
        <v>68</v>
      </c>
      <c r="C36" s="299" t="s">
        <v>69</v>
      </c>
      <c r="D36" s="981">
        <f t="shared" si="2"/>
        <v>46307</v>
      </c>
      <c r="E36" s="981">
        <v>0</v>
      </c>
      <c r="F36" s="981">
        <f t="shared" si="3"/>
        <v>46307</v>
      </c>
      <c r="G36" s="981">
        <v>2063</v>
      </c>
      <c r="H36" s="981">
        <v>44244</v>
      </c>
    </row>
    <row r="37" spans="1:8" x14ac:dyDescent="0.25">
      <c r="A37" s="294">
        <v>28</v>
      </c>
      <c r="B37" s="298" t="s">
        <v>70</v>
      </c>
      <c r="C37" s="299" t="s">
        <v>71</v>
      </c>
      <c r="D37" s="981">
        <f t="shared" si="2"/>
        <v>58000</v>
      </c>
      <c r="E37" s="981">
        <v>0</v>
      </c>
      <c r="F37" s="981">
        <f t="shared" si="3"/>
        <v>58000</v>
      </c>
      <c r="G37" s="981">
        <v>0</v>
      </c>
      <c r="H37" s="981">
        <v>58000</v>
      </c>
    </row>
    <row r="38" spans="1:8" x14ac:dyDescent="0.25">
      <c r="A38" s="302">
        <v>29</v>
      </c>
      <c r="B38" s="297" t="s">
        <v>72</v>
      </c>
      <c r="C38" s="301" t="s">
        <v>73</v>
      </c>
      <c r="D38" s="981">
        <f t="shared" si="2"/>
        <v>3050</v>
      </c>
      <c r="E38" s="981">
        <v>3050</v>
      </c>
      <c r="F38" s="981">
        <f t="shared" si="3"/>
        <v>0</v>
      </c>
      <c r="G38" s="981">
        <v>0</v>
      </c>
      <c r="H38" s="981">
        <v>0</v>
      </c>
    </row>
    <row r="39" spans="1:8" x14ac:dyDescent="0.25">
      <c r="A39" s="294">
        <v>30</v>
      </c>
      <c r="B39" s="295" t="s">
        <v>74</v>
      </c>
      <c r="C39" s="296" t="s">
        <v>357</v>
      </c>
      <c r="D39" s="981">
        <f t="shared" si="2"/>
        <v>0</v>
      </c>
      <c r="E39" s="981">
        <v>0</v>
      </c>
      <c r="F39" s="981">
        <f t="shared" si="3"/>
        <v>0</v>
      </c>
      <c r="G39" s="981">
        <v>0</v>
      </c>
      <c r="H39" s="981">
        <v>0</v>
      </c>
    </row>
    <row r="40" spans="1:8" x14ac:dyDescent="0.25">
      <c r="A40" s="302">
        <v>31</v>
      </c>
      <c r="B40" s="298" t="s">
        <v>75</v>
      </c>
      <c r="C40" s="299" t="s">
        <v>76</v>
      </c>
      <c r="D40" s="981">
        <f t="shared" si="2"/>
        <v>300</v>
      </c>
      <c r="E40" s="981">
        <v>0</v>
      </c>
      <c r="F40" s="981">
        <f t="shared" si="3"/>
        <v>300</v>
      </c>
      <c r="G40" s="981">
        <v>0</v>
      </c>
      <c r="H40" s="981">
        <v>300</v>
      </c>
    </row>
    <row r="41" spans="1:8" x14ac:dyDescent="0.25">
      <c r="A41" s="294">
        <v>32</v>
      </c>
      <c r="B41" s="297" t="s">
        <v>77</v>
      </c>
      <c r="C41" s="296" t="s">
        <v>78</v>
      </c>
      <c r="D41" s="981">
        <f t="shared" si="2"/>
        <v>12060</v>
      </c>
      <c r="E41" s="981">
        <v>0</v>
      </c>
      <c r="F41" s="981">
        <f t="shared" si="3"/>
        <v>12060</v>
      </c>
      <c r="G41" s="981">
        <v>5400</v>
      </c>
      <c r="H41" s="981">
        <v>6660</v>
      </c>
    </row>
    <row r="42" spans="1:8" x14ac:dyDescent="0.25">
      <c r="A42" s="302">
        <v>33</v>
      </c>
      <c r="B42" s="300" t="s">
        <v>79</v>
      </c>
      <c r="C42" s="301" t="s">
        <v>80</v>
      </c>
      <c r="D42" s="981">
        <f t="shared" si="2"/>
        <v>22540</v>
      </c>
      <c r="E42" s="981">
        <v>0</v>
      </c>
      <c r="F42" s="981">
        <f t="shared" si="3"/>
        <v>22540</v>
      </c>
      <c r="G42" s="981">
        <v>8900</v>
      </c>
      <c r="H42" s="981">
        <v>13640</v>
      </c>
    </row>
    <row r="43" spans="1:8" x14ac:dyDescent="0.25">
      <c r="A43" s="294">
        <v>34</v>
      </c>
      <c r="B43" s="297" t="s">
        <v>81</v>
      </c>
      <c r="C43" s="296" t="s">
        <v>82</v>
      </c>
      <c r="D43" s="981">
        <f t="shared" si="2"/>
        <v>7025</v>
      </c>
      <c r="E43" s="981">
        <v>0</v>
      </c>
      <c r="F43" s="981">
        <f t="shared" si="3"/>
        <v>7025</v>
      </c>
      <c r="G43" s="981">
        <v>1030</v>
      </c>
      <c r="H43" s="981">
        <v>5995</v>
      </c>
    </row>
    <row r="44" spans="1:8" x14ac:dyDescent="0.25">
      <c r="A44" s="302">
        <v>35</v>
      </c>
      <c r="B44" s="298" t="s">
        <v>83</v>
      </c>
      <c r="C44" s="299" t="s">
        <v>84</v>
      </c>
      <c r="D44" s="981">
        <f t="shared" si="2"/>
        <v>34180</v>
      </c>
      <c r="E44" s="981">
        <v>0</v>
      </c>
      <c r="F44" s="981">
        <f t="shared" si="3"/>
        <v>34180</v>
      </c>
      <c r="G44" s="981">
        <v>8000</v>
      </c>
      <c r="H44" s="981">
        <v>26180</v>
      </c>
    </row>
    <row r="45" spans="1:8" x14ac:dyDescent="0.25">
      <c r="A45" s="294">
        <v>36</v>
      </c>
      <c r="B45" s="297" t="s">
        <v>85</v>
      </c>
      <c r="C45" s="296" t="s">
        <v>86</v>
      </c>
      <c r="D45" s="981">
        <f t="shared" si="2"/>
        <v>7791</v>
      </c>
      <c r="E45" s="981">
        <v>0</v>
      </c>
      <c r="F45" s="981">
        <f t="shared" si="3"/>
        <v>7791</v>
      </c>
      <c r="G45" s="981">
        <v>1246</v>
      </c>
      <c r="H45" s="981">
        <v>6545</v>
      </c>
    </row>
    <row r="46" spans="1:8" x14ac:dyDescent="0.25">
      <c r="A46" s="302">
        <v>37</v>
      </c>
      <c r="B46" s="295" t="s">
        <v>87</v>
      </c>
      <c r="C46" s="296" t="s">
        <v>88</v>
      </c>
      <c r="D46" s="981">
        <f t="shared" si="2"/>
        <v>6000</v>
      </c>
      <c r="E46" s="981">
        <v>0</v>
      </c>
      <c r="F46" s="981">
        <f t="shared" si="3"/>
        <v>6000</v>
      </c>
      <c r="G46" s="981">
        <v>6000</v>
      </c>
      <c r="H46" s="981">
        <v>0</v>
      </c>
    </row>
    <row r="47" spans="1:8" x14ac:dyDescent="0.25">
      <c r="A47" s="294">
        <v>38</v>
      </c>
      <c r="B47" s="303" t="s">
        <v>89</v>
      </c>
      <c r="C47" s="304" t="s">
        <v>90</v>
      </c>
      <c r="D47" s="981">
        <f t="shared" si="2"/>
        <v>8350</v>
      </c>
      <c r="E47" s="981">
        <v>0</v>
      </c>
      <c r="F47" s="981">
        <f t="shared" si="3"/>
        <v>8350</v>
      </c>
      <c r="G47" s="981">
        <v>0</v>
      </c>
      <c r="H47" s="981">
        <v>8350</v>
      </c>
    </row>
    <row r="48" spans="1:8" x14ac:dyDescent="0.25">
      <c r="A48" s="302">
        <v>39</v>
      </c>
      <c r="B48" s="295" t="s">
        <v>91</v>
      </c>
      <c r="C48" s="296" t="s">
        <v>92</v>
      </c>
      <c r="D48" s="981">
        <f t="shared" si="2"/>
        <v>2400</v>
      </c>
      <c r="E48" s="981">
        <v>0</v>
      </c>
      <c r="F48" s="981">
        <f t="shared" si="3"/>
        <v>2400</v>
      </c>
      <c r="G48" s="981">
        <v>2400</v>
      </c>
      <c r="H48" s="981">
        <v>0</v>
      </c>
    </row>
    <row r="49" spans="1:8" x14ac:dyDescent="0.25">
      <c r="A49" s="294">
        <v>40</v>
      </c>
      <c r="B49" s="300" t="s">
        <v>93</v>
      </c>
      <c r="C49" s="301" t="s">
        <v>94</v>
      </c>
      <c r="D49" s="981">
        <f t="shared" si="2"/>
        <v>1400</v>
      </c>
      <c r="E49" s="981">
        <v>0</v>
      </c>
      <c r="F49" s="981">
        <f t="shared" si="3"/>
        <v>1400</v>
      </c>
      <c r="G49" s="981">
        <v>400</v>
      </c>
      <c r="H49" s="981">
        <v>1000</v>
      </c>
    </row>
    <row r="50" spans="1:8" x14ac:dyDescent="0.25">
      <c r="A50" s="302">
        <v>41</v>
      </c>
      <c r="B50" s="298" t="s">
        <v>95</v>
      </c>
      <c r="C50" s="299" t="s">
        <v>96</v>
      </c>
      <c r="D50" s="981">
        <f t="shared" si="2"/>
        <v>4032</v>
      </c>
      <c r="E50" s="981">
        <v>0</v>
      </c>
      <c r="F50" s="981">
        <f t="shared" si="3"/>
        <v>4032</v>
      </c>
      <c r="G50" s="981">
        <v>1000</v>
      </c>
      <c r="H50" s="981">
        <v>3032</v>
      </c>
    </row>
    <row r="51" spans="1:8" x14ac:dyDescent="0.25">
      <c r="A51" s="294">
        <v>42</v>
      </c>
      <c r="B51" s="297" t="s">
        <v>97</v>
      </c>
      <c r="C51" s="296" t="s">
        <v>98</v>
      </c>
      <c r="D51" s="981">
        <f t="shared" si="2"/>
        <v>0</v>
      </c>
      <c r="E51" s="981">
        <v>0</v>
      </c>
      <c r="F51" s="981">
        <f t="shared" si="3"/>
        <v>0</v>
      </c>
      <c r="G51" s="981">
        <v>0</v>
      </c>
      <c r="H51" s="981">
        <v>0</v>
      </c>
    </row>
    <row r="52" spans="1:8" x14ac:dyDescent="0.25">
      <c r="A52" s="302">
        <v>43</v>
      </c>
      <c r="B52" s="298" t="s">
        <v>99</v>
      </c>
      <c r="C52" s="299" t="s">
        <v>100</v>
      </c>
      <c r="D52" s="981">
        <f t="shared" si="2"/>
        <v>19718</v>
      </c>
      <c r="E52" s="981">
        <v>0</v>
      </c>
      <c r="F52" s="981">
        <f t="shared" si="3"/>
        <v>19718</v>
      </c>
      <c r="G52" s="981">
        <v>5939</v>
      </c>
      <c r="H52" s="981">
        <v>13779</v>
      </c>
    </row>
    <row r="53" spans="1:8" x14ac:dyDescent="0.25">
      <c r="A53" s="294">
        <v>44</v>
      </c>
      <c r="B53" s="295" t="s">
        <v>101</v>
      </c>
      <c r="C53" s="296" t="s">
        <v>102</v>
      </c>
      <c r="D53" s="981">
        <f t="shared" si="2"/>
        <v>7396</v>
      </c>
      <c r="E53" s="981">
        <v>0</v>
      </c>
      <c r="F53" s="981">
        <f t="shared" si="3"/>
        <v>7396</v>
      </c>
      <c r="G53" s="981">
        <v>360</v>
      </c>
      <c r="H53" s="981">
        <v>7036</v>
      </c>
    </row>
    <row r="54" spans="1:8" x14ac:dyDescent="0.25">
      <c r="A54" s="302">
        <v>45</v>
      </c>
      <c r="B54" s="295" t="s">
        <v>103</v>
      </c>
      <c r="C54" s="296" t="s">
        <v>104</v>
      </c>
      <c r="D54" s="981">
        <f t="shared" si="2"/>
        <v>5084</v>
      </c>
      <c r="E54" s="981">
        <v>0</v>
      </c>
      <c r="F54" s="981">
        <f t="shared" si="3"/>
        <v>5084</v>
      </c>
      <c r="G54" s="981">
        <v>1426</v>
      </c>
      <c r="H54" s="981">
        <v>3658</v>
      </c>
    </row>
    <row r="55" spans="1:8" x14ac:dyDescent="0.25">
      <c r="A55" s="294">
        <v>46</v>
      </c>
      <c r="B55" s="298" t="s">
        <v>105</v>
      </c>
      <c r="C55" s="299" t="s">
        <v>106</v>
      </c>
      <c r="D55" s="981">
        <f t="shared" si="2"/>
        <v>2742</v>
      </c>
      <c r="E55" s="981">
        <v>0</v>
      </c>
      <c r="F55" s="981">
        <f t="shared" si="3"/>
        <v>2742</v>
      </c>
      <c r="G55" s="981">
        <v>0</v>
      </c>
      <c r="H55" s="981">
        <v>2742</v>
      </c>
    </row>
    <row r="56" spans="1:8" x14ac:dyDescent="0.25">
      <c r="A56" s="302">
        <v>47</v>
      </c>
      <c r="B56" s="298" t="s">
        <v>107</v>
      </c>
      <c r="C56" s="299" t="s">
        <v>108</v>
      </c>
      <c r="D56" s="981">
        <f t="shared" si="2"/>
        <v>2650</v>
      </c>
      <c r="E56" s="981">
        <v>0</v>
      </c>
      <c r="F56" s="981">
        <f t="shared" si="3"/>
        <v>2650</v>
      </c>
      <c r="G56" s="981">
        <v>2500</v>
      </c>
      <c r="H56" s="981">
        <v>150</v>
      </c>
    </row>
    <row r="57" spans="1:8" x14ac:dyDescent="0.25">
      <c r="A57" s="294">
        <v>48</v>
      </c>
      <c r="B57" s="297" t="s">
        <v>109</v>
      </c>
      <c r="C57" s="296" t="s">
        <v>110</v>
      </c>
      <c r="D57" s="981">
        <f t="shared" si="2"/>
        <v>0</v>
      </c>
      <c r="E57" s="981">
        <v>0</v>
      </c>
      <c r="F57" s="981">
        <f t="shared" si="3"/>
        <v>0</v>
      </c>
      <c r="G57" s="981">
        <v>0</v>
      </c>
      <c r="H57" s="981">
        <v>0</v>
      </c>
    </row>
    <row r="58" spans="1:8" x14ac:dyDescent="0.25">
      <c r="A58" s="302">
        <v>49</v>
      </c>
      <c r="B58" s="298" t="s">
        <v>111</v>
      </c>
      <c r="C58" s="299" t="s">
        <v>112</v>
      </c>
      <c r="D58" s="981">
        <f t="shared" si="2"/>
        <v>317</v>
      </c>
      <c r="E58" s="981">
        <v>0</v>
      </c>
      <c r="F58" s="981">
        <f t="shared" si="3"/>
        <v>317</v>
      </c>
      <c r="G58" s="981">
        <v>0</v>
      </c>
      <c r="H58" s="981">
        <v>317</v>
      </c>
    </row>
    <row r="59" spans="1:8" x14ac:dyDescent="0.25">
      <c r="A59" s="294">
        <v>50</v>
      </c>
      <c r="B59" s="297" t="s">
        <v>113</v>
      </c>
      <c r="C59" s="296" t="s">
        <v>114</v>
      </c>
      <c r="D59" s="981">
        <f t="shared" si="2"/>
        <v>4940</v>
      </c>
      <c r="E59" s="981">
        <v>0</v>
      </c>
      <c r="F59" s="981">
        <f t="shared" si="3"/>
        <v>4940</v>
      </c>
      <c r="G59" s="981">
        <v>200</v>
      </c>
      <c r="H59" s="981">
        <v>4740</v>
      </c>
    </row>
    <row r="60" spans="1:8" x14ac:dyDescent="0.25">
      <c r="A60" s="302">
        <v>51</v>
      </c>
      <c r="B60" s="298" t="s">
        <v>115</v>
      </c>
      <c r="C60" s="299" t="s">
        <v>116</v>
      </c>
      <c r="D60" s="981">
        <f t="shared" si="2"/>
        <v>3360</v>
      </c>
      <c r="E60" s="981">
        <v>0</v>
      </c>
      <c r="F60" s="981">
        <f t="shared" si="3"/>
        <v>3360</v>
      </c>
      <c r="G60" s="981">
        <v>160</v>
      </c>
      <c r="H60" s="981">
        <v>3200</v>
      </c>
    </row>
    <row r="61" spans="1:8" x14ac:dyDescent="0.25">
      <c r="A61" s="294">
        <v>52</v>
      </c>
      <c r="B61" s="298" t="s">
        <v>117</v>
      </c>
      <c r="C61" s="299" t="s">
        <v>118</v>
      </c>
      <c r="D61" s="981">
        <f t="shared" si="2"/>
        <v>16336</v>
      </c>
      <c r="E61" s="981">
        <v>0</v>
      </c>
      <c r="F61" s="981">
        <f t="shared" si="3"/>
        <v>16336</v>
      </c>
      <c r="G61" s="981">
        <v>506</v>
      </c>
      <c r="H61" s="981">
        <v>15830</v>
      </c>
    </row>
    <row r="62" spans="1:8" x14ac:dyDescent="0.25">
      <c r="A62" s="302">
        <v>53</v>
      </c>
      <c r="B62" s="298" t="s">
        <v>119</v>
      </c>
      <c r="C62" s="299" t="s">
        <v>120</v>
      </c>
      <c r="D62" s="981">
        <f t="shared" si="2"/>
        <v>3951</v>
      </c>
      <c r="E62" s="981">
        <v>0</v>
      </c>
      <c r="F62" s="981">
        <f t="shared" si="3"/>
        <v>3951</v>
      </c>
      <c r="G62" s="981">
        <v>2150</v>
      </c>
      <c r="H62" s="981">
        <v>1801</v>
      </c>
    </row>
    <row r="63" spans="1:8" x14ac:dyDescent="0.25">
      <c r="A63" s="294">
        <v>54</v>
      </c>
      <c r="B63" s="298" t="s">
        <v>121</v>
      </c>
      <c r="C63" s="299" t="s">
        <v>122</v>
      </c>
      <c r="D63" s="981">
        <f t="shared" si="2"/>
        <v>0</v>
      </c>
      <c r="E63" s="981">
        <v>0</v>
      </c>
      <c r="F63" s="981">
        <f t="shared" si="3"/>
        <v>0</v>
      </c>
      <c r="G63" s="981">
        <v>0</v>
      </c>
      <c r="H63" s="981">
        <v>0</v>
      </c>
    </row>
    <row r="64" spans="1:8" x14ac:dyDescent="0.25">
      <c r="A64" s="302">
        <v>55</v>
      </c>
      <c r="B64" s="298" t="s">
        <v>123</v>
      </c>
      <c r="C64" s="299" t="s">
        <v>124</v>
      </c>
      <c r="D64" s="981">
        <f t="shared" si="2"/>
        <v>0</v>
      </c>
      <c r="E64" s="981">
        <v>0</v>
      </c>
      <c r="F64" s="981">
        <f t="shared" si="3"/>
        <v>0</v>
      </c>
      <c r="G64" s="981">
        <v>0</v>
      </c>
      <c r="H64" s="981">
        <v>0</v>
      </c>
    </row>
    <row r="65" spans="1:8" x14ac:dyDescent="0.25">
      <c r="A65" s="294">
        <v>56</v>
      </c>
      <c r="B65" s="305" t="s">
        <v>125</v>
      </c>
      <c r="C65" s="301" t="s">
        <v>126</v>
      </c>
      <c r="D65" s="981">
        <f t="shared" si="2"/>
        <v>0</v>
      </c>
      <c r="E65" s="981">
        <v>0</v>
      </c>
      <c r="F65" s="981">
        <f t="shared" si="3"/>
        <v>0</v>
      </c>
      <c r="G65" s="981">
        <v>0</v>
      </c>
      <c r="H65" s="981">
        <v>0</v>
      </c>
    </row>
    <row r="66" spans="1:8" x14ac:dyDescent="0.25">
      <c r="A66" s="302">
        <v>57</v>
      </c>
      <c r="B66" s="298" t="s">
        <v>127</v>
      </c>
      <c r="C66" s="299" t="s">
        <v>128</v>
      </c>
      <c r="D66" s="981">
        <f t="shared" si="2"/>
        <v>0</v>
      </c>
      <c r="E66" s="981">
        <v>0</v>
      </c>
      <c r="F66" s="981">
        <f t="shared" si="3"/>
        <v>0</v>
      </c>
      <c r="G66" s="981">
        <v>0</v>
      </c>
      <c r="H66" s="981">
        <v>0</v>
      </c>
    </row>
    <row r="67" spans="1:8" x14ac:dyDescent="0.25">
      <c r="A67" s="294">
        <v>58</v>
      </c>
      <c r="B67" s="297" t="s">
        <v>129</v>
      </c>
      <c r="C67" s="299" t="s">
        <v>130</v>
      </c>
      <c r="D67" s="981">
        <f t="shared" si="2"/>
        <v>0</v>
      </c>
      <c r="E67" s="981">
        <v>0</v>
      </c>
      <c r="F67" s="981">
        <f t="shared" si="3"/>
        <v>0</v>
      </c>
      <c r="G67" s="981">
        <v>0</v>
      </c>
      <c r="H67" s="981">
        <v>0</v>
      </c>
    </row>
    <row r="68" spans="1:8" x14ac:dyDescent="0.25">
      <c r="A68" s="302">
        <v>59</v>
      </c>
      <c r="B68" s="300" t="s">
        <v>131</v>
      </c>
      <c r="C68" s="301" t="s">
        <v>132</v>
      </c>
      <c r="D68" s="981">
        <f t="shared" si="2"/>
        <v>1600</v>
      </c>
      <c r="E68" s="981">
        <v>0</v>
      </c>
      <c r="F68" s="981">
        <f t="shared" si="3"/>
        <v>1600</v>
      </c>
      <c r="G68" s="981">
        <v>800</v>
      </c>
      <c r="H68" s="981">
        <v>800</v>
      </c>
    </row>
    <row r="69" spans="1:8" x14ac:dyDescent="0.25">
      <c r="A69" s="294">
        <v>60</v>
      </c>
      <c r="B69" s="297" t="s">
        <v>133</v>
      </c>
      <c r="C69" s="299" t="s">
        <v>134</v>
      </c>
      <c r="D69" s="981">
        <f t="shared" si="2"/>
        <v>0</v>
      </c>
      <c r="E69" s="981">
        <v>0</v>
      </c>
      <c r="F69" s="981">
        <f t="shared" si="3"/>
        <v>0</v>
      </c>
      <c r="G69" s="981">
        <v>0</v>
      </c>
      <c r="H69" s="981">
        <v>0</v>
      </c>
    </row>
    <row r="70" spans="1:8" x14ac:dyDescent="0.25">
      <c r="A70" s="302">
        <v>61</v>
      </c>
      <c r="B70" s="298" t="s">
        <v>135</v>
      </c>
      <c r="C70" s="299" t="s">
        <v>136</v>
      </c>
      <c r="D70" s="981">
        <f t="shared" si="2"/>
        <v>0</v>
      </c>
      <c r="E70" s="981">
        <v>0</v>
      </c>
      <c r="F70" s="981">
        <f t="shared" si="3"/>
        <v>0</v>
      </c>
      <c r="G70" s="981">
        <v>0</v>
      </c>
      <c r="H70" s="981">
        <v>0</v>
      </c>
    </row>
    <row r="71" spans="1:8" x14ac:dyDescent="0.25">
      <c r="A71" s="294">
        <v>62</v>
      </c>
      <c r="B71" s="295" t="s">
        <v>137</v>
      </c>
      <c r="C71" s="299" t="s">
        <v>138</v>
      </c>
      <c r="D71" s="981">
        <f t="shared" si="2"/>
        <v>6102</v>
      </c>
      <c r="E71" s="981">
        <v>6102</v>
      </c>
      <c r="F71" s="981">
        <f t="shared" si="3"/>
        <v>0</v>
      </c>
      <c r="G71" s="981">
        <v>0</v>
      </c>
      <c r="H71" s="981">
        <v>0</v>
      </c>
    </row>
    <row r="72" spans="1:8" x14ac:dyDescent="0.25">
      <c r="A72" s="302">
        <v>63</v>
      </c>
      <c r="B72" s="295" t="s">
        <v>139</v>
      </c>
      <c r="C72" s="299" t="s">
        <v>140</v>
      </c>
      <c r="D72" s="981">
        <f t="shared" si="2"/>
        <v>19904</v>
      </c>
      <c r="E72" s="981">
        <f>18904+1000</f>
        <v>19904</v>
      </c>
      <c r="F72" s="981">
        <f t="shared" si="3"/>
        <v>0</v>
      </c>
      <c r="G72" s="981">
        <v>0</v>
      </c>
      <c r="H72" s="981">
        <v>0</v>
      </c>
    </row>
    <row r="73" spans="1:8" x14ac:dyDescent="0.25">
      <c r="A73" s="294">
        <v>64</v>
      </c>
      <c r="B73" s="297" t="s">
        <v>141</v>
      </c>
      <c r="C73" s="299" t="s">
        <v>142</v>
      </c>
      <c r="D73" s="981">
        <f t="shared" si="2"/>
        <v>0</v>
      </c>
      <c r="E73" s="981">
        <v>0</v>
      </c>
      <c r="F73" s="981">
        <f t="shared" si="3"/>
        <v>0</v>
      </c>
      <c r="G73" s="981">
        <v>0</v>
      </c>
      <c r="H73" s="981">
        <v>0</v>
      </c>
    </row>
    <row r="74" spans="1:8" x14ac:dyDescent="0.25">
      <c r="A74" s="302">
        <v>65</v>
      </c>
      <c r="B74" s="297" t="s">
        <v>143</v>
      </c>
      <c r="C74" s="296" t="s">
        <v>144</v>
      </c>
      <c r="D74" s="981">
        <f t="shared" ref="D74:D137" si="4">E74+F74</f>
        <v>0</v>
      </c>
      <c r="E74" s="981">
        <v>0</v>
      </c>
      <c r="F74" s="981">
        <f t="shared" ref="F74:F137" si="5">SUM(G74:H74)</f>
        <v>0</v>
      </c>
      <c r="G74" s="981">
        <v>0</v>
      </c>
      <c r="H74" s="981">
        <v>0</v>
      </c>
    </row>
    <row r="75" spans="1:8" x14ac:dyDescent="0.25">
      <c r="A75" s="294">
        <v>66</v>
      </c>
      <c r="B75" s="297" t="s">
        <v>145</v>
      </c>
      <c r="C75" s="299" t="s">
        <v>146</v>
      </c>
      <c r="D75" s="981">
        <f t="shared" si="4"/>
        <v>0</v>
      </c>
      <c r="E75" s="981">
        <v>0</v>
      </c>
      <c r="F75" s="981">
        <f t="shared" si="5"/>
        <v>0</v>
      </c>
      <c r="G75" s="981">
        <v>0</v>
      </c>
      <c r="H75" s="981">
        <v>0</v>
      </c>
    </row>
    <row r="76" spans="1:8" x14ac:dyDescent="0.25">
      <c r="A76" s="302">
        <v>67</v>
      </c>
      <c r="B76" s="297" t="s">
        <v>147</v>
      </c>
      <c r="C76" s="299" t="s">
        <v>148</v>
      </c>
      <c r="D76" s="981">
        <f t="shared" si="4"/>
        <v>200</v>
      </c>
      <c r="E76" s="981">
        <v>200</v>
      </c>
      <c r="F76" s="981">
        <f t="shared" si="5"/>
        <v>0</v>
      </c>
      <c r="G76" s="981">
        <v>0</v>
      </c>
      <c r="H76" s="981">
        <v>0</v>
      </c>
    </row>
    <row r="77" spans="1:8" x14ac:dyDescent="0.25">
      <c r="A77" s="294">
        <v>68</v>
      </c>
      <c r="B77" s="295" t="s">
        <v>149</v>
      </c>
      <c r="C77" s="299" t="s">
        <v>150</v>
      </c>
      <c r="D77" s="981">
        <f t="shared" si="4"/>
        <v>0</v>
      </c>
      <c r="E77" s="981">
        <v>0</v>
      </c>
      <c r="F77" s="981">
        <f t="shared" si="5"/>
        <v>0</v>
      </c>
      <c r="G77" s="981">
        <v>0</v>
      </c>
      <c r="H77" s="981">
        <v>0</v>
      </c>
    </row>
    <row r="78" spans="1:8" x14ac:dyDescent="0.25">
      <c r="A78" s="302">
        <v>69</v>
      </c>
      <c r="B78" s="297" t="s">
        <v>151</v>
      </c>
      <c r="C78" s="299" t="s">
        <v>152</v>
      </c>
      <c r="D78" s="981">
        <f t="shared" si="4"/>
        <v>50</v>
      </c>
      <c r="E78" s="981">
        <v>50</v>
      </c>
      <c r="F78" s="981">
        <f t="shared" si="5"/>
        <v>0</v>
      </c>
      <c r="G78" s="981">
        <v>0</v>
      </c>
      <c r="H78" s="981">
        <v>0</v>
      </c>
    </row>
    <row r="79" spans="1:8" x14ac:dyDescent="0.25">
      <c r="A79" s="294">
        <v>70</v>
      </c>
      <c r="B79" s="297" t="s">
        <v>153</v>
      </c>
      <c r="C79" s="299" t="s">
        <v>154</v>
      </c>
      <c r="D79" s="981">
        <f t="shared" si="4"/>
        <v>0</v>
      </c>
      <c r="E79" s="981">
        <v>0</v>
      </c>
      <c r="F79" s="981">
        <f t="shared" si="5"/>
        <v>0</v>
      </c>
      <c r="G79" s="981">
        <v>0</v>
      </c>
      <c r="H79" s="981">
        <v>0</v>
      </c>
    </row>
    <row r="80" spans="1:8" x14ac:dyDescent="0.25">
      <c r="A80" s="302">
        <v>71</v>
      </c>
      <c r="B80" s="295" t="s">
        <v>155</v>
      </c>
      <c r="C80" s="299" t="s">
        <v>156</v>
      </c>
      <c r="D80" s="981">
        <f t="shared" si="4"/>
        <v>4000</v>
      </c>
      <c r="E80" s="981">
        <v>4000</v>
      </c>
      <c r="F80" s="981">
        <f t="shared" si="5"/>
        <v>0</v>
      </c>
      <c r="G80" s="981">
        <v>0</v>
      </c>
      <c r="H80" s="981">
        <v>0</v>
      </c>
    </row>
    <row r="81" spans="1:8" x14ac:dyDescent="0.25">
      <c r="A81" s="294">
        <v>72</v>
      </c>
      <c r="B81" s="295" t="s">
        <v>157</v>
      </c>
      <c r="C81" s="299" t="s">
        <v>158</v>
      </c>
      <c r="D81" s="981">
        <f t="shared" si="4"/>
        <v>163</v>
      </c>
      <c r="E81" s="981">
        <v>163</v>
      </c>
      <c r="F81" s="981">
        <f t="shared" si="5"/>
        <v>0</v>
      </c>
      <c r="G81" s="981">
        <v>0</v>
      </c>
      <c r="H81" s="981">
        <v>0</v>
      </c>
    </row>
    <row r="82" spans="1:8" x14ac:dyDescent="0.25">
      <c r="A82" s="302">
        <v>73</v>
      </c>
      <c r="B82" s="295" t="s">
        <v>159</v>
      </c>
      <c r="C82" s="299" t="s">
        <v>160</v>
      </c>
      <c r="D82" s="981">
        <f t="shared" si="4"/>
        <v>124</v>
      </c>
      <c r="E82" s="981">
        <v>124</v>
      </c>
      <c r="F82" s="981">
        <f t="shared" si="5"/>
        <v>0</v>
      </c>
      <c r="G82" s="981">
        <v>0</v>
      </c>
      <c r="H82" s="981">
        <v>0</v>
      </c>
    </row>
    <row r="83" spans="1:8" x14ac:dyDescent="0.25">
      <c r="A83" s="294">
        <v>74</v>
      </c>
      <c r="B83" s="298" t="s">
        <v>161</v>
      </c>
      <c r="C83" s="299" t="s">
        <v>162</v>
      </c>
      <c r="D83" s="981">
        <f t="shared" si="4"/>
        <v>3940</v>
      </c>
      <c r="E83" s="981">
        <v>0</v>
      </c>
      <c r="F83" s="981">
        <f t="shared" si="5"/>
        <v>3940</v>
      </c>
      <c r="G83" s="981">
        <v>0</v>
      </c>
      <c r="H83" s="981">
        <v>3940</v>
      </c>
    </row>
    <row r="84" spans="1:8" x14ac:dyDescent="0.25">
      <c r="A84" s="302">
        <v>75</v>
      </c>
      <c r="B84" s="295" t="s">
        <v>163</v>
      </c>
      <c r="C84" s="299" t="s">
        <v>164</v>
      </c>
      <c r="D84" s="981">
        <f t="shared" si="4"/>
        <v>960</v>
      </c>
      <c r="E84" s="981">
        <v>0</v>
      </c>
      <c r="F84" s="981">
        <f t="shared" si="5"/>
        <v>960</v>
      </c>
      <c r="G84" s="981">
        <v>0</v>
      </c>
      <c r="H84" s="981">
        <v>960</v>
      </c>
    </row>
    <row r="85" spans="1:8" x14ac:dyDescent="0.25">
      <c r="A85" s="294">
        <v>76</v>
      </c>
      <c r="B85" s="298" t="s">
        <v>165</v>
      </c>
      <c r="C85" s="299" t="s">
        <v>166</v>
      </c>
      <c r="D85" s="981">
        <f t="shared" si="4"/>
        <v>4300</v>
      </c>
      <c r="E85" s="981">
        <v>0</v>
      </c>
      <c r="F85" s="981">
        <f t="shared" si="5"/>
        <v>4300</v>
      </c>
      <c r="G85" s="981">
        <v>0</v>
      </c>
      <c r="H85" s="981">
        <v>4300</v>
      </c>
    </row>
    <row r="86" spans="1:8" x14ac:dyDescent="0.25">
      <c r="A86" s="302">
        <v>77</v>
      </c>
      <c r="B86" s="300" t="s">
        <v>167</v>
      </c>
      <c r="C86" s="301" t="s">
        <v>168</v>
      </c>
      <c r="D86" s="981">
        <f t="shared" si="4"/>
        <v>0</v>
      </c>
      <c r="E86" s="981">
        <v>0</v>
      </c>
      <c r="F86" s="981">
        <f t="shared" si="5"/>
        <v>0</v>
      </c>
      <c r="G86" s="981">
        <v>0</v>
      </c>
      <c r="H86" s="981">
        <v>0</v>
      </c>
    </row>
    <row r="87" spans="1:8" x14ac:dyDescent="0.25">
      <c r="A87" s="294">
        <v>78</v>
      </c>
      <c r="B87" s="295" t="s">
        <v>169</v>
      </c>
      <c r="C87" s="299" t="s">
        <v>170</v>
      </c>
      <c r="D87" s="981">
        <f t="shared" si="4"/>
        <v>0</v>
      </c>
      <c r="E87" s="981">
        <v>0</v>
      </c>
      <c r="F87" s="981">
        <f t="shared" si="5"/>
        <v>0</v>
      </c>
      <c r="G87" s="981">
        <v>0</v>
      </c>
      <c r="H87" s="981">
        <v>0</v>
      </c>
    </row>
    <row r="88" spans="1:8" x14ac:dyDescent="0.25">
      <c r="A88" s="302">
        <v>79</v>
      </c>
      <c r="B88" s="300" t="s">
        <v>171</v>
      </c>
      <c r="C88" s="301" t="s">
        <v>172</v>
      </c>
      <c r="D88" s="981">
        <f t="shared" si="4"/>
        <v>0</v>
      </c>
      <c r="E88" s="981">
        <v>0</v>
      </c>
      <c r="F88" s="981">
        <f t="shared" si="5"/>
        <v>0</v>
      </c>
      <c r="G88" s="981">
        <v>0</v>
      </c>
      <c r="H88" s="981">
        <v>0</v>
      </c>
    </row>
    <row r="89" spans="1:8" x14ac:dyDescent="0.25">
      <c r="A89" s="294">
        <v>80</v>
      </c>
      <c r="B89" s="295" t="s">
        <v>173</v>
      </c>
      <c r="C89" s="299" t="s">
        <v>174</v>
      </c>
      <c r="D89" s="981">
        <f t="shared" si="4"/>
        <v>1500</v>
      </c>
      <c r="E89" s="981">
        <v>0</v>
      </c>
      <c r="F89" s="981">
        <f t="shared" si="5"/>
        <v>1500</v>
      </c>
      <c r="G89" s="981">
        <v>0</v>
      </c>
      <c r="H89" s="981">
        <v>1500</v>
      </c>
    </row>
    <row r="90" spans="1:8" x14ac:dyDescent="0.25">
      <c r="A90" s="302">
        <v>81</v>
      </c>
      <c r="B90" s="300" t="s">
        <v>175</v>
      </c>
      <c r="C90" s="32" t="s">
        <v>746</v>
      </c>
      <c r="D90" s="981">
        <f t="shared" si="4"/>
        <v>0</v>
      </c>
      <c r="E90" s="981">
        <v>0</v>
      </c>
      <c r="F90" s="981">
        <f t="shared" si="5"/>
        <v>0</v>
      </c>
      <c r="G90" s="981">
        <v>0</v>
      </c>
      <c r="H90" s="981">
        <v>0</v>
      </c>
    </row>
    <row r="91" spans="1:8" x14ac:dyDescent="0.25">
      <c r="A91" s="294">
        <v>82</v>
      </c>
      <c r="B91" s="297" t="s">
        <v>177</v>
      </c>
      <c r="C91" s="299" t="s">
        <v>358</v>
      </c>
      <c r="D91" s="981">
        <f t="shared" si="4"/>
        <v>0</v>
      </c>
      <c r="E91" s="981">
        <v>0</v>
      </c>
      <c r="F91" s="981">
        <f t="shared" si="5"/>
        <v>0</v>
      </c>
      <c r="G91" s="981">
        <v>0</v>
      </c>
      <c r="H91" s="981">
        <v>0</v>
      </c>
    </row>
    <row r="92" spans="1:8" ht="24" x14ac:dyDescent="0.25">
      <c r="A92" s="1121">
        <v>83</v>
      </c>
      <c r="B92" s="1124" t="s">
        <v>178</v>
      </c>
      <c r="C92" s="306" t="s">
        <v>744</v>
      </c>
      <c r="D92" s="981">
        <f t="shared" si="4"/>
        <v>0</v>
      </c>
      <c r="E92" s="981">
        <v>0</v>
      </c>
      <c r="F92" s="981">
        <f t="shared" si="5"/>
        <v>0</v>
      </c>
      <c r="G92" s="981">
        <v>0</v>
      </c>
      <c r="H92" s="981">
        <v>0</v>
      </c>
    </row>
    <row r="93" spans="1:8" x14ac:dyDescent="0.25">
      <c r="A93" s="1122"/>
      <c r="B93" s="1125"/>
      <c r="C93" s="299" t="s">
        <v>180</v>
      </c>
      <c r="D93" s="981">
        <f t="shared" si="4"/>
        <v>0</v>
      </c>
      <c r="E93" s="981">
        <v>0</v>
      </c>
      <c r="F93" s="981">
        <f t="shared" si="5"/>
        <v>0</v>
      </c>
      <c r="G93" s="981">
        <v>0</v>
      </c>
      <c r="H93" s="981">
        <v>0</v>
      </c>
    </row>
    <row r="94" spans="1:8" ht="24" x14ac:dyDescent="0.25">
      <c r="A94" s="1123"/>
      <c r="B94" s="1126"/>
      <c r="C94" s="307" t="s">
        <v>745</v>
      </c>
      <c r="D94" s="981">
        <f t="shared" si="4"/>
        <v>0</v>
      </c>
      <c r="E94" s="981">
        <v>0</v>
      </c>
      <c r="F94" s="981">
        <f t="shared" si="5"/>
        <v>0</v>
      </c>
      <c r="G94" s="981">
        <v>0</v>
      </c>
      <c r="H94" s="981">
        <v>0</v>
      </c>
    </row>
    <row r="95" spans="1:8" x14ac:dyDescent="0.25">
      <c r="A95" s="294">
        <v>84</v>
      </c>
      <c r="B95" s="297" t="s">
        <v>181</v>
      </c>
      <c r="C95" s="296" t="s">
        <v>182</v>
      </c>
      <c r="D95" s="981">
        <f t="shared" si="4"/>
        <v>0</v>
      </c>
      <c r="E95" s="981">
        <v>0</v>
      </c>
      <c r="F95" s="981">
        <f t="shared" si="5"/>
        <v>0</v>
      </c>
      <c r="G95" s="981">
        <v>0</v>
      </c>
      <c r="H95" s="981">
        <v>0</v>
      </c>
    </row>
    <row r="96" spans="1:8" x14ac:dyDescent="0.25">
      <c r="A96" s="294">
        <v>85</v>
      </c>
      <c r="B96" s="297" t="s">
        <v>183</v>
      </c>
      <c r="C96" s="301" t="s">
        <v>184</v>
      </c>
      <c r="D96" s="981">
        <f t="shared" si="4"/>
        <v>0</v>
      </c>
      <c r="E96" s="981">
        <v>0</v>
      </c>
      <c r="F96" s="981">
        <f t="shared" si="5"/>
        <v>0</v>
      </c>
      <c r="G96" s="981">
        <v>0</v>
      </c>
      <c r="H96" s="981">
        <v>0</v>
      </c>
    </row>
    <row r="97" spans="1:8" x14ac:dyDescent="0.25">
      <c r="A97" s="294">
        <v>86</v>
      </c>
      <c r="B97" s="298" t="s">
        <v>185</v>
      </c>
      <c r="C97" s="299" t="s">
        <v>186</v>
      </c>
      <c r="D97" s="981">
        <f t="shared" si="4"/>
        <v>1000</v>
      </c>
      <c r="E97" s="981">
        <v>0</v>
      </c>
      <c r="F97" s="981">
        <f t="shared" si="5"/>
        <v>1000</v>
      </c>
      <c r="G97" s="981">
        <v>0</v>
      </c>
      <c r="H97" s="981">
        <v>1000</v>
      </c>
    </row>
    <row r="98" spans="1:8" x14ac:dyDescent="0.25">
      <c r="A98" s="294">
        <v>87</v>
      </c>
      <c r="B98" s="297" t="s">
        <v>187</v>
      </c>
      <c r="C98" s="296" t="s">
        <v>188</v>
      </c>
      <c r="D98" s="981">
        <f t="shared" si="4"/>
        <v>0</v>
      </c>
      <c r="E98" s="981">
        <v>0</v>
      </c>
      <c r="F98" s="981">
        <f t="shared" si="5"/>
        <v>0</v>
      </c>
      <c r="G98" s="981">
        <v>0</v>
      </c>
      <c r="H98" s="981">
        <v>0</v>
      </c>
    </row>
    <row r="99" spans="1:8" x14ac:dyDescent="0.25">
      <c r="A99" s="294">
        <v>88</v>
      </c>
      <c r="B99" s="298" t="s">
        <v>189</v>
      </c>
      <c r="C99" s="299" t="s">
        <v>190</v>
      </c>
      <c r="D99" s="981">
        <f t="shared" si="4"/>
        <v>2960</v>
      </c>
      <c r="E99" s="981">
        <v>0</v>
      </c>
      <c r="F99" s="981">
        <f t="shared" si="5"/>
        <v>2960</v>
      </c>
      <c r="G99" s="981">
        <v>0</v>
      </c>
      <c r="H99" s="981">
        <v>2960</v>
      </c>
    </row>
    <row r="100" spans="1:8" x14ac:dyDescent="0.25">
      <c r="A100" s="294">
        <v>89</v>
      </c>
      <c r="B100" s="298" t="s">
        <v>191</v>
      </c>
      <c r="C100" s="299" t="s">
        <v>192</v>
      </c>
      <c r="D100" s="981">
        <f t="shared" si="4"/>
        <v>8000</v>
      </c>
      <c r="E100" s="981">
        <v>0</v>
      </c>
      <c r="F100" s="981">
        <f t="shared" si="5"/>
        <v>8000</v>
      </c>
      <c r="G100" s="981">
        <v>2000</v>
      </c>
      <c r="H100" s="981">
        <v>6000</v>
      </c>
    </row>
    <row r="101" spans="1:8" x14ac:dyDescent="0.25">
      <c r="A101" s="294">
        <v>90</v>
      </c>
      <c r="B101" s="297" t="s">
        <v>193</v>
      </c>
      <c r="C101" s="301" t="s">
        <v>194</v>
      </c>
      <c r="D101" s="981">
        <f t="shared" si="4"/>
        <v>6620</v>
      </c>
      <c r="E101" s="981">
        <v>0</v>
      </c>
      <c r="F101" s="981">
        <f t="shared" si="5"/>
        <v>6620</v>
      </c>
      <c r="G101" s="981">
        <v>0</v>
      </c>
      <c r="H101" s="981">
        <v>6620</v>
      </c>
    </row>
    <row r="102" spans="1:8" x14ac:dyDescent="0.25">
      <c r="A102" s="294">
        <v>91</v>
      </c>
      <c r="B102" s="297" t="s">
        <v>195</v>
      </c>
      <c r="C102" s="296" t="s">
        <v>196</v>
      </c>
      <c r="D102" s="981">
        <f t="shared" si="4"/>
        <v>0</v>
      </c>
      <c r="E102" s="981">
        <v>0</v>
      </c>
      <c r="F102" s="981">
        <f t="shared" si="5"/>
        <v>0</v>
      </c>
      <c r="G102" s="981">
        <v>0</v>
      </c>
      <c r="H102" s="981">
        <v>0</v>
      </c>
    </row>
    <row r="103" spans="1:8" x14ac:dyDescent="0.25">
      <c r="A103" s="294">
        <v>92</v>
      </c>
      <c r="B103" s="295" t="s">
        <v>197</v>
      </c>
      <c r="C103" s="296" t="s">
        <v>198</v>
      </c>
      <c r="D103" s="981">
        <f t="shared" si="4"/>
        <v>2300</v>
      </c>
      <c r="E103" s="981">
        <v>0</v>
      </c>
      <c r="F103" s="981">
        <f t="shared" si="5"/>
        <v>2300</v>
      </c>
      <c r="G103" s="981">
        <v>2300</v>
      </c>
      <c r="H103" s="981">
        <v>0</v>
      </c>
    </row>
    <row r="104" spans="1:8" x14ac:dyDescent="0.25">
      <c r="A104" s="294">
        <v>93</v>
      </c>
      <c r="B104" s="295" t="s">
        <v>199</v>
      </c>
      <c r="C104" s="296" t="s">
        <v>200</v>
      </c>
      <c r="D104" s="981">
        <f t="shared" si="4"/>
        <v>7477</v>
      </c>
      <c r="E104" s="981">
        <v>0</v>
      </c>
      <c r="F104" s="981">
        <f t="shared" si="5"/>
        <v>7477</v>
      </c>
      <c r="G104" s="981">
        <v>1440</v>
      </c>
      <c r="H104" s="981">
        <v>6037</v>
      </c>
    </row>
    <row r="105" spans="1:8" x14ac:dyDescent="0.25">
      <c r="A105" s="294">
        <v>94</v>
      </c>
      <c r="B105" s="298" t="s">
        <v>201</v>
      </c>
      <c r="C105" s="299" t="s">
        <v>202</v>
      </c>
      <c r="D105" s="981">
        <f t="shared" si="4"/>
        <v>2277</v>
      </c>
      <c r="E105" s="981">
        <v>0</v>
      </c>
      <c r="F105" s="981">
        <f t="shared" si="5"/>
        <v>2277</v>
      </c>
      <c r="G105" s="981">
        <v>2277</v>
      </c>
      <c r="H105" s="981">
        <v>0</v>
      </c>
    </row>
    <row r="106" spans="1:8" x14ac:dyDescent="0.25">
      <c r="A106" s="294">
        <v>95</v>
      </c>
      <c r="B106" s="300" t="s">
        <v>203</v>
      </c>
      <c r="C106" s="301" t="s">
        <v>204</v>
      </c>
      <c r="D106" s="981">
        <f t="shared" si="4"/>
        <v>4000</v>
      </c>
      <c r="E106" s="981">
        <v>0</v>
      </c>
      <c r="F106" s="981">
        <f t="shared" si="5"/>
        <v>4000</v>
      </c>
      <c r="G106" s="981">
        <v>0</v>
      </c>
      <c r="H106" s="981">
        <v>4000</v>
      </c>
    </row>
    <row r="107" spans="1:8" x14ac:dyDescent="0.25">
      <c r="A107" s="294">
        <v>96</v>
      </c>
      <c r="B107" s="295" t="s">
        <v>205</v>
      </c>
      <c r="C107" s="296" t="s">
        <v>206</v>
      </c>
      <c r="D107" s="981">
        <f t="shared" si="4"/>
        <v>5961</v>
      </c>
      <c r="E107" s="981">
        <v>0</v>
      </c>
      <c r="F107" s="981">
        <f t="shared" si="5"/>
        <v>5961</v>
      </c>
      <c r="G107" s="981">
        <v>1170</v>
      </c>
      <c r="H107" s="981">
        <v>4791</v>
      </c>
    </row>
    <row r="108" spans="1:8" x14ac:dyDescent="0.25">
      <c r="A108" s="294">
        <v>97</v>
      </c>
      <c r="B108" s="297" t="s">
        <v>207</v>
      </c>
      <c r="C108" s="296" t="s">
        <v>208</v>
      </c>
      <c r="D108" s="981">
        <f t="shared" si="4"/>
        <v>9780</v>
      </c>
      <c r="E108" s="981">
        <v>0</v>
      </c>
      <c r="F108" s="981">
        <f t="shared" si="5"/>
        <v>9780</v>
      </c>
      <c r="G108" s="981">
        <v>2700</v>
      </c>
      <c r="H108" s="981">
        <v>7080</v>
      </c>
    </row>
    <row r="109" spans="1:8" x14ac:dyDescent="0.25">
      <c r="A109" s="294">
        <v>98</v>
      </c>
      <c r="B109" s="298" t="s">
        <v>209</v>
      </c>
      <c r="C109" s="299" t="s">
        <v>210</v>
      </c>
      <c r="D109" s="981">
        <f t="shared" si="4"/>
        <v>1113</v>
      </c>
      <c r="E109" s="981">
        <v>0</v>
      </c>
      <c r="F109" s="981">
        <f t="shared" si="5"/>
        <v>1113</v>
      </c>
      <c r="G109" s="981">
        <v>1000</v>
      </c>
      <c r="H109" s="981">
        <v>113</v>
      </c>
    </row>
    <row r="110" spans="1:8" x14ac:dyDescent="0.25">
      <c r="A110" s="294">
        <v>99</v>
      </c>
      <c r="B110" s="298" t="s">
        <v>211</v>
      </c>
      <c r="C110" s="299" t="s">
        <v>212</v>
      </c>
      <c r="D110" s="981">
        <f t="shared" si="4"/>
        <v>6150</v>
      </c>
      <c r="E110" s="981">
        <v>0</v>
      </c>
      <c r="F110" s="981">
        <f t="shared" si="5"/>
        <v>6150</v>
      </c>
      <c r="G110" s="981">
        <v>2150</v>
      </c>
      <c r="H110" s="981">
        <v>4000</v>
      </c>
    </row>
    <row r="111" spans="1:8" x14ac:dyDescent="0.25">
      <c r="A111" s="294">
        <v>100</v>
      </c>
      <c r="B111" s="295" t="s">
        <v>213</v>
      </c>
      <c r="C111" s="296" t="s">
        <v>214</v>
      </c>
      <c r="D111" s="981">
        <f t="shared" si="4"/>
        <v>4600</v>
      </c>
      <c r="E111" s="981">
        <v>0</v>
      </c>
      <c r="F111" s="981">
        <f t="shared" si="5"/>
        <v>4600</v>
      </c>
      <c r="G111" s="981">
        <v>2600</v>
      </c>
      <c r="H111" s="981">
        <v>2000</v>
      </c>
    </row>
    <row r="112" spans="1:8" x14ac:dyDescent="0.25">
      <c r="A112" s="294">
        <v>101</v>
      </c>
      <c r="B112" s="297" t="s">
        <v>215</v>
      </c>
      <c r="C112" s="296" t="s">
        <v>216</v>
      </c>
      <c r="D112" s="981">
        <f t="shared" si="4"/>
        <v>5174</v>
      </c>
      <c r="E112" s="981">
        <v>0</v>
      </c>
      <c r="F112" s="981">
        <f t="shared" si="5"/>
        <v>5174</v>
      </c>
      <c r="G112" s="981">
        <v>1874</v>
      </c>
      <c r="H112" s="981">
        <v>3300</v>
      </c>
    </row>
    <row r="113" spans="1:8" x14ac:dyDescent="0.25">
      <c r="A113" s="294">
        <v>102</v>
      </c>
      <c r="B113" s="295" t="s">
        <v>217</v>
      </c>
      <c r="C113" s="299" t="s">
        <v>218</v>
      </c>
      <c r="D113" s="981">
        <f t="shared" si="4"/>
        <v>0</v>
      </c>
      <c r="E113" s="981">
        <v>0</v>
      </c>
      <c r="F113" s="981">
        <f t="shared" si="5"/>
        <v>0</v>
      </c>
      <c r="G113" s="981">
        <v>0</v>
      </c>
      <c r="H113" s="981">
        <v>0</v>
      </c>
    </row>
    <row r="114" spans="1:8" x14ac:dyDescent="0.25">
      <c r="A114" s="294">
        <v>103</v>
      </c>
      <c r="B114" s="295" t="s">
        <v>219</v>
      </c>
      <c r="C114" s="296" t="s">
        <v>220</v>
      </c>
      <c r="D114" s="981">
        <f t="shared" si="4"/>
        <v>0</v>
      </c>
      <c r="E114" s="981">
        <v>0</v>
      </c>
      <c r="F114" s="981">
        <f t="shared" si="5"/>
        <v>0</v>
      </c>
      <c r="G114" s="981">
        <v>0</v>
      </c>
      <c r="H114" s="981">
        <v>0</v>
      </c>
    </row>
    <row r="115" spans="1:8" x14ac:dyDescent="0.25">
      <c r="A115" s="294">
        <v>104</v>
      </c>
      <c r="B115" s="298" t="s">
        <v>221</v>
      </c>
      <c r="C115" s="299" t="s">
        <v>222</v>
      </c>
      <c r="D115" s="981">
        <f t="shared" si="4"/>
        <v>0</v>
      </c>
      <c r="E115" s="981">
        <v>0</v>
      </c>
      <c r="F115" s="981">
        <f t="shared" si="5"/>
        <v>0</v>
      </c>
      <c r="G115" s="981">
        <v>0</v>
      </c>
      <c r="H115" s="981">
        <v>0</v>
      </c>
    </row>
    <row r="116" spans="1:8" x14ac:dyDescent="0.25">
      <c r="A116" s="294">
        <v>105</v>
      </c>
      <c r="B116" s="298" t="s">
        <v>223</v>
      </c>
      <c r="C116" s="299" t="s">
        <v>224</v>
      </c>
      <c r="D116" s="981">
        <f t="shared" si="4"/>
        <v>0</v>
      </c>
      <c r="E116" s="981">
        <v>0</v>
      </c>
      <c r="F116" s="981">
        <f t="shared" si="5"/>
        <v>0</v>
      </c>
      <c r="G116" s="981">
        <v>0</v>
      </c>
      <c r="H116" s="981">
        <v>0</v>
      </c>
    </row>
    <row r="117" spans="1:8" x14ac:dyDescent="0.25">
      <c r="A117" s="294">
        <v>106</v>
      </c>
      <c r="B117" s="298" t="s">
        <v>225</v>
      </c>
      <c r="C117" s="299" t="s">
        <v>226</v>
      </c>
      <c r="D117" s="981">
        <f t="shared" si="4"/>
        <v>0</v>
      </c>
      <c r="E117" s="981">
        <v>0</v>
      </c>
      <c r="F117" s="981">
        <f t="shared" si="5"/>
        <v>0</v>
      </c>
      <c r="G117" s="981">
        <v>0</v>
      </c>
      <c r="H117" s="981">
        <v>0</v>
      </c>
    </row>
    <row r="118" spans="1:8" x14ac:dyDescent="0.25">
      <c r="A118" s="294">
        <v>107</v>
      </c>
      <c r="B118" s="298" t="s">
        <v>227</v>
      </c>
      <c r="C118" s="299" t="s">
        <v>228</v>
      </c>
      <c r="D118" s="981">
        <f t="shared" si="4"/>
        <v>0</v>
      </c>
      <c r="E118" s="981">
        <v>0</v>
      </c>
      <c r="F118" s="981">
        <f t="shared" si="5"/>
        <v>0</v>
      </c>
      <c r="G118" s="981">
        <v>0</v>
      </c>
      <c r="H118" s="981">
        <v>0</v>
      </c>
    </row>
    <row r="119" spans="1:8" x14ac:dyDescent="0.25">
      <c r="A119" s="294">
        <v>108</v>
      </c>
      <c r="B119" s="298" t="s">
        <v>229</v>
      </c>
      <c r="C119" s="299" t="s">
        <v>230</v>
      </c>
      <c r="D119" s="981">
        <f t="shared" si="4"/>
        <v>0</v>
      </c>
      <c r="E119" s="981">
        <v>0</v>
      </c>
      <c r="F119" s="981">
        <f t="shared" si="5"/>
        <v>0</v>
      </c>
      <c r="G119" s="981">
        <v>0</v>
      </c>
      <c r="H119" s="981">
        <v>0</v>
      </c>
    </row>
    <row r="120" spans="1:8" x14ac:dyDescent="0.25">
      <c r="A120" s="294">
        <v>109</v>
      </c>
      <c r="B120" s="298" t="s">
        <v>231</v>
      </c>
      <c r="C120" s="299" t="s">
        <v>232</v>
      </c>
      <c r="D120" s="981">
        <f t="shared" si="4"/>
        <v>0</v>
      </c>
      <c r="E120" s="981">
        <v>0</v>
      </c>
      <c r="F120" s="981">
        <f t="shared" si="5"/>
        <v>0</v>
      </c>
      <c r="G120" s="981">
        <v>0</v>
      </c>
      <c r="H120" s="981">
        <v>0</v>
      </c>
    </row>
    <row r="121" spans="1:8" x14ac:dyDescent="0.25">
      <c r="A121" s="294">
        <v>110</v>
      </c>
      <c r="B121" s="308" t="s">
        <v>233</v>
      </c>
      <c r="C121" s="309" t="s">
        <v>234</v>
      </c>
      <c r="D121" s="981">
        <f t="shared" si="4"/>
        <v>0</v>
      </c>
      <c r="E121" s="981">
        <v>0</v>
      </c>
      <c r="F121" s="981">
        <f t="shared" si="5"/>
        <v>0</v>
      </c>
      <c r="G121" s="981">
        <v>0</v>
      </c>
      <c r="H121" s="981">
        <v>0</v>
      </c>
    </row>
    <row r="122" spans="1:8" x14ac:dyDescent="0.25">
      <c r="A122" s="294">
        <v>111</v>
      </c>
      <c r="B122" s="308" t="s">
        <v>235</v>
      </c>
      <c r="C122" s="309" t="s">
        <v>236</v>
      </c>
      <c r="D122" s="981">
        <f t="shared" si="4"/>
        <v>0</v>
      </c>
      <c r="E122" s="981">
        <v>0</v>
      </c>
      <c r="F122" s="981">
        <f t="shared" si="5"/>
        <v>0</v>
      </c>
      <c r="G122" s="981">
        <v>0</v>
      </c>
      <c r="H122" s="981">
        <v>0</v>
      </c>
    </row>
    <row r="123" spans="1:8" x14ac:dyDescent="0.25">
      <c r="A123" s="294">
        <v>112</v>
      </c>
      <c r="B123" s="297" t="s">
        <v>237</v>
      </c>
      <c r="C123" s="296" t="s">
        <v>238</v>
      </c>
      <c r="D123" s="981">
        <f t="shared" si="4"/>
        <v>0</v>
      </c>
      <c r="E123" s="981">
        <v>0</v>
      </c>
      <c r="F123" s="981">
        <f t="shared" si="5"/>
        <v>0</v>
      </c>
      <c r="G123" s="981">
        <v>0</v>
      </c>
      <c r="H123" s="981">
        <v>0</v>
      </c>
    </row>
    <row r="124" spans="1:8" x14ac:dyDescent="0.25">
      <c r="A124" s="294">
        <v>113</v>
      </c>
      <c r="B124" s="298" t="s">
        <v>239</v>
      </c>
      <c r="C124" s="299" t="s">
        <v>240</v>
      </c>
      <c r="D124" s="981">
        <f t="shared" si="4"/>
        <v>0</v>
      </c>
      <c r="E124" s="981">
        <v>0</v>
      </c>
      <c r="F124" s="981">
        <f t="shared" si="5"/>
        <v>0</v>
      </c>
      <c r="G124" s="981">
        <v>0</v>
      </c>
      <c r="H124" s="981">
        <v>0</v>
      </c>
    </row>
    <row r="125" spans="1:8" x14ac:dyDescent="0.25">
      <c r="A125" s="294">
        <v>114</v>
      </c>
      <c r="B125" s="295" t="s">
        <v>241</v>
      </c>
      <c r="C125" s="310" t="s">
        <v>242</v>
      </c>
      <c r="D125" s="981">
        <f t="shared" si="4"/>
        <v>0</v>
      </c>
      <c r="E125" s="981">
        <v>0</v>
      </c>
      <c r="F125" s="981">
        <f t="shared" si="5"/>
        <v>0</v>
      </c>
      <c r="G125" s="981">
        <v>0</v>
      </c>
      <c r="H125" s="981">
        <v>0</v>
      </c>
    </row>
    <row r="126" spans="1:8" x14ac:dyDescent="0.25">
      <c r="A126" s="294">
        <v>115</v>
      </c>
      <c r="B126" s="298" t="s">
        <v>243</v>
      </c>
      <c r="C126" s="301" t="s">
        <v>385</v>
      </c>
      <c r="D126" s="981">
        <f t="shared" si="4"/>
        <v>0</v>
      </c>
      <c r="E126" s="981">
        <v>0</v>
      </c>
      <c r="F126" s="981">
        <f t="shared" si="5"/>
        <v>0</v>
      </c>
      <c r="G126" s="981">
        <v>0</v>
      </c>
      <c r="H126" s="981">
        <v>0</v>
      </c>
    </row>
    <row r="127" spans="1:8" x14ac:dyDescent="0.25">
      <c r="A127" s="294">
        <v>116</v>
      </c>
      <c r="B127" s="297" t="s">
        <v>244</v>
      </c>
      <c r="C127" s="299" t="s">
        <v>245</v>
      </c>
      <c r="D127" s="981">
        <f t="shared" si="4"/>
        <v>0</v>
      </c>
      <c r="E127" s="981">
        <v>0</v>
      </c>
      <c r="F127" s="981">
        <f t="shared" si="5"/>
        <v>0</v>
      </c>
      <c r="G127" s="981">
        <v>0</v>
      </c>
      <c r="H127" s="981">
        <v>0</v>
      </c>
    </row>
    <row r="128" spans="1:8" x14ac:dyDescent="0.25">
      <c r="A128" s="294">
        <v>117</v>
      </c>
      <c r="B128" s="297" t="s">
        <v>246</v>
      </c>
      <c r="C128" s="299" t="s">
        <v>247</v>
      </c>
      <c r="D128" s="981">
        <f t="shared" si="4"/>
        <v>0</v>
      </c>
      <c r="E128" s="981">
        <v>0</v>
      </c>
      <c r="F128" s="981">
        <f t="shared" si="5"/>
        <v>0</v>
      </c>
      <c r="G128" s="981">
        <v>0</v>
      </c>
      <c r="H128" s="981">
        <v>0</v>
      </c>
    </row>
    <row r="129" spans="1:8" x14ac:dyDescent="0.25">
      <c r="A129" s="294">
        <v>118</v>
      </c>
      <c r="B129" s="297" t="s">
        <v>248</v>
      </c>
      <c r="C129" s="299" t="s">
        <v>249</v>
      </c>
      <c r="D129" s="981">
        <f t="shared" si="4"/>
        <v>0</v>
      </c>
      <c r="E129" s="981">
        <v>0</v>
      </c>
      <c r="F129" s="981">
        <f t="shared" si="5"/>
        <v>0</v>
      </c>
      <c r="G129" s="981">
        <v>0</v>
      </c>
      <c r="H129" s="981">
        <v>0</v>
      </c>
    </row>
    <row r="130" spans="1:8" x14ac:dyDescent="0.25">
      <c r="A130" s="294">
        <v>119</v>
      </c>
      <c r="B130" s="295" t="s">
        <v>250</v>
      </c>
      <c r="C130" s="296" t="s">
        <v>251</v>
      </c>
      <c r="D130" s="981">
        <f t="shared" si="4"/>
        <v>0</v>
      </c>
      <c r="E130" s="981">
        <v>0</v>
      </c>
      <c r="F130" s="981">
        <f t="shared" si="5"/>
        <v>0</v>
      </c>
      <c r="G130" s="981">
        <v>0</v>
      </c>
      <c r="H130" s="981">
        <v>0</v>
      </c>
    </row>
    <row r="131" spans="1:8" x14ac:dyDescent="0.25">
      <c r="A131" s="294">
        <v>120</v>
      </c>
      <c r="B131" s="297" t="s">
        <v>252</v>
      </c>
      <c r="C131" s="296" t="s">
        <v>253</v>
      </c>
      <c r="D131" s="981">
        <f t="shared" si="4"/>
        <v>0</v>
      </c>
      <c r="E131" s="981">
        <v>0</v>
      </c>
      <c r="F131" s="981">
        <f t="shared" si="5"/>
        <v>0</v>
      </c>
      <c r="G131" s="981">
        <v>0</v>
      </c>
      <c r="H131" s="981">
        <v>0</v>
      </c>
    </row>
    <row r="132" spans="1:8" x14ac:dyDescent="0.25">
      <c r="A132" s="294">
        <v>121</v>
      </c>
      <c r="B132" s="298" t="s">
        <v>254</v>
      </c>
      <c r="C132" s="299" t="s">
        <v>255</v>
      </c>
      <c r="D132" s="981">
        <f t="shared" si="4"/>
        <v>0</v>
      </c>
      <c r="E132" s="981">
        <v>0</v>
      </c>
      <c r="F132" s="981">
        <f t="shared" si="5"/>
        <v>0</v>
      </c>
      <c r="G132" s="981">
        <v>0</v>
      </c>
      <c r="H132" s="981">
        <v>0</v>
      </c>
    </row>
    <row r="133" spans="1:8" x14ac:dyDescent="0.25">
      <c r="A133" s="294">
        <v>122</v>
      </c>
      <c r="B133" s="298" t="s">
        <v>256</v>
      </c>
      <c r="C133" s="299" t="s">
        <v>257</v>
      </c>
      <c r="D133" s="981">
        <f t="shared" si="4"/>
        <v>0</v>
      </c>
      <c r="E133" s="981">
        <v>0</v>
      </c>
      <c r="F133" s="981">
        <f t="shared" si="5"/>
        <v>0</v>
      </c>
      <c r="G133" s="981">
        <v>0</v>
      </c>
      <c r="H133" s="981">
        <v>0</v>
      </c>
    </row>
    <row r="134" spans="1:8" x14ac:dyDescent="0.25">
      <c r="A134" s="294">
        <v>123</v>
      </c>
      <c r="B134" s="298" t="s">
        <v>258</v>
      </c>
      <c r="C134" s="299" t="s">
        <v>259</v>
      </c>
      <c r="D134" s="981">
        <f t="shared" si="4"/>
        <v>0</v>
      </c>
      <c r="E134" s="981">
        <v>0</v>
      </c>
      <c r="F134" s="981">
        <f t="shared" si="5"/>
        <v>0</v>
      </c>
      <c r="G134" s="981">
        <v>0</v>
      </c>
      <c r="H134" s="981">
        <v>0</v>
      </c>
    </row>
    <row r="135" spans="1:8" x14ac:dyDescent="0.25">
      <c r="A135" s="294">
        <v>124</v>
      </c>
      <c r="B135" s="298" t="s">
        <v>260</v>
      </c>
      <c r="C135" s="299" t="s">
        <v>261</v>
      </c>
      <c r="D135" s="981">
        <f t="shared" si="4"/>
        <v>0</v>
      </c>
      <c r="E135" s="981">
        <v>0</v>
      </c>
      <c r="F135" s="981">
        <f t="shared" si="5"/>
        <v>0</v>
      </c>
      <c r="G135" s="981">
        <v>0</v>
      </c>
      <c r="H135" s="981">
        <v>0</v>
      </c>
    </row>
    <row r="136" spans="1:8" x14ac:dyDescent="0.25">
      <c r="A136" s="294">
        <v>125</v>
      </c>
      <c r="B136" s="298" t="s">
        <v>262</v>
      </c>
      <c r="C136" s="299" t="s">
        <v>263</v>
      </c>
      <c r="D136" s="981">
        <f t="shared" si="4"/>
        <v>0</v>
      </c>
      <c r="E136" s="981">
        <v>0</v>
      </c>
      <c r="F136" s="981">
        <f t="shared" si="5"/>
        <v>0</v>
      </c>
      <c r="G136" s="981">
        <v>0</v>
      </c>
      <c r="H136" s="981">
        <v>0</v>
      </c>
    </row>
    <row r="137" spans="1:8" x14ac:dyDescent="0.25">
      <c r="A137" s="294">
        <v>126</v>
      </c>
      <c r="B137" s="295" t="s">
        <v>264</v>
      </c>
      <c r="C137" s="296" t="s">
        <v>265</v>
      </c>
      <c r="D137" s="981">
        <f t="shared" si="4"/>
        <v>0</v>
      </c>
      <c r="E137" s="981">
        <v>0</v>
      </c>
      <c r="F137" s="981">
        <f t="shared" si="5"/>
        <v>0</v>
      </c>
      <c r="G137" s="981">
        <v>0</v>
      </c>
      <c r="H137" s="981">
        <v>0</v>
      </c>
    </row>
    <row r="138" spans="1:8" x14ac:dyDescent="0.25">
      <c r="A138" s="294">
        <v>127</v>
      </c>
      <c r="B138" s="295" t="s">
        <v>266</v>
      </c>
      <c r="C138" s="299" t="s">
        <v>267</v>
      </c>
      <c r="D138" s="981">
        <f t="shared" ref="D138:D151" si="6">E138+F138</f>
        <v>0</v>
      </c>
      <c r="E138" s="981">
        <v>0</v>
      </c>
      <c r="F138" s="981">
        <f t="shared" ref="F138:F151" si="7">SUM(G138:H138)</f>
        <v>0</v>
      </c>
      <c r="G138" s="981">
        <v>0</v>
      </c>
      <c r="H138" s="981">
        <v>0</v>
      </c>
    </row>
    <row r="139" spans="1:8" x14ac:dyDescent="0.25">
      <c r="A139" s="294">
        <v>128</v>
      </c>
      <c r="B139" s="300" t="s">
        <v>268</v>
      </c>
      <c r="C139" s="301" t="s">
        <v>269</v>
      </c>
      <c r="D139" s="981">
        <f t="shared" si="6"/>
        <v>0</v>
      </c>
      <c r="E139" s="981">
        <v>0</v>
      </c>
      <c r="F139" s="981">
        <f t="shared" si="7"/>
        <v>0</v>
      </c>
      <c r="G139" s="981">
        <v>0</v>
      </c>
      <c r="H139" s="981">
        <v>0</v>
      </c>
    </row>
    <row r="140" spans="1:8" x14ac:dyDescent="0.25">
      <c r="A140" s="294">
        <v>129</v>
      </c>
      <c r="B140" s="298" t="s">
        <v>270</v>
      </c>
      <c r="C140" s="299" t="s">
        <v>271</v>
      </c>
      <c r="D140" s="981">
        <f t="shared" si="6"/>
        <v>0</v>
      </c>
      <c r="E140" s="981">
        <v>0</v>
      </c>
      <c r="F140" s="981">
        <f t="shared" si="7"/>
        <v>0</v>
      </c>
      <c r="G140" s="981">
        <v>0</v>
      </c>
      <c r="H140" s="981">
        <v>0</v>
      </c>
    </row>
    <row r="141" spans="1:8" x14ac:dyDescent="0.25">
      <c r="A141" s="294">
        <v>130</v>
      </c>
      <c r="B141" s="298" t="s">
        <v>272</v>
      </c>
      <c r="C141" s="299" t="s">
        <v>273</v>
      </c>
      <c r="D141" s="981">
        <f t="shared" si="6"/>
        <v>0</v>
      </c>
      <c r="E141" s="981">
        <v>0</v>
      </c>
      <c r="F141" s="981">
        <f t="shared" si="7"/>
        <v>0</v>
      </c>
      <c r="G141" s="981">
        <v>0</v>
      </c>
      <c r="H141" s="981">
        <v>0</v>
      </c>
    </row>
    <row r="142" spans="1:8" x14ac:dyDescent="0.25">
      <c r="A142" s="294">
        <v>131</v>
      </c>
      <c r="B142" s="298" t="s">
        <v>274</v>
      </c>
      <c r="C142" s="299" t="s">
        <v>275</v>
      </c>
      <c r="D142" s="981">
        <f t="shared" si="6"/>
        <v>0</v>
      </c>
      <c r="E142" s="981">
        <v>0</v>
      </c>
      <c r="F142" s="981">
        <f t="shared" si="7"/>
        <v>0</v>
      </c>
      <c r="G142" s="981">
        <v>0</v>
      </c>
      <c r="H142" s="981">
        <v>0</v>
      </c>
    </row>
    <row r="143" spans="1:8" x14ac:dyDescent="0.25">
      <c r="A143" s="294">
        <v>132</v>
      </c>
      <c r="B143" s="300" t="s">
        <v>276</v>
      </c>
      <c r="C143" s="301" t="s">
        <v>277</v>
      </c>
      <c r="D143" s="981">
        <f t="shared" si="6"/>
        <v>0</v>
      </c>
      <c r="E143" s="981">
        <v>0</v>
      </c>
      <c r="F143" s="981">
        <f t="shared" si="7"/>
        <v>0</v>
      </c>
      <c r="G143" s="981">
        <v>0</v>
      </c>
      <c r="H143" s="981">
        <v>0</v>
      </c>
    </row>
    <row r="144" spans="1:8" x14ac:dyDescent="0.25">
      <c r="A144" s="294">
        <v>133</v>
      </c>
      <c r="B144" s="297" t="s">
        <v>278</v>
      </c>
      <c r="C144" s="301" t="s">
        <v>279</v>
      </c>
      <c r="D144" s="981">
        <f t="shared" si="6"/>
        <v>2770</v>
      </c>
      <c r="E144" s="981">
        <v>0</v>
      </c>
      <c r="F144" s="981">
        <f t="shared" si="7"/>
        <v>2770</v>
      </c>
      <c r="G144" s="981">
        <v>0</v>
      </c>
      <c r="H144" s="981">
        <v>2770</v>
      </c>
    </row>
    <row r="145" spans="1:8" x14ac:dyDescent="0.25">
      <c r="A145" s="294">
        <v>134</v>
      </c>
      <c r="B145" s="298" t="s">
        <v>280</v>
      </c>
      <c r="C145" s="299" t="s">
        <v>281</v>
      </c>
      <c r="D145" s="981">
        <f t="shared" si="6"/>
        <v>0</v>
      </c>
      <c r="E145" s="981">
        <v>0</v>
      </c>
      <c r="F145" s="981">
        <f t="shared" si="7"/>
        <v>0</v>
      </c>
      <c r="G145" s="981">
        <v>0</v>
      </c>
      <c r="H145" s="981">
        <v>0</v>
      </c>
    </row>
    <row r="146" spans="1:8" x14ac:dyDescent="0.25">
      <c r="A146" s="294">
        <v>135</v>
      </c>
      <c r="B146" s="295" t="s">
        <v>282</v>
      </c>
      <c r="C146" s="296" t="s">
        <v>283</v>
      </c>
      <c r="D146" s="981">
        <f t="shared" si="6"/>
        <v>0</v>
      </c>
      <c r="E146" s="981">
        <v>0</v>
      </c>
      <c r="F146" s="981">
        <f t="shared" si="7"/>
        <v>0</v>
      </c>
      <c r="G146" s="981">
        <v>0</v>
      </c>
      <c r="H146" s="981">
        <v>0</v>
      </c>
    </row>
    <row r="147" spans="1:8" x14ac:dyDescent="0.25">
      <c r="A147" s="294">
        <v>136</v>
      </c>
      <c r="B147" s="311" t="s">
        <v>284</v>
      </c>
      <c r="C147" s="312" t="s">
        <v>285</v>
      </c>
      <c r="D147" s="981">
        <f t="shared" si="6"/>
        <v>0</v>
      </c>
      <c r="E147" s="981">
        <v>0</v>
      </c>
      <c r="F147" s="981">
        <f t="shared" si="7"/>
        <v>0</v>
      </c>
      <c r="G147" s="981">
        <v>0</v>
      </c>
      <c r="H147" s="981">
        <v>0</v>
      </c>
    </row>
    <row r="148" spans="1:8" x14ac:dyDescent="0.25">
      <c r="A148" s="294">
        <v>137</v>
      </c>
      <c r="B148" s="313" t="s">
        <v>387</v>
      </c>
      <c r="C148" s="314" t="s">
        <v>388</v>
      </c>
      <c r="D148" s="981">
        <f t="shared" si="6"/>
        <v>0</v>
      </c>
      <c r="E148" s="981"/>
      <c r="F148" s="981">
        <f t="shared" si="7"/>
        <v>0</v>
      </c>
      <c r="G148" s="981"/>
      <c r="H148" s="981"/>
    </row>
    <row r="149" spans="1:8" x14ac:dyDescent="0.25">
      <c r="A149" s="294">
        <v>138</v>
      </c>
      <c r="B149" s="315" t="s">
        <v>389</v>
      </c>
      <c r="C149" s="316" t="s">
        <v>390</v>
      </c>
      <c r="D149" s="981">
        <f t="shared" si="6"/>
        <v>0</v>
      </c>
      <c r="E149" s="981"/>
      <c r="F149" s="981">
        <f t="shared" si="7"/>
        <v>0</v>
      </c>
      <c r="G149" s="981"/>
      <c r="H149" s="981"/>
    </row>
    <row r="150" spans="1:8" x14ac:dyDescent="0.25">
      <c r="A150" s="294">
        <v>139</v>
      </c>
      <c r="B150" s="552" t="s">
        <v>391</v>
      </c>
      <c r="C150" s="553" t="s">
        <v>392</v>
      </c>
      <c r="D150" s="981">
        <f t="shared" si="6"/>
        <v>0</v>
      </c>
      <c r="E150" s="981"/>
      <c r="F150" s="981">
        <f t="shared" si="7"/>
        <v>0</v>
      </c>
      <c r="G150" s="981"/>
      <c r="H150" s="981"/>
    </row>
    <row r="151" spans="1:8" x14ac:dyDescent="0.25">
      <c r="A151" s="294">
        <v>140</v>
      </c>
      <c r="B151" s="294" t="s">
        <v>393</v>
      </c>
      <c r="C151" s="317" t="s">
        <v>394</v>
      </c>
      <c r="D151" s="981">
        <f t="shared" si="6"/>
        <v>0</v>
      </c>
      <c r="E151" s="981"/>
      <c r="F151" s="981">
        <f t="shared" si="7"/>
        <v>0</v>
      </c>
      <c r="G151" s="981"/>
      <c r="H151" s="981"/>
    </row>
    <row r="155" spans="1:8" x14ac:dyDescent="0.25">
      <c r="D155" s="318"/>
      <c r="E155" s="318"/>
      <c r="F155" s="318"/>
      <c r="G155" s="318"/>
      <c r="H155" s="318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17-23</vt:lpstr>
      <vt:lpstr>ВМП КС Пр.17-23</vt:lpstr>
      <vt:lpstr>ДС (пр.17-23)</vt:lpstr>
      <vt:lpstr>ВМП ДС (пр.20-22)</vt:lpstr>
      <vt:lpstr>Проф.Свод Пр.17-23  </vt:lpstr>
      <vt:lpstr>Дисп. наблюдение Свод Пр.17-23</vt:lpstr>
      <vt:lpstr>Раз.пос.Пр.17-23  </vt:lpstr>
      <vt:lpstr>Пос с др.целями Пр17-23  </vt:lpstr>
      <vt:lpstr>Посещения СМП Пр.17-23 </vt:lpstr>
      <vt:lpstr>ШСД Пр. 17-23 </vt:lpstr>
      <vt:lpstr>Диспан.набл.взрослых Пр.17-23</vt:lpstr>
      <vt:lpstr>Углуб.дисп.Пр. 16-23</vt:lpstr>
      <vt:lpstr>Центры здоровья Пр.15-23</vt:lpstr>
      <vt:lpstr>ДВН центр.исслед.Пр.11-23</vt:lpstr>
      <vt:lpstr>Посещения неотл. 17-23</vt:lpstr>
      <vt:lpstr>Обращения 17-23 </vt:lpstr>
      <vt:lpstr>Мед.реаб. в АПУ 17-23 </vt:lpstr>
      <vt:lpstr>Долечивание, кибер-нож Пр.20-22</vt:lpstr>
      <vt:lpstr>Венерология Пр. 16-23</vt:lpstr>
      <vt:lpstr>Паллиативная МП Пр. 17-23</vt:lpstr>
      <vt:lpstr>Психотерапия Пр. 9-23</vt:lpstr>
      <vt:lpstr>Наркология Пр. 16-23</vt:lpstr>
      <vt:lpstr>Фтизиатрия Пр.16-23</vt:lpstr>
      <vt:lpstr>КТ, МРТ  Пр. 17-23</vt:lpstr>
      <vt:lpstr>УЗИ ССС 16-23</vt:lpstr>
      <vt:lpstr>ЭИ, ПАИ, МГИ Пр. 16-23</vt:lpstr>
      <vt:lpstr>ПЦР 16-23</vt:lpstr>
      <vt:lpstr>РД, ПЭТ, УЗИ 17-23</vt:lpstr>
      <vt:lpstr>гемодиализ (пр.17-23) </vt:lpstr>
      <vt:lpstr>Объемы ОРВИ, Грипп 13-23</vt:lpstr>
      <vt:lpstr>СМП (17-23)</vt:lpstr>
      <vt:lpstr>'ВМП КС Пр.17-23'!Заголовки_для_печати</vt:lpstr>
      <vt:lpstr>'Дисп. наблюдение Свод Пр.17-23'!Заголовки_для_печати</vt:lpstr>
      <vt:lpstr>'Диспан.набл.взрослых Пр.17-23'!Заголовки_для_печати</vt:lpstr>
      <vt:lpstr>'КС Пр. 17-23'!Заголовки_для_печати</vt:lpstr>
      <vt:lpstr>'Пос с др.целями Пр17-23  '!Заголовки_для_печати</vt:lpstr>
      <vt:lpstr>'Проф.Свод Пр.17-23  '!Заголовки_для_печати</vt:lpstr>
      <vt:lpstr>'Раз.пос.Пр.17-23  '!Заголовки_для_печати</vt:lpstr>
      <vt:lpstr>'СМП (17-23)'!Заголовки_для_печати</vt:lpstr>
      <vt:lpstr>'ШСД Пр. 17-23 '!Заголовки_для_печати</vt:lpstr>
      <vt:lpstr>'Центры здоровья Пр.15-23'!Область_печати</vt:lpstr>
      <vt:lpstr>'ЭИ, ПАИ, МГИ Пр. 16-23'!Область_печати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2023-11-10T11:06:10Z</dcterms:modified>
</cp:coreProperties>
</file>