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3275" windowHeight="11520" firstSheet="18" activeTab="19"/>
  </bookViews>
  <sheets>
    <sheet name="КС Пр. 13-23" sheetId="61" r:id="rId1"/>
    <sheet name="ВМП КС Пр.13-23" sheetId="60" r:id="rId2"/>
    <sheet name="ДС (пр.13-23)" sheetId="62" r:id="rId3"/>
    <sheet name="ВМП ДС (пр.20-22)" sheetId="27" r:id="rId4"/>
    <sheet name="Проф.Свод Пр.13-23 " sheetId="88" r:id="rId5"/>
    <sheet name="Дисп. наблюдение Свод Пр.13-23" sheetId="92" r:id="rId6"/>
    <sheet name="Раз.пос.Пр.13-23  " sheetId="89" r:id="rId7"/>
    <sheet name="Пос с др.целями Пр13-23 " sheetId="90" r:id="rId8"/>
    <sheet name="Посещения СМП Пр.13-23 " sheetId="91" r:id="rId9"/>
    <sheet name="ШСД Пр. 11-23" sheetId="79" r:id="rId10"/>
    <sheet name="Диспан.набл.взрослых Пр.11-23" sheetId="82" r:id="rId11"/>
    <sheet name="Углуб.дисп.Пр. 11-23 " sheetId="83" r:id="rId12"/>
    <sheet name="Центры здоровья Пр.20-22" sheetId="5" r:id="rId13"/>
    <sheet name="ДВН центр.исслед.Пр.11-23" sheetId="74" r:id="rId14"/>
    <sheet name="Посещения неотл. 13-23" sheetId="13" r:id="rId15"/>
    <sheet name="Обращения 13-23  " sheetId="86" r:id="rId16"/>
    <sheet name="Мед.реаб. в АПУ 13-23" sheetId="87" r:id="rId17"/>
    <sheet name="Долечивание, кибер-нож Пр.20-22" sheetId="22" r:id="rId18"/>
    <sheet name="Венерология Пр. 13-23" sheetId="21" r:id="rId19"/>
    <sheet name="Паллиативная МП Пр. 13-23" sheetId="20" r:id="rId20"/>
    <sheet name="Психотерапия Пр. 9-23" sheetId="19" r:id="rId21"/>
    <sheet name="Наркология Пр. 13-23" sheetId="25" r:id="rId22"/>
    <sheet name="Фтизиатрия Пр.13-23" sheetId="24" r:id="rId23"/>
    <sheet name="КТ, МРТ  Пр. 13-23" sheetId="30" r:id="rId24"/>
    <sheet name="УЗИ ССС 13-23" sheetId="31" r:id="rId25"/>
    <sheet name="ЭИ, ПАИ, МГИ Пр. 13-23" sheetId="32" r:id="rId26"/>
    <sheet name="ПЦР 13-23" sheetId="33" r:id="rId27"/>
    <sheet name="РД, ПЭТ, УЗИ 13-23" sheetId="35" r:id="rId28"/>
    <sheet name="гемодиализ (пр.11-23) " sheetId="56" r:id="rId29"/>
    <sheet name="Объемы ОРВИ, Грипп 13-23" sheetId="44" r:id="rId30"/>
    <sheet name="СМП (13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Пр.13-23'!$A$5:$AL$93</definedName>
    <definedName name="_xlnm._FilterDatabase" localSheetId="2" hidden="1">'ДС (пр.13-23)'!#REF!</definedName>
    <definedName name="_xlnm._FilterDatabase" localSheetId="0" hidden="1">'КС Пр. 13-23'!$A$4:$WVC$140</definedName>
    <definedName name="_xlnm._FilterDatabase" localSheetId="23" hidden="1">'КТ, МРТ  Пр. 13-23'!$A$7:$M$56</definedName>
    <definedName name="_xlnm._FilterDatabase" localSheetId="29" hidden="1">'Объемы ОРВИ, Грипп 13-23'!$B$6:$D$27</definedName>
    <definedName name="_xlnm._FilterDatabase" localSheetId="4" hidden="1">'Проф.Свод Пр.13-23 '!$A$8:$AJ$8</definedName>
    <definedName name="_xlnm._FilterDatabase" localSheetId="26" hidden="1">'ПЦР 13-23'!$B$6:$D$27</definedName>
    <definedName name="_xlnm._FilterDatabase" localSheetId="27" hidden="1">'РД, ПЭТ, УЗИ 13-23'!$A$5:$T$27</definedName>
    <definedName name="_xlnm._FilterDatabase" localSheetId="30" hidden="1">'СМП (13-23)'!$A$7:$O$22</definedName>
    <definedName name="_xlnm._FilterDatabase" localSheetId="11" hidden="1">'Углуб.дисп.Пр. 11-23 '!#REF!</definedName>
    <definedName name="_xlnm._FilterDatabase" localSheetId="24" hidden="1">'УЗИ ССС 13-23'!$A$5:$G$5</definedName>
    <definedName name="_xlnm._FilterDatabase" localSheetId="9" hidden="1">'ШСД Пр. 11-23'!#REF!</definedName>
    <definedName name="_xlnm._FilterDatabase" localSheetId="25" hidden="1">'ЭИ, ПАИ, МГИ Пр. 13-23'!$A$8:$Y$97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5">[4]Данные!$B$1:$EF$178</definedName>
    <definedName name="Д" localSheetId="10">[4]Данные!$B$1:$EF$178</definedName>
    <definedName name="Д" localSheetId="0">[4]Данные!$B$1:$EF$178</definedName>
    <definedName name="Д" localSheetId="23">[5]Данные!$B$1:$EF$178</definedName>
    <definedName name="Д" localSheetId="15">[3]Данные!$B$1:$EF$178</definedName>
    <definedName name="Д" localSheetId="7">[6]Данные!$B$1:$EF$178</definedName>
    <definedName name="Д" localSheetId="4">[6]Данные!$B$1:$EF$178</definedName>
    <definedName name="Д" localSheetId="6">[4]Данные!$B$1:$EF$178</definedName>
    <definedName name="Д" localSheetId="27">[4]Данные!$B$1:$EF$178</definedName>
    <definedName name="Д" localSheetId="11">[3]Данные!$B$1:$EF$178</definedName>
    <definedName name="Д" localSheetId="24">[5]Данные!$B$1:$EF$178</definedName>
    <definedName name="Д" localSheetId="12">[6]Данные!$B$1:$EF$178</definedName>
    <definedName name="Д" localSheetId="9">[3]Данные!$B$1:$EF$178</definedName>
    <definedName name="Д" localSheetId="25">[4]Данные!$B$1:$EF$178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9">#REF!</definedName>
    <definedName name="Жен.конс.">#REF!</definedName>
    <definedName name="_xlnm.Print_Titles" localSheetId="1">'ВМП КС Пр.13-23'!$B:$C</definedName>
    <definedName name="_xlnm.Print_Titles" localSheetId="5">'Дисп. наблюдение Свод Пр.13-23'!$3:$7</definedName>
    <definedName name="_xlnm.Print_Titles" localSheetId="10">'Диспан.набл.взрослых Пр.11-23'!$6:$10</definedName>
    <definedName name="_xlnm.Print_Titles" localSheetId="2">'ДС (пр.13-23)'!#REF!</definedName>
    <definedName name="_xlnm.Print_Titles" localSheetId="0">'КС Пр. 13-23'!$2:$4</definedName>
    <definedName name="_xlnm.Print_Titles" localSheetId="7">'Пос с др.целями Пр13-23 '!$2:$6</definedName>
    <definedName name="_xlnm.Print_Titles" localSheetId="4">'Проф.Свод Пр.13-23 '!$2:$7</definedName>
    <definedName name="_xlnm.Print_Titles" localSheetId="6">'Раз.пос.Пр.13-23  '!$2:$7</definedName>
    <definedName name="_xlnm.Print_Titles" localSheetId="30">'СМП (13-23)'!$4:$7</definedName>
    <definedName name="_xlnm.Print_Titles" localSheetId="9">'ШСД Пр. 11-23'!$3:$6</definedName>
    <definedName name="ЗД" localSheetId="13">[3]Данные!$BY$3:$DB$3</definedName>
    <definedName name="ЗД" localSheetId="5">[4]Данные!$BY$3:$DB$3</definedName>
    <definedName name="ЗД" localSheetId="10">[4]Данные!$BY$3:$DB$3</definedName>
    <definedName name="ЗД" localSheetId="23">[5]Данные!$BY$3:$DB$3</definedName>
    <definedName name="ЗД" localSheetId="15">[3]Данные!$BY$3:$DB$3</definedName>
    <definedName name="ЗД" localSheetId="7">[6]Данные!$BY$3:$DB$3</definedName>
    <definedName name="ЗД" localSheetId="4">[6]Данные!$BY$3:$DB$3</definedName>
    <definedName name="ЗД" localSheetId="6">[4]Данные!$BY$3:$DB$3</definedName>
    <definedName name="ЗД" localSheetId="27">[4]Данные!$BY$3:$DB$3</definedName>
    <definedName name="ЗД" localSheetId="11">[3]Данные!$BY$3:$DB$3</definedName>
    <definedName name="ЗД" localSheetId="24">[5]Данные!$BY$3:$DB$3</definedName>
    <definedName name="ЗД" localSheetId="12">[6]Данные!$BY$3:$DB$3</definedName>
    <definedName name="ЗД" localSheetId="9">[3]Данные!$BY$3:$DB$3</definedName>
    <definedName name="ЗД" localSheetId="25">[4]Данные!$BY$3:$DB$3</definedName>
    <definedName name="ЗД">[3]Данные!$BY$3:$DB$3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'[7]СВОД КП ПРОЕКТА книж'!$A$4:$DS$109</definedName>
    <definedName name="Нефтекамск" localSheetId="5">'[8]СВОД КП ПРОЕКТА книж'!$A$4:$DS$109</definedName>
    <definedName name="Нефтекамск" localSheetId="10">'[8]СВОД КП ПРОЕКТА книж'!$A$4:$DS$109</definedName>
    <definedName name="Нефтекамск" localSheetId="15">'[7]СВОД КП ПРОЕКТА книж'!$A$4:$DS$109</definedName>
    <definedName name="Нефтекамск" localSheetId="7">'[8]СВОД КП ПРОЕКТА книж'!$A$4:$DS$109</definedName>
    <definedName name="Нефтекамск" localSheetId="4">'[8]СВОД КП ПРОЕКТА книж'!$A$4:$DS$109</definedName>
    <definedName name="Нефтекамск" localSheetId="6">'[8]СВОД КП ПРОЕКТА книж'!$A$4:$DS$109</definedName>
    <definedName name="Нефтекамск" localSheetId="11">'[7]СВОД КП ПРОЕКТА книж'!$A$4:$DS$109</definedName>
    <definedName name="Нефтекамск" localSheetId="9">'[7]СВОД КП ПРОЕКТА книж'!$A$4:$DS$109</definedName>
    <definedName name="Нефтекамск">'[7]СВОД КП ПРОЕКТА книж'!$A$4:$DS$109</definedName>
    <definedName name="_xlnm.Print_Area" localSheetId="7">'Пос с др.целями Пр13-23 '!#REF!</definedName>
    <definedName name="_xlnm.Print_Area" localSheetId="12">'Центры здоровья Пр.20-22'!$A$1:$L$28</definedName>
    <definedName name="_xlnm.Print_Area" localSheetId="25">'ЭИ, ПАИ, МГИ Пр. 13-23'!$A$1:$Y$96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5">[4]Данные!$DC$3:$EF$3</definedName>
    <definedName name="ФЗ" localSheetId="10">[4]Данные!$DC$3:$EF$3</definedName>
    <definedName name="ФЗ" localSheetId="23">[5]Данные!$DC$3:$EF$3</definedName>
    <definedName name="ФЗ" localSheetId="15">[3]Данные!$DC$3:$EF$3</definedName>
    <definedName name="ФЗ" localSheetId="7">[6]Данные!$DC$3:$EF$3</definedName>
    <definedName name="ФЗ" localSheetId="4">[6]Данные!$DC$3:$EF$3</definedName>
    <definedName name="ФЗ" localSheetId="6">[4]Данные!$DC$3:$EF$3</definedName>
    <definedName name="ФЗ" localSheetId="27">[4]Данные!$DC$3:$EF$3</definedName>
    <definedName name="ФЗ" localSheetId="11">[3]Данные!$DC$3:$EF$3</definedName>
    <definedName name="ФЗ" localSheetId="24">[5]Данные!$DC$3:$EF$3</definedName>
    <definedName name="ФЗ" localSheetId="12">[6]Данные!$DC$3:$EF$3</definedName>
    <definedName name="ФЗ" localSheetId="9">[3]Данные!$DC$3:$EF$3</definedName>
    <definedName name="ФЗ" localSheetId="25">[4]Данные!$DC$3:$EF$3</definedName>
    <definedName name="ФЗ">[3]Данные!$DC$3:$EF$3</definedName>
    <definedName name="Шт" localSheetId="13">[3]Данные!$AU$3:$BX$3</definedName>
    <definedName name="Шт" localSheetId="5">[4]Данные!$AU$3:$BX$3</definedName>
    <definedName name="Шт" localSheetId="10">[4]Данные!$AU$3:$BX$3</definedName>
    <definedName name="Шт" localSheetId="23">[5]Данные!$AU$3:$BX$3</definedName>
    <definedName name="Шт" localSheetId="15">[3]Данные!$AU$3:$BX$3</definedName>
    <definedName name="Шт" localSheetId="7">[6]Данные!$AU$3:$BX$3</definedName>
    <definedName name="Шт" localSheetId="4">[6]Данные!$AU$3:$BX$3</definedName>
    <definedName name="Шт" localSheetId="6">[4]Данные!$AU$3:$BX$3</definedName>
    <definedName name="Шт" localSheetId="27">[4]Данные!$AU$3:$BX$3</definedName>
    <definedName name="Шт" localSheetId="11">[3]Данные!$AU$3:$BX$3</definedName>
    <definedName name="Шт" localSheetId="24">[5]Данные!$AU$3:$BX$3</definedName>
    <definedName name="Шт" localSheetId="12">[6]Данные!$AU$3:$BX$3</definedName>
    <definedName name="Шт" localSheetId="9">[3]Данные!$AU$3:$BX$3</definedName>
    <definedName name="Шт" localSheetId="25">[4]Данные!$AU$3:$BX$3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62913"/>
</workbook>
</file>

<file path=xl/calcChain.xml><?xml version="1.0" encoding="utf-8"?>
<calcChain xmlns="http://schemas.openxmlformats.org/spreadsheetml/2006/main">
  <c r="X158" i="20" l="1"/>
  <c r="V158" i="20"/>
  <c r="W158" i="20" s="1"/>
  <c r="Y158" i="20" s="1"/>
  <c r="O158" i="20"/>
  <c r="N158" i="20"/>
  <c r="M158" i="20"/>
  <c r="Q158" i="20" s="1"/>
  <c r="L158" i="20"/>
  <c r="Y157" i="20"/>
  <c r="X157" i="20"/>
  <c r="M157" i="20"/>
  <c r="L157" i="20"/>
  <c r="J157" i="20"/>
  <c r="G157" i="20"/>
  <c r="F157" i="20"/>
  <c r="Y156" i="20"/>
  <c r="X156" i="20"/>
  <c r="O156" i="20"/>
  <c r="N156" i="20"/>
  <c r="M156" i="20"/>
  <c r="L156" i="20"/>
  <c r="X155" i="20"/>
  <c r="W155" i="20"/>
  <c r="U155" i="20"/>
  <c r="O155" i="20"/>
  <c r="N155" i="20"/>
  <c r="M155" i="20"/>
  <c r="Q155" i="20" s="1"/>
  <c r="L155" i="20"/>
  <c r="Y154" i="20"/>
  <c r="X154" i="20"/>
  <c r="O154" i="20"/>
  <c r="N154" i="20"/>
  <c r="M154" i="20"/>
  <c r="L154" i="20"/>
  <c r="P154" i="20" s="1"/>
  <c r="Y153" i="20"/>
  <c r="X153" i="20"/>
  <c r="O153" i="20"/>
  <c r="N153" i="20"/>
  <c r="M153" i="20"/>
  <c r="Q153" i="20" s="1"/>
  <c r="Z153" i="20" s="1"/>
  <c r="L153" i="20"/>
  <c r="Y152" i="20"/>
  <c r="X152" i="20"/>
  <c r="O152" i="20"/>
  <c r="N152" i="20"/>
  <c r="M152" i="20"/>
  <c r="L152" i="20"/>
  <c r="P152" i="20" s="1"/>
  <c r="Y151" i="20"/>
  <c r="X151" i="20"/>
  <c r="O151" i="20"/>
  <c r="N151" i="20"/>
  <c r="M151" i="20"/>
  <c r="Q151" i="20" s="1"/>
  <c r="Z151" i="20" s="1"/>
  <c r="L151" i="20"/>
  <c r="Y150" i="20"/>
  <c r="X150" i="20"/>
  <c r="O150" i="20"/>
  <c r="N150" i="20"/>
  <c r="M150" i="20"/>
  <c r="L150" i="20"/>
  <c r="P150" i="20" s="1"/>
  <c r="W149" i="20"/>
  <c r="U149" i="20"/>
  <c r="R149" i="20"/>
  <c r="L149" i="20"/>
  <c r="P149" i="20" s="1"/>
  <c r="J149" i="20"/>
  <c r="N149" i="20" s="1"/>
  <c r="H149" i="20"/>
  <c r="I149" i="20" s="1"/>
  <c r="G149" i="20"/>
  <c r="D149" i="20"/>
  <c r="E149" i="20" s="1"/>
  <c r="Y148" i="20"/>
  <c r="X148" i="20"/>
  <c r="O148" i="20"/>
  <c r="N148" i="20"/>
  <c r="L148" i="20"/>
  <c r="P148" i="20" s="1"/>
  <c r="I148" i="20"/>
  <c r="H148" i="20"/>
  <c r="D148" i="20"/>
  <c r="E148" i="20" s="1"/>
  <c r="W147" i="20"/>
  <c r="V147" i="20"/>
  <c r="X147" i="20" s="1"/>
  <c r="U147" i="20"/>
  <c r="S147" i="20"/>
  <c r="O147" i="20"/>
  <c r="N147" i="20"/>
  <c r="L147" i="20"/>
  <c r="P147" i="20" s="1"/>
  <c r="I147" i="20"/>
  <c r="E147" i="20"/>
  <c r="Y146" i="20"/>
  <c r="X146" i="20"/>
  <c r="O146" i="20"/>
  <c r="N146" i="20"/>
  <c r="M146" i="20"/>
  <c r="L146" i="20"/>
  <c r="P146" i="20" s="1"/>
  <c r="Y145" i="20"/>
  <c r="X145" i="20"/>
  <c r="O145" i="20"/>
  <c r="N145" i="20"/>
  <c r="M145" i="20"/>
  <c r="Q145" i="20" s="1"/>
  <c r="Z145" i="20" s="1"/>
  <c r="L145" i="20"/>
  <c r="Y144" i="20"/>
  <c r="X144" i="20"/>
  <c r="O144" i="20"/>
  <c r="N144" i="20"/>
  <c r="M144" i="20"/>
  <c r="L144" i="20"/>
  <c r="Y143" i="20"/>
  <c r="X143" i="20"/>
  <c r="O143" i="20"/>
  <c r="N143" i="20"/>
  <c r="M143" i="20"/>
  <c r="Q143" i="20" s="1"/>
  <c r="Z143" i="20" s="1"/>
  <c r="L143" i="20"/>
  <c r="V142" i="20"/>
  <c r="U142" i="20"/>
  <c r="S142" i="20"/>
  <c r="N142" i="20"/>
  <c r="M142" i="20"/>
  <c r="L142" i="20"/>
  <c r="P142" i="20" s="1"/>
  <c r="K142" i="20"/>
  <c r="G142" i="20"/>
  <c r="Y141" i="20"/>
  <c r="X141" i="20"/>
  <c r="O141" i="20"/>
  <c r="N141" i="20"/>
  <c r="M141" i="20"/>
  <c r="L141" i="20"/>
  <c r="P141" i="20" s="1"/>
  <c r="W140" i="20"/>
  <c r="U140" i="20"/>
  <c r="T140" i="20"/>
  <c r="X140" i="20" s="1"/>
  <c r="S140" i="20"/>
  <c r="J140" i="20"/>
  <c r="K140" i="20" s="1"/>
  <c r="H140" i="20"/>
  <c r="I140" i="20" s="1"/>
  <c r="F140" i="20"/>
  <c r="G140" i="20" s="1"/>
  <c r="D140" i="20"/>
  <c r="E140" i="20" s="1"/>
  <c r="M140" i="20" s="1"/>
  <c r="Y139" i="20"/>
  <c r="X139" i="20"/>
  <c r="O139" i="20"/>
  <c r="N139" i="20"/>
  <c r="M139" i="20"/>
  <c r="Q139" i="20" s="1"/>
  <c r="Z139" i="20" s="1"/>
  <c r="L139" i="20"/>
  <c r="Y138" i="20"/>
  <c r="X138" i="20"/>
  <c r="O138" i="20"/>
  <c r="N138" i="20"/>
  <c r="M138" i="20"/>
  <c r="L138" i="20"/>
  <c r="P138" i="20" s="1"/>
  <c r="Y137" i="20"/>
  <c r="X137" i="20"/>
  <c r="O137" i="20"/>
  <c r="N137" i="20"/>
  <c r="M137" i="20"/>
  <c r="L137" i="20"/>
  <c r="Y136" i="20"/>
  <c r="X136" i="20"/>
  <c r="O136" i="20"/>
  <c r="N136" i="20"/>
  <c r="M136" i="20"/>
  <c r="Q136" i="20" s="1"/>
  <c r="Z136" i="20" s="1"/>
  <c r="L136" i="20"/>
  <c r="P136" i="20" s="1"/>
  <c r="Y135" i="20"/>
  <c r="X135" i="20"/>
  <c r="O135" i="20"/>
  <c r="N135" i="20"/>
  <c r="M135" i="20"/>
  <c r="L135" i="20"/>
  <c r="Y134" i="20"/>
  <c r="X134" i="20"/>
  <c r="O134" i="20"/>
  <c r="N134" i="20"/>
  <c r="M134" i="20"/>
  <c r="Q134" i="20" s="1"/>
  <c r="Z134" i="20" s="1"/>
  <c r="L134" i="20"/>
  <c r="P134" i="20" s="1"/>
  <c r="Y133" i="20"/>
  <c r="X133" i="20"/>
  <c r="O133" i="20"/>
  <c r="N133" i="20"/>
  <c r="M133" i="20"/>
  <c r="L133" i="20"/>
  <c r="Y132" i="20"/>
  <c r="X132" i="20"/>
  <c r="O132" i="20"/>
  <c r="N132" i="20"/>
  <c r="M132" i="20"/>
  <c r="Q132" i="20" s="1"/>
  <c r="Z132" i="20" s="1"/>
  <c r="L132" i="20"/>
  <c r="P132" i="20" s="1"/>
  <c r="Y131" i="20"/>
  <c r="X131" i="20"/>
  <c r="O131" i="20"/>
  <c r="N131" i="20"/>
  <c r="M131" i="20"/>
  <c r="L131" i="20"/>
  <c r="Y130" i="20"/>
  <c r="X130" i="20"/>
  <c r="O130" i="20"/>
  <c r="N130" i="20"/>
  <c r="M130" i="20"/>
  <c r="Q130" i="20" s="1"/>
  <c r="Z130" i="20" s="1"/>
  <c r="L130" i="20"/>
  <c r="Y129" i="20"/>
  <c r="X129" i="20"/>
  <c r="O129" i="20"/>
  <c r="N129" i="20"/>
  <c r="M129" i="20"/>
  <c r="L129" i="20"/>
  <c r="Y128" i="20"/>
  <c r="X128" i="20"/>
  <c r="O128" i="20"/>
  <c r="N128" i="20"/>
  <c r="M128" i="20"/>
  <c r="Q128" i="20" s="1"/>
  <c r="Z128" i="20" s="1"/>
  <c r="L128" i="20"/>
  <c r="P128" i="20" s="1"/>
  <c r="Y127" i="20"/>
  <c r="X127" i="20"/>
  <c r="O127" i="20"/>
  <c r="Q127" i="20" s="1"/>
  <c r="Z127" i="20" s="1"/>
  <c r="N127" i="20"/>
  <c r="M127" i="20"/>
  <c r="L127" i="20"/>
  <c r="P127" i="20" s="1"/>
  <c r="Y126" i="20"/>
  <c r="X126" i="20"/>
  <c r="O126" i="20"/>
  <c r="N126" i="20"/>
  <c r="M126" i="20"/>
  <c r="Q126" i="20" s="1"/>
  <c r="Z126" i="20" s="1"/>
  <c r="L126" i="20"/>
  <c r="Y125" i="20"/>
  <c r="X125" i="20"/>
  <c r="O125" i="20"/>
  <c r="N125" i="20"/>
  <c r="M125" i="20"/>
  <c r="L125" i="20"/>
  <c r="P125" i="20" s="1"/>
  <c r="Y124" i="20"/>
  <c r="X124" i="20"/>
  <c r="O124" i="20"/>
  <c r="N124" i="20"/>
  <c r="M124" i="20"/>
  <c r="L124" i="20"/>
  <c r="Y123" i="20"/>
  <c r="X123" i="20"/>
  <c r="O123" i="20"/>
  <c r="N123" i="20"/>
  <c r="M123" i="20"/>
  <c r="Q123" i="20" s="1"/>
  <c r="Z123" i="20" s="1"/>
  <c r="L123" i="20"/>
  <c r="P123" i="20" s="1"/>
  <c r="Y122" i="20"/>
  <c r="X122" i="20"/>
  <c r="O122" i="20"/>
  <c r="N122" i="20"/>
  <c r="M122" i="20"/>
  <c r="L122" i="20"/>
  <c r="Y121" i="20"/>
  <c r="X121" i="20"/>
  <c r="O121" i="20"/>
  <c r="N121" i="20"/>
  <c r="M121" i="20"/>
  <c r="L121" i="20"/>
  <c r="P121" i="20" s="1"/>
  <c r="Y120" i="20"/>
  <c r="X120" i="20"/>
  <c r="O120" i="20"/>
  <c r="N120" i="20"/>
  <c r="M120" i="20"/>
  <c r="L120" i="20"/>
  <c r="P120" i="20" s="1"/>
  <c r="Y119" i="20"/>
  <c r="X119" i="20"/>
  <c r="O119" i="20"/>
  <c r="N119" i="20"/>
  <c r="M119" i="20"/>
  <c r="Q119" i="20" s="1"/>
  <c r="Z119" i="20" s="1"/>
  <c r="L119" i="20"/>
  <c r="Y118" i="20"/>
  <c r="X118" i="20"/>
  <c r="O118" i="20"/>
  <c r="N118" i="20"/>
  <c r="M118" i="20"/>
  <c r="L118" i="20"/>
  <c r="P118" i="20" s="1"/>
  <c r="X117" i="20"/>
  <c r="W117" i="20"/>
  <c r="U117" i="20"/>
  <c r="S117" i="20"/>
  <c r="Y117" i="20" s="1"/>
  <c r="O117" i="20"/>
  <c r="N117" i="20"/>
  <c r="M117" i="20"/>
  <c r="L117" i="20"/>
  <c r="X116" i="20"/>
  <c r="W116" i="20"/>
  <c r="U116" i="20"/>
  <c r="S116" i="20"/>
  <c r="Y116" i="20" s="1"/>
  <c r="N116" i="20"/>
  <c r="L116" i="20"/>
  <c r="K116" i="20"/>
  <c r="I116" i="20"/>
  <c r="G116" i="20"/>
  <c r="E116" i="20"/>
  <c r="X115" i="20"/>
  <c r="W115" i="20"/>
  <c r="U115" i="20"/>
  <c r="S115" i="20"/>
  <c r="N115" i="20"/>
  <c r="L115" i="20"/>
  <c r="K115" i="20"/>
  <c r="O115" i="20" s="1"/>
  <c r="I115" i="20"/>
  <c r="G115" i="20"/>
  <c r="E115" i="20"/>
  <c r="M115" i="20" s="1"/>
  <c r="X114" i="20"/>
  <c r="W114" i="20"/>
  <c r="U114" i="20"/>
  <c r="S114" i="20"/>
  <c r="Y114" i="20" s="1"/>
  <c r="P114" i="20"/>
  <c r="N114" i="20"/>
  <c r="L114" i="20"/>
  <c r="K114" i="20"/>
  <c r="O114" i="20" s="1"/>
  <c r="I114" i="20"/>
  <c r="E114" i="20"/>
  <c r="X113" i="20"/>
  <c r="W113" i="20"/>
  <c r="U113" i="20"/>
  <c r="S113" i="20"/>
  <c r="N113" i="20"/>
  <c r="L113" i="20"/>
  <c r="P113" i="20" s="1"/>
  <c r="K113" i="20"/>
  <c r="I113" i="20"/>
  <c r="G113" i="20"/>
  <c r="O113" i="20" s="1"/>
  <c r="E113" i="20"/>
  <c r="M113" i="20" s="1"/>
  <c r="X112" i="20"/>
  <c r="W112" i="20"/>
  <c r="U112" i="20"/>
  <c r="S112" i="20"/>
  <c r="Y112" i="20" s="1"/>
  <c r="O112" i="20"/>
  <c r="N112" i="20"/>
  <c r="M112" i="20"/>
  <c r="Q112" i="20" s="1"/>
  <c r="L112" i="20"/>
  <c r="X111" i="20"/>
  <c r="W111" i="20"/>
  <c r="U111" i="20"/>
  <c r="S111" i="20"/>
  <c r="O111" i="20"/>
  <c r="N111" i="20"/>
  <c r="L111" i="20"/>
  <c r="I111" i="20"/>
  <c r="E111" i="20"/>
  <c r="X110" i="20"/>
  <c r="W110" i="20"/>
  <c r="U110" i="20"/>
  <c r="S110" i="20"/>
  <c r="O110" i="20"/>
  <c r="N110" i="20"/>
  <c r="M110" i="20"/>
  <c r="L110" i="20"/>
  <c r="X109" i="20"/>
  <c r="W109" i="20"/>
  <c r="U109" i="20"/>
  <c r="S109" i="20"/>
  <c r="N109" i="20"/>
  <c r="M109" i="20"/>
  <c r="L109" i="20"/>
  <c r="K109" i="20"/>
  <c r="I109" i="20"/>
  <c r="G109" i="20"/>
  <c r="E109" i="20"/>
  <c r="X108" i="20"/>
  <c r="W108" i="20"/>
  <c r="U108" i="20"/>
  <c r="S108" i="20"/>
  <c r="N108" i="20"/>
  <c r="L108" i="20"/>
  <c r="P108" i="20" s="1"/>
  <c r="K108" i="20"/>
  <c r="I108" i="20"/>
  <c r="G108" i="20"/>
  <c r="E108" i="20"/>
  <c r="M108" i="20" s="1"/>
  <c r="X107" i="20"/>
  <c r="W107" i="20"/>
  <c r="U107" i="20"/>
  <c r="S107" i="20"/>
  <c r="O107" i="20"/>
  <c r="N107" i="20"/>
  <c r="L107" i="20"/>
  <c r="P107" i="20" s="1"/>
  <c r="I107" i="20"/>
  <c r="E107" i="20"/>
  <c r="M107" i="20" s="1"/>
  <c r="Q107" i="20" s="1"/>
  <c r="X106" i="20"/>
  <c r="W106" i="20"/>
  <c r="U106" i="20"/>
  <c r="S106" i="20"/>
  <c r="N106" i="20"/>
  <c r="L106" i="20"/>
  <c r="K106" i="20"/>
  <c r="I106" i="20"/>
  <c r="G106" i="20"/>
  <c r="E106" i="20"/>
  <c r="X105" i="20"/>
  <c r="W105" i="20"/>
  <c r="U105" i="20"/>
  <c r="S105" i="20"/>
  <c r="Y105" i="20" s="1"/>
  <c r="N105" i="20"/>
  <c r="L105" i="20"/>
  <c r="K105" i="20"/>
  <c r="I105" i="20"/>
  <c r="G105" i="20"/>
  <c r="E105" i="20"/>
  <c r="X104" i="20"/>
  <c r="W104" i="20"/>
  <c r="U104" i="20"/>
  <c r="S104" i="20"/>
  <c r="O104" i="20"/>
  <c r="Q104" i="20" s="1"/>
  <c r="N104" i="20"/>
  <c r="M104" i="20"/>
  <c r="L104" i="20"/>
  <c r="P104" i="20" s="1"/>
  <c r="X103" i="20"/>
  <c r="W103" i="20"/>
  <c r="U103" i="20"/>
  <c r="S103" i="20"/>
  <c r="Y103" i="20" s="1"/>
  <c r="O103" i="20"/>
  <c r="N103" i="20"/>
  <c r="M103" i="20"/>
  <c r="L103" i="20"/>
  <c r="Y102" i="20"/>
  <c r="X102" i="20"/>
  <c r="O102" i="20"/>
  <c r="N102" i="20"/>
  <c r="M102" i="20"/>
  <c r="L102" i="20"/>
  <c r="Y101" i="20"/>
  <c r="X101" i="20"/>
  <c r="O101" i="20"/>
  <c r="N101" i="20"/>
  <c r="M101" i="20"/>
  <c r="Q101" i="20" s="1"/>
  <c r="Z101" i="20" s="1"/>
  <c r="L101" i="20"/>
  <c r="P101" i="20" s="1"/>
  <c r="Y100" i="20"/>
  <c r="X100" i="20"/>
  <c r="O100" i="20"/>
  <c r="N100" i="20"/>
  <c r="M100" i="20"/>
  <c r="L100" i="20"/>
  <c r="Y99" i="20"/>
  <c r="X99" i="20"/>
  <c r="O99" i="20"/>
  <c r="N99" i="20"/>
  <c r="M99" i="20"/>
  <c r="Q99" i="20" s="1"/>
  <c r="Z99" i="20" s="1"/>
  <c r="L99" i="20"/>
  <c r="Y98" i="20"/>
  <c r="X98" i="20"/>
  <c r="O98" i="20"/>
  <c r="N98" i="20"/>
  <c r="M98" i="20"/>
  <c r="L98" i="20"/>
  <c r="P98" i="20" s="1"/>
  <c r="Y97" i="20"/>
  <c r="X97" i="20"/>
  <c r="O97" i="20"/>
  <c r="N97" i="20"/>
  <c r="M97" i="20"/>
  <c r="Q97" i="20" s="1"/>
  <c r="Z97" i="20" s="1"/>
  <c r="L97" i="20"/>
  <c r="Y96" i="20"/>
  <c r="X96" i="20"/>
  <c r="O96" i="20"/>
  <c r="N96" i="20"/>
  <c r="M96" i="20"/>
  <c r="L96" i="20"/>
  <c r="P96" i="20" s="1"/>
  <c r="Y95" i="20"/>
  <c r="X95" i="20"/>
  <c r="O95" i="20"/>
  <c r="N95" i="20"/>
  <c r="M95" i="20"/>
  <c r="Q95" i="20" s="1"/>
  <c r="Z95" i="20" s="1"/>
  <c r="L95" i="20"/>
  <c r="Y94" i="20"/>
  <c r="X94" i="20"/>
  <c r="O94" i="20"/>
  <c r="N94" i="20"/>
  <c r="M94" i="20"/>
  <c r="L94" i="20"/>
  <c r="P94" i="20" s="1"/>
  <c r="W93" i="20"/>
  <c r="V93" i="20"/>
  <c r="U93" i="20"/>
  <c r="R93" i="20"/>
  <c r="O93" i="20"/>
  <c r="N93" i="20"/>
  <c r="H93" i="20"/>
  <c r="I93" i="20" s="1"/>
  <c r="D93" i="20"/>
  <c r="X92" i="20"/>
  <c r="V92" i="20"/>
  <c r="W92" i="20" s="1"/>
  <c r="U92" i="20"/>
  <c r="S92" i="20"/>
  <c r="M92" i="20"/>
  <c r="L92" i="20"/>
  <c r="K92" i="20"/>
  <c r="F92" i="20"/>
  <c r="N92" i="20" s="1"/>
  <c r="X91" i="20"/>
  <c r="W91" i="20"/>
  <c r="U91" i="20"/>
  <c r="S91" i="20"/>
  <c r="J91" i="20"/>
  <c r="I91" i="20"/>
  <c r="H91" i="20"/>
  <c r="G91" i="20"/>
  <c r="D91" i="20"/>
  <c r="X90" i="20"/>
  <c r="W90" i="20"/>
  <c r="U90" i="20"/>
  <c r="S90" i="20"/>
  <c r="L90" i="20"/>
  <c r="H90" i="20"/>
  <c r="I90" i="20" s="1"/>
  <c r="F90" i="20"/>
  <c r="E90" i="20"/>
  <c r="D90" i="20"/>
  <c r="V89" i="20"/>
  <c r="W89" i="20" s="1"/>
  <c r="U89" i="20"/>
  <c r="S89" i="20"/>
  <c r="Y89" i="20" s="1"/>
  <c r="J89" i="20"/>
  <c r="K89" i="20" s="1"/>
  <c r="H89" i="20"/>
  <c r="I89" i="20" s="1"/>
  <c r="G89" i="20"/>
  <c r="O89" i="20" s="1"/>
  <c r="D89" i="20"/>
  <c r="X88" i="20"/>
  <c r="W88" i="20"/>
  <c r="U88" i="20"/>
  <c r="S88" i="20"/>
  <c r="J88" i="20"/>
  <c r="K88" i="20" s="1"/>
  <c r="H88" i="20"/>
  <c r="I88" i="20" s="1"/>
  <c r="F88" i="20"/>
  <c r="G88" i="20" s="1"/>
  <c r="D88" i="20"/>
  <c r="X87" i="20"/>
  <c r="W87" i="20"/>
  <c r="U87" i="20"/>
  <c r="S87" i="20"/>
  <c r="O87" i="20"/>
  <c r="N87" i="20"/>
  <c r="H87" i="20"/>
  <c r="I87" i="20" s="1"/>
  <c r="D87" i="20"/>
  <c r="Y86" i="20"/>
  <c r="X86" i="20"/>
  <c r="O86" i="20"/>
  <c r="N86" i="20"/>
  <c r="M86" i="20"/>
  <c r="Q86" i="20" s="1"/>
  <c r="Z86" i="20" s="1"/>
  <c r="L86" i="20"/>
  <c r="Y85" i="20"/>
  <c r="X85" i="20"/>
  <c r="O85" i="20"/>
  <c r="N85" i="20"/>
  <c r="M85" i="20"/>
  <c r="L85" i="20"/>
  <c r="Y84" i="20"/>
  <c r="X84" i="20"/>
  <c r="O84" i="20"/>
  <c r="N84" i="20"/>
  <c r="M84" i="20"/>
  <c r="Q84" i="20" s="1"/>
  <c r="Z84" i="20" s="1"/>
  <c r="L84" i="20"/>
  <c r="Y83" i="20"/>
  <c r="X83" i="20"/>
  <c r="O83" i="20"/>
  <c r="N83" i="20"/>
  <c r="M83" i="20"/>
  <c r="L83" i="20"/>
  <c r="P83" i="20" s="1"/>
  <c r="Y82" i="20"/>
  <c r="X82" i="20"/>
  <c r="O82" i="20"/>
  <c r="N82" i="20"/>
  <c r="M82" i="20"/>
  <c r="Q82" i="20" s="1"/>
  <c r="Z82" i="20" s="1"/>
  <c r="L82" i="20"/>
  <c r="Y81" i="20"/>
  <c r="X81" i="20"/>
  <c r="O81" i="20"/>
  <c r="N81" i="20"/>
  <c r="M81" i="20"/>
  <c r="Q81" i="20" s="1"/>
  <c r="Z81" i="20" s="1"/>
  <c r="L81" i="20"/>
  <c r="Y80" i="20"/>
  <c r="X80" i="20"/>
  <c r="O80" i="20"/>
  <c r="N80" i="20"/>
  <c r="M80" i="20"/>
  <c r="L80" i="20"/>
  <c r="Y79" i="20"/>
  <c r="X79" i="20"/>
  <c r="O79" i="20"/>
  <c r="N79" i="20"/>
  <c r="H79" i="20"/>
  <c r="I79" i="20" s="1"/>
  <c r="D79" i="20"/>
  <c r="E79" i="20" s="1"/>
  <c r="Y78" i="20"/>
  <c r="X78" i="20"/>
  <c r="J78" i="20"/>
  <c r="N78" i="20" s="1"/>
  <c r="I78" i="20"/>
  <c r="H78" i="20"/>
  <c r="G78" i="20"/>
  <c r="D78" i="20"/>
  <c r="Y77" i="20"/>
  <c r="X77" i="20"/>
  <c r="J77" i="20"/>
  <c r="N77" i="20" s="1"/>
  <c r="I77" i="20"/>
  <c r="H77" i="20"/>
  <c r="G77" i="20"/>
  <c r="D77" i="20"/>
  <c r="Y76" i="20"/>
  <c r="X76" i="20"/>
  <c r="O76" i="20"/>
  <c r="Q76" i="20" s="1"/>
  <c r="Z76" i="20" s="1"/>
  <c r="N76" i="20"/>
  <c r="M76" i="20"/>
  <c r="L76" i="20"/>
  <c r="P76" i="20" s="1"/>
  <c r="Y75" i="20"/>
  <c r="X75" i="20"/>
  <c r="O75" i="20"/>
  <c r="N75" i="20"/>
  <c r="M75" i="20"/>
  <c r="Q75" i="20" s="1"/>
  <c r="Z75" i="20" s="1"/>
  <c r="L75" i="20"/>
  <c r="Y74" i="20"/>
  <c r="X74" i="20"/>
  <c r="O74" i="20"/>
  <c r="N74" i="20"/>
  <c r="M74" i="20"/>
  <c r="L74" i="20"/>
  <c r="P74" i="20" s="1"/>
  <c r="Y73" i="20"/>
  <c r="X73" i="20"/>
  <c r="N73" i="20"/>
  <c r="M73" i="20"/>
  <c r="L73" i="20"/>
  <c r="K73" i="20"/>
  <c r="G73" i="20"/>
  <c r="O73" i="20" s="1"/>
  <c r="F73" i="20"/>
  <c r="Y72" i="20"/>
  <c r="X72" i="20"/>
  <c r="O72" i="20"/>
  <c r="N72" i="20"/>
  <c r="M72" i="20"/>
  <c r="L72" i="20"/>
  <c r="Y71" i="20"/>
  <c r="X71" i="20"/>
  <c r="O71" i="20"/>
  <c r="N71" i="20"/>
  <c r="M71" i="20"/>
  <c r="Q71" i="20" s="1"/>
  <c r="Z71" i="20" s="1"/>
  <c r="L71" i="20"/>
  <c r="P71" i="20" s="1"/>
  <c r="Y70" i="20"/>
  <c r="X70" i="20"/>
  <c r="O70" i="20"/>
  <c r="N70" i="20"/>
  <c r="M70" i="20"/>
  <c r="L70" i="20"/>
  <c r="Y69" i="20"/>
  <c r="X69" i="20"/>
  <c r="O69" i="20"/>
  <c r="N69" i="20"/>
  <c r="M69" i="20"/>
  <c r="Q69" i="20" s="1"/>
  <c r="Z69" i="20" s="1"/>
  <c r="L69" i="20"/>
  <c r="P69" i="20" s="1"/>
  <c r="Y68" i="20"/>
  <c r="X68" i="20"/>
  <c r="O68" i="20"/>
  <c r="N68" i="20"/>
  <c r="M68" i="20"/>
  <c r="L68" i="20"/>
  <c r="Y67" i="20"/>
  <c r="X67" i="20"/>
  <c r="O67" i="20"/>
  <c r="N67" i="20"/>
  <c r="M67" i="20"/>
  <c r="Q67" i="20" s="1"/>
  <c r="Z67" i="20" s="1"/>
  <c r="L67" i="20"/>
  <c r="X66" i="20"/>
  <c r="W66" i="20"/>
  <c r="U66" i="20"/>
  <c r="S66" i="20"/>
  <c r="O66" i="20"/>
  <c r="N66" i="20"/>
  <c r="M66" i="20"/>
  <c r="Q66" i="20" s="1"/>
  <c r="L66" i="20"/>
  <c r="I66" i="20"/>
  <c r="E66" i="20"/>
  <c r="X65" i="20"/>
  <c r="V65" i="20"/>
  <c r="W65" i="20" s="1"/>
  <c r="T65" i="20"/>
  <c r="U65" i="20" s="1"/>
  <c r="S65" i="20"/>
  <c r="Y65" i="20" s="1"/>
  <c r="L65" i="20"/>
  <c r="K65" i="20"/>
  <c r="J65" i="20"/>
  <c r="I65" i="20"/>
  <c r="M65" i="20" s="1"/>
  <c r="F65" i="20"/>
  <c r="F13" i="20" s="1"/>
  <c r="F10" i="20" s="1"/>
  <c r="E65" i="20"/>
  <c r="X64" i="20"/>
  <c r="W64" i="20"/>
  <c r="U64" i="20"/>
  <c r="S64" i="20"/>
  <c r="O64" i="20"/>
  <c r="N64" i="20"/>
  <c r="L64" i="20"/>
  <c r="P64" i="20" s="1"/>
  <c r="I64" i="20"/>
  <c r="M64" i="20" s="1"/>
  <c r="E64" i="20"/>
  <c r="X63" i="20"/>
  <c r="W63" i="20"/>
  <c r="U63" i="20"/>
  <c r="S63" i="20"/>
  <c r="N63" i="20"/>
  <c r="P63" i="20" s="1"/>
  <c r="L63" i="20"/>
  <c r="K63" i="20"/>
  <c r="I63" i="20"/>
  <c r="G63" i="20"/>
  <c r="E63" i="20"/>
  <c r="X62" i="20"/>
  <c r="W62" i="20"/>
  <c r="U62" i="20"/>
  <c r="S62" i="20"/>
  <c r="O62" i="20"/>
  <c r="N62" i="20"/>
  <c r="P62" i="20" s="1"/>
  <c r="L62" i="20"/>
  <c r="I62" i="20"/>
  <c r="E62" i="20"/>
  <c r="X61" i="20"/>
  <c r="W61" i="20"/>
  <c r="U61" i="20"/>
  <c r="S61" i="20"/>
  <c r="N61" i="20"/>
  <c r="L61" i="20"/>
  <c r="K61" i="20"/>
  <c r="I61" i="20"/>
  <c r="G61" i="20"/>
  <c r="O61" i="20" s="1"/>
  <c r="E61" i="20"/>
  <c r="X60" i="20"/>
  <c r="W60" i="20"/>
  <c r="U60" i="20"/>
  <c r="S60" i="20"/>
  <c r="O60" i="20"/>
  <c r="N60" i="20"/>
  <c r="M60" i="20"/>
  <c r="Q60" i="20" s="1"/>
  <c r="L60" i="20"/>
  <c r="X59" i="20"/>
  <c r="W59" i="20"/>
  <c r="U59" i="20"/>
  <c r="S59" i="20"/>
  <c r="O59" i="20"/>
  <c r="N59" i="20"/>
  <c r="M59" i="20"/>
  <c r="Q59" i="20" s="1"/>
  <c r="L59" i="20"/>
  <c r="X58" i="20"/>
  <c r="W58" i="20"/>
  <c r="U58" i="20"/>
  <c r="S58" i="20"/>
  <c r="N58" i="20"/>
  <c r="L58" i="20"/>
  <c r="K58" i="20"/>
  <c r="I58" i="20"/>
  <c r="G58" i="20"/>
  <c r="E58" i="20"/>
  <c r="M58" i="20" s="1"/>
  <c r="X57" i="20"/>
  <c r="W57" i="20"/>
  <c r="U57" i="20"/>
  <c r="S57" i="20"/>
  <c r="N57" i="20"/>
  <c r="L57" i="20"/>
  <c r="K57" i="20"/>
  <c r="I57" i="20"/>
  <c r="G57" i="20"/>
  <c r="O57" i="20" s="1"/>
  <c r="E57" i="20"/>
  <c r="X56" i="20"/>
  <c r="W56" i="20"/>
  <c r="U56" i="20"/>
  <c r="S56" i="20"/>
  <c r="N56" i="20"/>
  <c r="L56" i="20"/>
  <c r="K56" i="20"/>
  <c r="I56" i="20"/>
  <c r="G56" i="20"/>
  <c r="E56" i="20"/>
  <c r="Y55" i="20"/>
  <c r="X55" i="20"/>
  <c r="O55" i="20"/>
  <c r="N55" i="20"/>
  <c r="M55" i="20"/>
  <c r="L55" i="20"/>
  <c r="X54" i="20"/>
  <c r="W54" i="20"/>
  <c r="U54" i="20"/>
  <c r="S54" i="20"/>
  <c r="O54" i="20"/>
  <c r="N54" i="20"/>
  <c r="M54" i="20"/>
  <c r="Q54" i="20" s="1"/>
  <c r="L54" i="20"/>
  <c r="X53" i="20"/>
  <c r="W53" i="20"/>
  <c r="U53" i="20"/>
  <c r="S53" i="20"/>
  <c r="O53" i="20"/>
  <c r="N53" i="20"/>
  <c r="M53" i="20"/>
  <c r="Q53" i="20" s="1"/>
  <c r="L53" i="20"/>
  <c r="X52" i="20"/>
  <c r="W52" i="20"/>
  <c r="U52" i="20"/>
  <c r="S52" i="20"/>
  <c r="N52" i="20"/>
  <c r="L52" i="20"/>
  <c r="P52" i="20" s="1"/>
  <c r="K52" i="20"/>
  <c r="I52" i="20"/>
  <c r="G52" i="20"/>
  <c r="E52" i="20"/>
  <c r="M52" i="20" s="1"/>
  <c r="X51" i="20"/>
  <c r="W51" i="20"/>
  <c r="U51" i="20"/>
  <c r="S51" i="20"/>
  <c r="Y51" i="20" s="1"/>
  <c r="O51" i="20"/>
  <c r="N51" i="20"/>
  <c r="M51" i="20"/>
  <c r="L51" i="20"/>
  <c r="P51" i="20" s="1"/>
  <c r="V50" i="20"/>
  <c r="U50" i="20"/>
  <c r="S50" i="20"/>
  <c r="P50" i="20"/>
  <c r="N50" i="20"/>
  <c r="L50" i="20"/>
  <c r="K50" i="20"/>
  <c r="O50" i="20" s="1"/>
  <c r="I50" i="20"/>
  <c r="G50" i="20"/>
  <c r="E50" i="20"/>
  <c r="X49" i="20"/>
  <c r="W49" i="20"/>
  <c r="U49" i="20"/>
  <c r="S49" i="20"/>
  <c r="O49" i="20"/>
  <c r="N49" i="20"/>
  <c r="M49" i="20"/>
  <c r="L49" i="20"/>
  <c r="X48" i="20"/>
  <c r="W48" i="20"/>
  <c r="U48" i="20"/>
  <c r="S48" i="20"/>
  <c r="N48" i="20"/>
  <c r="P48" i="20" s="1"/>
  <c r="L48" i="20"/>
  <c r="K48" i="20"/>
  <c r="I48" i="20"/>
  <c r="G48" i="20"/>
  <c r="E48" i="20"/>
  <c r="X47" i="20"/>
  <c r="W47" i="20"/>
  <c r="U47" i="20"/>
  <c r="S47" i="20"/>
  <c r="N47" i="20"/>
  <c r="L47" i="20"/>
  <c r="P47" i="20" s="1"/>
  <c r="K47" i="20"/>
  <c r="I47" i="20"/>
  <c r="G47" i="20"/>
  <c r="E47" i="20"/>
  <c r="M47" i="20" s="1"/>
  <c r="V46" i="20"/>
  <c r="U46" i="20"/>
  <c r="S46" i="20"/>
  <c r="N46" i="20"/>
  <c r="L46" i="20"/>
  <c r="P46" i="20" s="1"/>
  <c r="K46" i="20"/>
  <c r="I46" i="20"/>
  <c r="G46" i="20"/>
  <c r="E46" i="20"/>
  <c r="M46" i="20" s="1"/>
  <c r="X45" i="20"/>
  <c r="W45" i="20"/>
  <c r="U45" i="20"/>
  <c r="S45" i="20"/>
  <c r="Y45" i="20" s="1"/>
  <c r="N45" i="20"/>
  <c r="L45" i="20"/>
  <c r="P45" i="20" s="1"/>
  <c r="K45" i="20"/>
  <c r="I45" i="20"/>
  <c r="G45" i="20"/>
  <c r="E45" i="20"/>
  <c r="M45" i="20" s="1"/>
  <c r="Y44" i="20"/>
  <c r="X44" i="20"/>
  <c r="O44" i="20"/>
  <c r="N44" i="20"/>
  <c r="M44" i="20"/>
  <c r="Q44" i="20" s="1"/>
  <c r="Z44" i="20" s="1"/>
  <c r="L44" i="20"/>
  <c r="Y43" i="20"/>
  <c r="X43" i="20"/>
  <c r="O43" i="20"/>
  <c r="N43" i="20"/>
  <c r="M43" i="20"/>
  <c r="L43" i="20"/>
  <c r="P43" i="20" s="1"/>
  <c r="Y42" i="20"/>
  <c r="X42" i="20"/>
  <c r="O42" i="20"/>
  <c r="N42" i="20"/>
  <c r="M42" i="20"/>
  <c r="Q42" i="20" s="1"/>
  <c r="Z42" i="20" s="1"/>
  <c r="L42" i="20"/>
  <c r="V41" i="20"/>
  <c r="U41" i="20"/>
  <c r="S41" i="20"/>
  <c r="O41" i="20"/>
  <c r="N41" i="20"/>
  <c r="M41" i="20"/>
  <c r="Q41" i="20" s="1"/>
  <c r="L41" i="20"/>
  <c r="V40" i="20"/>
  <c r="X40" i="20" s="1"/>
  <c r="T40" i="20"/>
  <c r="U40" i="20" s="1"/>
  <c r="S40" i="20"/>
  <c r="K40" i="20"/>
  <c r="J40" i="20"/>
  <c r="I40" i="20"/>
  <c r="H40" i="20"/>
  <c r="G40" i="20"/>
  <c r="O40" i="20" s="1"/>
  <c r="F40" i="20"/>
  <c r="N40" i="20" s="1"/>
  <c r="E40" i="20"/>
  <c r="M40" i="20" s="1"/>
  <c r="D40" i="20"/>
  <c r="L40" i="20" s="1"/>
  <c r="P40" i="20" s="1"/>
  <c r="V39" i="20"/>
  <c r="W39" i="20" s="1"/>
  <c r="T39" i="20"/>
  <c r="S39" i="20"/>
  <c r="J39" i="20"/>
  <c r="K39" i="20" s="1"/>
  <c r="H39" i="20"/>
  <c r="I39" i="20" s="1"/>
  <c r="F39" i="20"/>
  <c r="E39" i="20"/>
  <c r="D39" i="20"/>
  <c r="Y38" i="20"/>
  <c r="X38" i="20"/>
  <c r="O38" i="20"/>
  <c r="N38" i="20"/>
  <c r="M38" i="20"/>
  <c r="L38" i="20"/>
  <c r="Y37" i="20"/>
  <c r="X37" i="20"/>
  <c r="O37" i="20"/>
  <c r="N37" i="20"/>
  <c r="M37" i="20"/>
  <c r="Q37" i="20" s="1"/>
  <c r="Z37" i="20" s="1"/>
  <c r="L37" i="20"/>
  <c r="Y36" i="20"/>
  <c r="X36" i="20"/>
  <c r="O36" i="20"/>
  <c r="N36" i="20"/>
  <c r="M36" i="20"/>
  <c r="L36" i="20"/>
  <c r="P36" i="20" s="1"/>
  <c r="X35" i="20"/>
  <c r="W35" i="20"/>
  <c r="U35" i="20"/>
  <c r="S35" i="20"/>
  <c r="Y35" i="20" s="1"/>
  <c r="N35" i="20"/>
  <c r="L35" i="20"/>
  <c r="K35" i="20"/>
  <c r="I35" i="20"/>
  <c r="G35" i="20"/>
  <c r="E35" i="20"/>
  <c r="X34" i="20"/>
  <c r="W34" i="20"/>
  <c r="U34" i="20"/>
  <c r="S34" i="20"/>
  <c r="N34" i="20"/>
  <c r="L34" i="20"/>
  <c r="K34" i="20"/>
  <c r="O34" i="20" s="1"/>
  <c r="I34" i="20"/>
  <c r="G34" i="20"/>
  <c r="E34" i="20"/>
  <c r="M34" i="20" s="1"/>
  <c r="X33" i="20"/>
  <c r="W33" i="20"/>
  <c r="U33" i="20"/>
  <c r="S33" i="20"/>
  <c r="P33" i="20"/>
  <c r="N33" i="20"/>
  <c r="L33" i="20"/>
  <c r="K33" i="20"/>
  <c r="O33" i="20" s="1"/>
  <c r="I33" i="20"/>
  <c r="G33" i="20"/>
  <c r="E33" i="20"/>
  <c r="X32" i="20"/>
  <c r="W32" i="20"/>
  <c r="U32" i="20"/>
  <c r="S32" i="20"/>
  <c r="N32" i="20"/>
  <c r="L32" i="20"/>
  <c r="P32" i="20" s="1"/>
  <c r="K32" i="20"/>
  <c r="I32" i="20"/>
  <c r="G32" i="20"/>
  <c r="E32" i="20"/>
  <c r="M32" i="20" s="1"/>
  <c r="X31" i="20"/>
  <c r="W31" i="20"/>
  <c r="U31" i="20"/>
  <c r="S31" i="20"/>
  <c r="Y31" i="20" s="1"/>
  <c r="L31" i="20"/>
  <c r="K31" i="20"/>
  <c r="J31" i="20"/>
  <c r="I31" i="20"/>
  <c r="F31" i="20"/>
  <c r="E31" i="20"/>
  <c r="X30" i="20"/>
  <c r="W30" i="20"/>
  <c r="U30" i="20"/>
  <c r="S30" i="20"/>
  <c r="Y30" i="20" s="1"/>
  <c r="N30" i="20"/>
  <c r="L30" i="20"/>
  <c r="K30" i="20"/>
  <c r="I30" i="20"/>
  <c r="G30" i="20"/>
  <c r="O30" i="20" s="1"/>
  <c r="E30" i="20"/>
  <c r="X29" i="20"/>
  <c r="W29" i="20"/>
  <c r="U29" i="20"/>
  <c r="S29" i="20"/>
  <c r="Y29" i="20" s="1"/>
  <c r="O29" i="20"/>
  <c r="N29" i="20"/>
  <c r="M29" i="20"/>
  <c r="Q29" i="20" s="1"/>
  <c r="L29" i="20"/>
  <c r="P29" i="20" s="1"/>
  <c r="X28" i="20"/>
  <c r="W28" i="20"/>
  <c r="U28" i="20"/>
  <c r="S28" i="20"/>
  <c r="Y28" i="20" s="1"/>
  <c r="O28" i="20"/>
  <c r="N28" i="20"/>
  <c r="M28" i="20"/>
  <c r="Q28" i="20" s="1"/>
  <c r="L28" i="20"/>
  <c r="P28" i="20" s="1"/>
  <c r="Y27" i="20"/>
  <c r="X27" i="20"/>
  <c r="O27" i="20"/>
  <c r="N27" i="20"/>
  <c r="M27" i="20"/>
  <c r="L27" i="20"/>
  <c r="Y26" i="20"/>
  <c r="X26" i="20"/>
  <c r="O26" i="20"/>
  <c r="N26" i="20"/>
  <c r="M26" i="20"/>
  <c r="Q26" i="20" s="1"/>
  <c r="Z26" i="20" s="1"/>
  <c r="L26" i="20"/>
  <c r="X25" i="20"/>
  <c r="W25" i="20"/>
  <c r="U25" i="20"/>
  <c r="S25" i="20"/>
  <c r="O25" i="20"/>
  <c r="N25" i="20"/>
  <c r="P25" i="20" s="1"/>
  <c r="L25" i="20"/>
  <c r="I25" i="20"/>
  <c r="E25" i="20"/>
  <c r="X24" i="20"/>
  <c r="W24" i="20"/>
  <c r="U24" i="20"/>
  <c r="S24" i="20"/>
  <c r="O24" i="20"/>
  <c r="N24" i="20"/>
  <c r="M24" i="20"/>
  <c r="L24" i="20"/>
  <c r="X23" i="20"/>
  <c r="W23" i="20"/>
  <c r="U23" i="20"/>
  <c r="S23" i="20"/>
  <c r="O23" i="20"/>
  <c r="N23" i="20"/>
  <c r="M23" i="20"/>
  <c r="L23" i="20"/>
  <c r="X22" i="20"/>
  <c r="W22" i="20"/>
  <c r="U22" i="20"/>
  <c r="S22" i="20"/>
  <c r="N22" i="20"/>
  <c r="L22" i="20"/>
  <c r="K22" i="20"/>
  <c r="I22" i="20"/>
  <c r="G22" i="20"/>
  <c r="O22" i="20" s="1"/>
  <c r="E22" i="20"/>
  <c r="X21" i="20"/>
  <c r="W21" i="20"/>
  <c r="U21" i="20"/>
  <c r="S21" i="20"/>
  <c r="O21" i="20"/>
  <c r="N21" i="20"/>
  <c r="M21" i="20"/>
  <c r="Q21" i="20" s="1"/>
  <c r="L21" i="20"/>
  <c r="X20" i="20"/>
  <c r="W20" i="20"/>
  <c r="U20" i="20"/>
  <c r="S20" i="20"/>
  <c r="N20" i="20"/>
  <c r="L20" i="20"/>
  <c r="K20" i="20"/>
  <c r="I20" i="20"/>
  <c r="G20" i="20"/>
  <c r="E20" i="20"/>
  <c r="V19" i="20"/>
  <c r="W19" i="20" s="1"/>
  <c r="T19" i="20"/>
  <c r="X19" i="20" s="1"/>
  <c r="S19" i="20"/>
  <c r="L19" i="20"/>
  <c r="J19" i="20"/>
  <c r="K19" i="20" s="1"/>
  <c r="I19" i="20"/>
  <c r="F19" i="20"/>
  <c r="G19" i="20" s="1"/>
  <c r="E19" i="20"/>
  <c r="X18" i="20"/>
  <c r="W18" i="20"/>
  <c r="U18" i="20"/>
  <c r="S18" i="20"/>
  <c r="O18" i="20"/>
  <c r="N18" i="20"/>
  <c r="M18" i="20"/>
  <c r="L18" i="20"/>
  <c r="P18" i="20" s="1"/>
  <c r="X17" i="20"/>
  <c r="W17" i="20"/>
  <c r="U17" i="20"/>
  <c r="S17" i="20"/>
  <c r="Y17" i="20" s="1"/>
  <c r="O17" i="20"/>
  <c r="N17" i="20"/>
  <c r="L17" i="20"/>
  <c r="P17" i="20" s="1"/>
  <c r="I17" i="20"/>
  <c r="M17" i="20" s="1"/>
  <c r="Q17" i="20" s="1"/>
  <c r="Z17" i="20" s="1"/>
  <c r="E17" i="20"/>
  <c r="X16" i="20"/>
  <c r="W16" i="20"/>
  <c r="U16" i="20"/>
  <c r="S16" i="20"/>
  <c r="N16" i="20"/>
  <c r="L16" i="20"/>
  <c r="P16" i="20" s="1"/>
  <c r="K16" i="20"/>
  <c r="O16" i="20" s="1"/>
  <c r="I16" i="20"/>
  <c r="G16" i="20"/>
  <c r="E16" i="20"/>
  <c r="M16" i="20" s="1"/>
  <c r="X15" i="20"/>
  <c r="W15" i="20"/>
  <c r="U15" i="20"/>
  <c r="S15" i="20"/>
  <c r="Y15" i="20" s="1"/>
  <c r="N15" i="20"/>
  <c r="L15" i="20"/>
  <c r="K15" i="20"/>
  <c r="I15" i="20"/>
  <c r="G15" i="20"/>
  <c r="E15" i="20"/>
  <c r="X14" i="20"/>
  <c r="W14" i="20"/>
  <c r="U14" i="20"/>
  <c r="S14" i="20"/>
  <c r="O14" i="20"/>
  <c r="N14" i="20"/>
  <c r="M14" i="20"/>
  <c r="Q14" i="20" s="1"/>
  <c r="L14" i="20"/>
  <c r="R13" i="20"/>
  <c r="R10" i="20" s="1"/>
  <c r="X12" i="20"/>
  <c r="V12" i="20"/>
  <c r="W12" i="20" s="1"/>
  <c r="J12" i="20"/>
  <c r="N12" i="20" s="1"/>
  <c r="P12" i="20" s="1"/>
  <c r="Y11" i="20"/>
  <c r="X11" i="20"/>
  <c r="O11" i="20"/>
  <c r="N11" i="20"/>
  <c r="M11" i="20"/>
  <c r="Q11" i="20" s="1"/>
  <c r="L11" i="20"/>
  <c r="M39" i="20" l="1"/>
  <c r="U13" i="20"/>
  <c r="U10" i="20" s="1"/>
  <c r="Q16" i="20"/>
  <c r="Y18" i="20"/>
  <c r="Z18" i="20" s="1"/>
  <c r="M19" i="20"/>
  <c r="U19" i="20"/>
  <c r="Y19" i="20" s="1"/>
  <c r="Y22" i="20"/>
  <c r="Y23" i="20"/>
  <c r="Z23" i="20" s="1"/>
  <c r="Y24" i="20"/>
  <c r="M25" i="20"/>
  <c r="Q25" i="20" s="1"/>
  <c r="P34" i="20"/>
  <c r="N39" i="20"/>
  <c r="G39" i="20"/>
  <c r="O39" i="20" s="1"/>
  <c r="W40" i="20"/>
  <c r="X41" i="20"/>
  <c r="W41" i="20"/>
  <c r="Y41" i="20" s="1"/>
  <c r="Z41" i="20" s="1"/>
  <c r="Y57" i="20"/>
  <c r="P58" i="20"/>
  <c r="Y61" i="20"/>
  <c r="M62" i="20"/>
  <c r="Q62" i="20" s="1"/>
  <c r="X149" i="20"/>
  <c r="S149" i="20"/>
  <c r="K12" i="20"/>
  <c r="O12" i="20" s="1"/>
  <c r="Q12" i="20" s="1"/>
  <c r="V13" i="20"/>
  <c r="V10" i="20" s="1"/>
  <c r="Q18" i="20"/>
  <c r="Q23" i="20"/>
  <c r="Q24" i="20"/>
  <c r="M30" i="20"/>
  <c r="Q30" i="20" s="1"/>
  <c r="Z30" i="20" s="1"/>
  <c r="M31" i="20"/>
  <c r="M33" i="20"/>
  <c r="Q33" i="20" s="1"/>
  <c r="Q40" i="20"/>
  <c r="Y40" i="20"/>
  <c r="P42" i="20"/>
  <c r="P44" i="20"/>
  <c r="O48" i="20"/>
  <c r="Y48" i="20"/>
  <c r="P49" i="20"/>
  <c r="M50" i="20"/>
  <c r="O56" i="20"/>
  <c r="O58" i="20"/>
  <c r="Q58" i="20" s="1"/>
  <c r="Z58" i="20" s="1"/>
  <c r="P73" i="20"/>
  <c r="E87" i="20"/>
  <c r="M87" i="20" s="1"/>
  <c r="Q87" i="20" s="1"/>
  <c r="L87" i="20"/>
  <c r="P87" i="20" s="1"/>
  <c r="L89" i="20"/>
  <c r="P89" i="20" s="1"/>
  <c r="M90" i="20"/>
  <c r="E91" i="20"/>
  <c r="M91" i="20" s="1"/>
  <c r="L91" i="20"/>
  <c r="P91" i="20" s="1"/>
  <c r="K91" i="20"/>
  <c r="O91" i="20" s="1"/>
  <c r="N91" i="20"/>
  <c r="M105" i="20"/>
  <c r="Z112" i="20"/>
  <c r="M147" i="20"/>
  <c r="Q147" i="20" s="1"/>
  <c r="T13" i="20"/>
  <c r="T10" i="20" s="1"/>
  <c r="H13" i="20"/>
  <c r="H10" i="20" s="1"/>
  <c r="O20" i="20"/>
  <c r="P27" i="20"/>
  <c r="P11" i="20"/>
  <c r="J13" i="20"/>
  <c r="Y14" i="20"/>
  <c r="M15" i="20"/>
  <c r="Q15" i="20" s="1"/>
  <c r="Z15" i="20" s="1"/>
  <c r="P15" i="20"/>
  <c r="Y16" i="20"/>
  <c r="I13" i="20"/>
  <c r="I10" i="20" s="1"/>
  <c r="Y20" i="20"/>
  <c r="Y21" i="20"/>
  <c r="P26" i="20"/>
  <c r="N31" i="20"/>
  <c r="P31" i="20" s="1"/>
  <c r="G31" i="20"/>
  <c r="O31" i="20" s="1"/>
  <c r="Y34" i="20"/>
  <c r="M35" i="20"/>
  <c r="P35" i="20"/>
  <c r="P37" i="20"/>
  <c r="L39" i="20"/>
  <c r="X39" i="20"/>
  <c r="U39" i="20"/>
  <c r="Y39" i="20" s="1"/>
  <c r="O46" i="20"/>
  <c r="Q46" i="20" s="1"/>
  <c r="X46" i="20"/>
  <c r="W46" i="20"/>
  <c r="K77" i="20"/>
  <c r="O77" i="20" s="1"/>
  <c r="K78" i="20"/>
  <c r="O78" i="20" s="1"/>
  <c r="Y91" i="20"/>
  <c r="Y92" i="20"/>
  <c r="O63" i="20"/>
  <c r="P68" i="20"/>
  <c r="P72" i="20"/>
  <c r="P80" i="20"/>
  <c r="P82" i="20"/>
  <c r="Q83" i="20"/>
  <c r="Z83" i="20" s="1"/>
  <c r="Q85" i="20"/>
  <c r="Z85" i="20" s="1"/>
  <c r="Y87" i="20"/>
  <c r="Y88" i="20"/>
  <c r="Q94" i="20"/>
  <c r="Z94" i="20" s="1"/>
  <c r="Q96" i="20"/>
  <c r="Z96" i="20" s="1"/>
  <c r="Q98" i="20"/>
  <c r="Z98" i="20" s="1"/>
  <c r="P100" i="20"/>
  <c r="Y104" i="20"/>
  <c r="Z104" i="20" s="1"/>
  <c r="P105" i="20"/>
  <c r="O106" i="20"/>
  <c r="O108" i="20"/>
  <c r="O109" i="20"/>
  <c r="P110" i="20"/>
  <c r="O116" i="20"/>
  <c r="Q117" i="20"/>
  <c r="Z117" i="20" s="1"/>
  <c r="Q120" i="20"/>
  <c r="Z120" i="20" s="1"/>
  <c r="P122" i="20"/>
  <c r="P124" i="20"/>
  <c r="P129" i="20"/>
  <c r="P131" i="20"/>
  <c r="P133" i="20"/>
  <c r="P135" i="20"/>
  <c r="Q138" i="20"/>
  <c r="Z138" i="20" s="1"/>
  <c r="Q141" i="20"/>
  <c r="Z141" i="20" s="1"/>
  <c r="Q142" i="20"/>
  <c r="Q144" i="20"/>
  <c r="Z144" i="20" s="1"/>
  <c r="Q146" i="20"/>
  <c r="Z146" i="20" s="1"/>
  <c r="M148" i="20"/>
  <c r="Q148" i="20" s="1"/>
  <c r="Z148" i="20" s="1"/>
  <c r="Q150" i="20"/>
  <c r="Z150" i="20" s="1"/>
  <c r="Q152" i="20"/>
  <c r="Z152" i="20" s="1"/>
  <c r="Q154" i="20"/>
  <c r="Z154" i="20" s="1"/>
  <c r="P156" i="20"/>
  <c r="P30" i="20"/>
  <c r="O32" i="20"/>
  <c r="Q32" i="20" s="1"/>
  <c r="Z32" i="20" s="1"/>
  <c r="O35" i="20"/>
  <c r="Q36" i="20"/>
  <c r="Z36" i="20" s="1"/>
  <c r="Q38" i="20"/>
  <c r="Z38" i="20" s="1"/>
  <c r="P41" i="20"/>
  <c r="Q43" i="20"/>
  <c r="Z43" i="20" s="1"/>
  <c r="O45" i="20"/>
  <c r="Q45" i="20" s="1"/>
  <c r="Z45" i="20" s="1"/>
  <c r="O47" i="20"/>
  <c r="Q47" i="20" s="1"/>
  <c r="Z47" i="20" s="1"/>
  <c r="M48" i="20"/>
  <c r="Q49" i="20"/>
  <c r="O52" i="20"/>
  <c r="Y52" i="20"/>
  <c r="P53" i="20"/>
  <c r="P54" i="20"/>
  <c r="P55" i="20"/>
  <c r="Y56" i="20"/>
  <c r="P57" i="20"/>
  <c r="Y58" i="20"/>
  <c r="P59" i="20"/>
  <c r="Y59" i="20"/>
  <c r="Z59" i="20" s="1"/>
  <c r="P60" i="20"/>
  <c r="Y60" i="20"/>
  <c r="P61" i="20"/>
  <c r="M63" i="20"/>
  <c r="Q63" i="20" s="1"/>
  <c r="P66" i="20"/>
  <c r="Y66" i="20"/>
  <c r="Z66" i="20" s="1"/>
  <c r="P67" i="20"/>
  <c r="Q68" i="20"/>
  <c r="Z68" i="20" s="1"/>
  <c r="Q70" i="20"/>
  <c r="Z70" i="20" s="1"/>
  <c r="Q72" i="20"/>
  <c r="Z72" i="20" s="1"/>
  <c r="P84" i="20"/>
  <c r="P86" i="20"/>
  <c r="E89" i="20"/>
  <c r="M89" i="20" s="1"/>
  <c r="P95" i="20"/>
  <c r="P97" i="20"/>
  <c r="P99" i="20"/>
  <c r="Q100" i="20"/>
  <c r="Z100" i="20" s="1"/>
  <c r="P102" i="20"/>
  <c r="O105" i="20"/>
  <c r="M106" i="20"/>
  <c r="Q106" i="20" s="1"/>
  <c r="Y108" i="20"/>
  <c r="P109" i="20"/>
  <c r="Q110" i="20"/>
  <c r="Y111" i="20"/>
  <c r="P112" i="20"/>
  <c r="Y113" i="20"/>
  <c r="Y115" i="20"/>
  <c r="P119" i="20"/>
  <c r="Q122" i="20"/>
  <c r="Z122" i="20" s="1"/>
  <c r="Q124" i="20"/>
  <c r="Z124" i="20" s="1"/>
  <c r="Q129" i="20"/>
  <c r="Z129" i="20" s="1"/>
  <c r="Q131" i="20"/>
  <c r="Z131" i="20" s="1"/>
  <c r="Q133" i="20"/>
  <c r="Z133" i="20" s="1"/>
  <c r="Q135" i="20"/>
  <c r="Z135" i="20" s="1"/>
  <c r="P137" i="20"/>
  <c r="P139" i="20"/>
  <c r="O142" i="20"/>
  <c r="P143" i="20"/>
  <c r="P145" i="20"/>
  <c r="M149" i="20"/>
  <c r="K149" i="20"/>
  <c r="O149" i="20" s="1"/>
  <c r="Q149" i="20" s="1"/>
  <c r="Z149" i="20" s="1"/>
  <c r="P153" i="20"/>
  <c r="P155" i="20"/>
  <c r="Y155" i="20"/>
  <c r="Z155" i="20" s="1"/>
  <c r="P158" i="20"/>
  <c r="Y12" i="20"/>
  <c r="Z11" i="20"/>
  <c r="Z14" i="20"/>
  <c r="O15" i="20"/>
  <c r="L88" i="20"/>
  <c r="E88" i="20"/>
  <c r="M88" i="20" s="1"/>
  <c r="J10" i="20"/>
  <c r="P14" i="20"/>
  <c r="P21" i="20"/>
  <c r="P23" i="20"/>
  <c r="Y25" i="20"/>
  <c r="Z29" i="20"/>
  <c r="Q35" i="20"/>
  <c r="Z35" i="20" s="1"/>
  <c r="Y47" i="20"/>
  <c r="Q48" i="20"/>
  <c r="Y49" i="20"/>
  <c r="Z49" i="20" s="1"/>
  <c r="Q50" i="20"/>
  <c r="Q51" i="20"/>
  <c r="Z51" i="20" s="1"/>
  <c r="Q55" i="20"/>
  <c r="Z55" i="20" s="1"/>
  <c r="M57" i="20"/>
  <c r="Q57" i="20" s="1"/>
  <c r="Z57" i="20" s="1"/>
  <c r="Z60" i="20"/>
  <c r="M61" i="20"/>
  <c r="Q61" i="20" s="1"/>
  <c r="K157" i="20"/>
  <c r="N157" i="20"/>
  <c r="Z28" i="20"/>
  <c r="D13" i="20"/>
  <c r="D10" i="20" s="1"/>
  <c r="O19" i="20"/>
  <c r="Q19" i="20" s="1"/>
  <c r="Z19" i="20" s="1"/>
  <c r="N19" i="20"/>
  <c r="M20" i="20"/>
  <c r="Q20" i="20" s="1"/>
  <c r="Z20" i="20" s="1"/>
  <c r="P20" i="20"/>
  <c r="Z21" i="20"/>
  <c r="M22" i="20"/>
  <c r="Q22" i="20" s="1"/>
  <c r="Z22" i="20" s="1"/>
  <c r="P22" i="20"/>
  <c r="P24" i="20"/>
  <c r="Q27" i="20"/>
  <c r="Z27" i="20" s="1"/>
  <c r="Y33" i="20"/>
  <c r="Z33" i="20" s="1"/>
  <c r="Q34" i="20"/>
  <c r="Z34" i="20" s="1"/>
  <c r="P38" i="20"/>
  <c r="X50" i="20"/>
  <c r="W50" i="20"/>
  <c r="Q52" i="20"/>
  <c r="Y53" i="20"/>
  <c r="Z53" i="20" s="1"/>
  <c r="M56" i="20"/>
  <c r="Q56" i="20" s="1"/>
  <c r="Z56" i="20" s="1"/>
  <c r="P56" i="20"/>
  <c r="Y62" i="20"/>
  <c r="Z62" i="20" s="1"/>
  <c r="Q64" i="20"/>
  <c r="Y50" i="20"/>
  <c r="Z24" i="20"/>
  <c r="Z25" i="20"/>
  <c r="Y32" i="20"/>
  <c r="Y46" i="20"/>
  <c r="Y54" i="20"/>
  <c r="Z54" i="20" s="1"/>
  <c r="G65" i="20"/>
  <c r="N65" i="20"/>
  <c r="P65" i="20" s="1"/>
  <c r="P70" i="20"/>
  <c r="Q74" i="20"/>
  <c r="Z74" i="20" s="1"/>
  <c r="L78" i="20"/>
  <c r="P78" i="20" s="1"/>
  <c r="E78" i="20"/>
  <c r="M78" i="20" s="1"/>
  <c r="L79" i="20"/>
  <c r="P79" i="20" s="1"/>
  <c r="Q80" i="20"/>
  <c r="Z80" i="20" s="1"/>
  <c r="P85" i="20"/>
  <c r="O88" i="20"/>
  <c r="L93" i="20"/>
  <c r="P93" i="20" s="1"/>
  <c r="E93" i="20"/>
  <c r="M93" i="20" s="1"/>
  <c r="Q93" i="20" s="1"/>
  <c r="Q103" i="20"/>
  <c r="Z103" i="20" s="1"/>
  <c r="Y63" i="20"/>
  <c r="Y64" i="20"/>
  <c r="Q73" i="20"/>
  <c r="Z73" i="20" s="1"/>
  <c r="P75" i="20"/>
  <c r="P81" i="20"/>
  <c r="Z87" i="20"/>
  <c r="N90" i="20"/>
  <c r="P90" i="20" s="1"/>
  <c r="G90" i="20"/>
  <c r="O90" i="20" s="1"/>
  <c r="Q90" i="20" s="1"/>
  <c r="Q105" i="20"/>
  <c r="Z105" i="20" s="1"/>
  <c r="Q113" i="20"/>
  <c r="Z113" i="20" s="1"/>
  <c r="L140" i="20"/>
  <c r="Z158" i="20"/>
  <c r="L77" i="20"/>
  <c r="P77" i="20" s="1"/>
  <c r="E77" i="20"/>
  <c r="M77" i="20" s="1"/>
  <c r="M79" i="20"/>
  <c r="Q79" i="20" s="1"/>
  <c r="Z79" i="20" s="1"/>
  <c r="Y106" i="20"/>
  <c r="Q108" i="20"/>
  <c r="Z108" i="20" s="1"/>
  <c r="Q109" i="20"/>
  <c r="M111" i="20"/>
  <c r="Q111" i="20" s="1"/>
  <c r="P115" i="20"/>
  <c r="N88" i="20"/>
  <c r="N89" i="20"/>
  <c r="Y90" i="20"/>
  <c r="P92" i="20"/>
  <c r="X93" i="20"/>
  <c r="S93" i="20"/>
  <c r="Y93" i="20" s="1"/>
  <c r="P103" i="20"/>
  <c r="Y107" i="20"/>
  <c r="Z107" i="20" s="1"/>
  <c r="P111" i="20"/>
  <c r="M116" i="20"/>
  <c r="Q116" i="20" s="1"/>
  <c r="Z116" i="20" s="1"/>
  <c r="P116" i="20"/>
  <c r="Q118" i="20"/>
  <c r="Z118" i="20" s="1"/>
  <c r="Q125" i="20"/>
  <c r="Z125" i="20" s="1"/>
  <c r="P130" i="20"/>
  <c r="O140" i="20"/>
  <c r="Q140" i="20" s="1"/>
  <c r="X142" i="20"/>
  <c r="W142" i="20"/>
  <c r="Y142" i="20" s="1"/>
  <c r="Z142" i="20" s="1"/>
  <c r="P144" i="20"/>
  <c r="Y147" i="20"/>
  <c r="P151" i="20"/>
  <c r="Q156" i="20"/>
  <c r="Z156" i="20" s="1"/>
  <c r="P157" i="20"/>
  <c r="Q102" i="20"/>
  <c r="Z102" i="20" s="1"/>
  <c r="P106" i="20"/>
  <c r="Y110" i="20"/>
  <c r="Z110" i="20" s="1"/>
  <c r="M114" i="20"/>
  <c r="Q114" i="20" s="1"/>
  <c r="Z114" i="20" s="1"/>
  <c r="P117" i="20"/>
  <c r="Q121" i="20"/>
  <c r="Z121" i="20" s="1"/>
  <c r="P126" i="20"/>
  <c r="Q137" i="20"/>
  <c r="Z137" i="20" s="1"/>
  <c r="Y140" i="20"/>
  <c r="Q89" i="20"/>
  <c r="Z89" i="20" s="1"/>
  <c r="X89" i="20"/>
  <c r="G92" i="20"/>
  <c r="O92" i="20" s="1"/>
  <c r="Q92" i="20" s="1"/>
  <c r="Y109" i="20"/>
  <c r="Q115" i="20"/>
  <c r="Z115" i="20" s="1"/>
  <c r="Y149" i="20"/>
  <c r="O157" i="20"/>
  <c r="Q157" i="20" s="1"/>
  <c r="Z157" i="20" s="1"/>
  <c r="N140" i="20"/>
  <c r="D142" i="62"/>
  <c r="X13" i="20" l="1"/>
  <c r="X10" i="20" s="1"/>
  <c r="Z106" i="20"/>
  <c r="Q78" i="20"/>
  <c r="Z78" i="20" s="1"/>
  <c r="Q88" i="20"/>
  <c r="Z88" i="20" s="1"/>
  <c r="Z40" i="20"/>
  <c r="Z16" i="20"/>
  <c r="Q39" i="20"/>
  <c r="Z39" i="20" s="1"/>
  <c r="Q77" i="20"/>
  <c r="Z77" i="20" s="1"/>
  <c r="Z147" i="20"/>
  <c r="Z140" i="20"/>
  <c r="Z111" i="20"/>
  <c r="Z52" i="20"/>
  <c r="K13" i="20"/>
  <c r="K10" i="20" s="1"/>
  <c r="Q91" i="20"/>
  <c r="Z91" i="20" s="1"/>
  <c r="Z46" i="20"/>
  <c r="Z92" i="20"/>
  <c r="W13" i="20"/>
  <c r="W10" i="20" s="1"/>
  <c r="Z61" i="20"/>
  <c r="Z48" i="20"/>
  <c r="P39" i="20"/>
  <c r="Q31" i="20"/>
  <c r="Z31" i="20" s="1"/>
  <c r="Y13" i="20"/>
  <c r="Y10" i="20" s="1"/>
  <c r="Z109" i="20"/>
  <c r="P140" i="20"/>
  <c r="O65" i="20"/>
  <c r="Q65" i="20" s="1"/>
  <c r="Z65" i="20" s="1"/>
  <c r="G13" i="20"/>
  <c r="G10" i="20" s="1"/>
  <c r="Z50" i="20"/>
  <c r="S13" i="20"/>
  <c r="S10" i="20" s="1"/>
  <c r="P88" i="20"/>
  <c r="Z12" i="20"/>
  <c r="Q13" i="20"/>
  <c r="Q10" i="20" s="1"/>
  <c r="M13" i="20"/>
  <c r="M10" i="20" s="1"/>
  <c r="Z90" i="20"/>
  <c r="E13" i="20"/>
  <c r="E10" i="20" s="1"/>
  <c r="Z64" i="20"/>
  <c r="Z93" i="20"/>
  <c r="Z63" i="20"/>
  <c r="P19" i="20"/>
  <c r="N13" i="20"/>
  <c r="N10" i="20" s="1"/>
  <c r="L13" i="20"/>
  <c r="L10" i="20" s="1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J113" i="24"/>
  <c r="G113" i="24"/>
  <c r="J112" i="24"/>
  <c r="G112" i="24"/>
  <c r="J111" i="24"/>
  <c r="D111" i="24"/>
  <c r="G111" i="24" s="1"/>
  <c r="J110" i="24"/>
  <c r="H110" i="24"/>
  <c r="D110" i="24"/>
  <c r="G110" i="24" s="1"/>
  <c r="J109" i="24"/>
  <c r="G109" i="24"/>
  <c r="J108" i="24"/>
  <c r="G108" i="24"/>
  <c r="J107" i="24"/>
  <c r="G107" i="24"/>
  <c r="J106" i="24"/>
  <c r="G106" i="24"/>
  <c r="D106" i="24"/>
  <c r="J105" i="24"/>
  <c r="G105" i="24"/>
  <c r="H104" i="24"/>
  <c r="J104" i="24" s="1"/>
  <c r="D104" i="24"/>
  <c r="G104" i="24" s="1"/>
  <c r="J103" i="24"/>
  <c r="G103" i="24"/>
  <c r="H102" i="24"/>
  <c r="J102" i="24" s="1"/>
  <c r="G102" i="24"/>
  <c r="H101" i="24"/>
  <c r="J101" i="24" s="1"/>
  <c r="G101" i="24"/>
  <c r="J100" i="24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G63" i="24"/>
  <c r="J62" i="24"/>
  <c r="G62" i="24"/>
  <c r="H61" i="24"/>
  <c r="J61" i="24" s="1"/>
  <c r="D61" i="24"/>
  <c r="G61" i="24" s="1"/>
  <c r="J60" i="24"/>
  <c r="D60" i="24"/>
  <c r="G60" i="24" s="1"/>
  <c r="J59" i="24"/>
  <c r="G59" i="24"/>
  <c r="J58" i="24"/>
  <c r="H58" i="24"/>
  <c r="G58" i="24"/>
  <c r="H57" i="24"/>
  <c r="J57" i="24" s="1"/>
  <c r="G57" i="24"/>
  <c r="H56" i="24"/>
  <c r="J56" i="24" s="1"/>
  <c r="G56" i="24"/>
  <c r="J55" i="24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J36" i="24"/>
  <c r="H36" i="24"/>
  <c r="G36" i="24"/>
  <c r="D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D25" i="24"/>
  <c r="J24" i="24"/>
  <c r="G24" i="24"/>
  <c r="J23" i="24"/>
  <c r="G23" i="24"/>
  <c r="J22" i="24"/>
  <c r="G22" i="24"/>
  <c r="J21" i="24"/>
  <c r="G21" i="24"/>
  <c r="H20" i="24"/>
  <c r="J20" i="24" s="1"/>
  <c r="G20" i="24"/>
  <c r="J19" i="24"/>
  <c r="G19" i="24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J14" i="24"/>
  <c r="G14" i="24"/>
  <c r="J13" i="24"/>
  <c r="G13" i="24"/>
  <c r="H12" i="24"/>
  <c r="J12" i="24" s="1"/>
  <c r="G12" i="24"/>
  <c r="J11" i="24"/>
  <c r="G11" i="24"/>
  <c r="N10" i="24"/>
  <c r="M10" i="24"/>
  <c r="M7" i="24" s="1"/>
  <c r="L10" i="24"/>
  <c r="K10" i="24"/>
  <c r="K7" i="24" s="1"/>
  <c r="I10" i="24"/>
  <c r="I7" i="24" s="1"/>
  <c r="F10" i="24"/>
  <c r="F7" i="24" s="1"/>
  <c r="E10" i="24"/>
  <c r="E7" i="24" s="1"/>
  <c r="J9" i="24"/>
  <c r="G9" i="24"/>
  <c r="J8" i="24"/>
  <c r="G8" i="24"/>
  <c r="N7" i="24"/>
  <c r="L7" i="24"/>
  <c r="I148" i="25"/>
  <c r="H148" i="25"/>
  <c r="E104" i="25"/>
  <c r="I60" i="25"/>
  <c r="H60" i="25"/>
  <c r="I56" i="25"/>
  <c r="H56" i="25"/>
  <c r="I43" i="25"/>
  <c r="H43" i="25"/>
  <c r="I41" i="25"/>
  <c r="H41" i="25"/>
  <c r="E35" i="25"/>
  <c r="D35" i="25"/>
  <c r="E34" i="25"/>
  <c r="E8" i="25" s="1"/>
  <c r="E5" i="25" s="1"/>
  <c r="D34" i="25"/>
  <c r="D8" i="25" s="1"/>
  <c r="D5" i="25" s="1"/>
  <c r="E15" i="25"/>
  <c r="I14" i="25"/>
  <c r="H14" i="25"/>
  <c r="I11" i="25"/>
  <c r="H11" i="25"/>
  <c r="G8" i="25"/>
  <c r="G5" i="25" s="1"/>
  <c r="F8" i="25"/>
  <c r="F5" i="25" s="1"/>
  <c r="D108" i="21"/>
  <c r="D105" i="21"/>
  <c r="D104" i="21"/>
  <c r="D102" i="21"/>
  <c r="D46" i="21"/>
  <c r="D41" i="21"/>
  <c r="D36" i="21"/>
  <c r="D35" i="21"/>
  <c r="D31" i="21"/>
  <c r="D21" i="21"/>
  <c r="D19" i="21"/>
  <c r="D16" i="21"/>
  <c r="D15" i="21"/>
  <c r="D12" i="21"/>
  <c r="I9" i="21"/>
  <c r="I6" i="21" s="1"/>
  <c r="H9" i="21"/>
  <c r="H6" i="21" s="1"/>
  <c r="G9" i="21"/>
  <c r="F9" i="21"/>
  <c r="F6" i="21" s="1"/>
  <c r="E9" i="21"/>
  <c r="E6" i="21" s="1"/>
  <c r="G6" i="21"/>
  <c r="Z13" i="20" l="1"/>
  <c r="Z10" i="20" s="1"/>
  <c r="P13" i="20"/>
  <c r="P10" i="20" s="1"/>
  <c r="O13" i="20"/>
  <c r="O10" i="20" s="1"/>
  <c r="H8" i="25"/>
  <c r="H5" i="25" s="1"/>
  <c r="D9" i="21"/>
  <c r="D6" i="21" s="1"/>
  <c r="H10" i="24"/>
  <c r="H7" i="24" s="1"/>
  <c r="I8" i="25"/>
  <c r="I5" i="25" s="1"/>
  <c r="D10" i="24"/>
  <c r="D7" i="24" s="1"/>
  <c r="G25" i="24"/>
  <c r="G10" i="24" s="1"/>
  <c r="G7" i="24" s="1"/>
  <c r="J44" i="24"/>
  <c r="J10" i="24" s="1"/>
  <c r="J7" i="24" s="1"/>
  <c r="L124" i="86"/>
  <c r="I153" i="92" l="1"/>
  <c r="F153" i="92"/>
  <c r="D153" i="92" s="1"/>
  <c r="I152" i="92"/>
  <c r="F152" i="92"/>
  <c r="D152" i="92" s="1"/>
  <c r="I151" i="92"/>
  <c r="F151" i="92"/>
  <c r="I150" i="92"/>
  <c r="F150" i="92"/>
  <c r="I149" i="92"/>
  <c r="F149" i="92"/>
  <c r="D149" i="92" s="1"/>
  <c r="I148" i="92"/>
  <c r="F148" i="92"/>
  <c r="D148" i="92"/>
  <c r="I147" i="92"/>
  <c r="F147" i="92"/>
  <c r="I146" i="92"/>
  <c r="F146" i="92"/>
  <c r="I145" i="92"/>
  <c r="D145" i="92" s="1"/>
  <c r="F145" i="92"/>
  <c r="I144" i="92"/>
  <c r="F144" i="92"/>
  <c r="I143" i="92"/>
  <c r="F143" i="92"/>
  <c r="I142" i="92"/>
  <c r="F142" i="92"/>
  <c r="D142" i="92" s="1"/>
  <c r="I141" i="92"/>
  <c r="F141" i="92"/>
  <c r="I140" i="92"/>
  <c r="F140" i="92"/>
  <c r="I139" i="92"/>
  <c r="F139" i="92"/>
  <c r="I138" i="92"/>
  <c r="F138" i="92"/>
  <c r="I137" i="92"/>
  <c r="F137" i="92"/>
  <c r="D137" i="92" s="1"/>
  <c r="I136" i="92"/>
  <c r="F136" i="92"/>
  <c r="I135" i="92"/>
  <c r="F135" i="92"/>
  <c r="I134" i="92"/>
  <c r="F134" i="92"/>
  <c r="I133" i="92"/>
  <c r="F133" i="92"/>
  <c r="D133" i="92" s="1"/>
  <c r="I132" i="92"/>
  <c r="F132" i="92"/>
  <c r="D132" i="92" s="1"/>
  <c r="I131" i="92"/>
  <c r="F131" i="92"/>
  <c r="I130" i="92"/>
  <c r="F130" i="92"/>
  <c r="I129" i="92"/>
  <c r="F129" i="92"/>
  <c r="D129" i="92" s="1"/>
  <c r="I128" i="92"/>
  <c r="F128" i="92"/>
  <c r="D128" i="92" s="1"/>
  <c r="I127" i="92"/>
  <c r="F127" i="92"/>
  <c r="I126" i="92"/>
  <c r="F126" i="92"/>
  <c r="I125" i="92"/>
  <c r="F125" i="92"/>
  <c r="I124" i="92"/>
  <c r="F124" i="92"/>
  <c r="I123" i="92"/>
  <c r="F123" i="92"/>
  <c r="D123" i="92" s="1"/>
  <c r="I122" i="92"/>
  <c r="F122" i="92"/>
  <c r="I121" i="92"/>
  <c r="F121" i="92"/>
  <c r="I120" i="92"/>
  <c r="F120" i="92"/>
  <c r="I119" i="92"/>
  <c r="F119" i="92"/>
  <c r="D119" i="92" s="1"/>
  <c r="I118" i="92"/>
  <c r="F118" i="92"/>
  <c r="D118" i="92" s="1"/>
  <c r="I117" i="92"/>
  <c r="F117" i="92"/>
  <c r="I116" i="92"/>
  <c r="F116" i="92"/>
  <c r="D116" i="92" s="1"/>
  <c r="I115" i="92"/>
  <c r="F115" i="92"/>
  <c r="I114" i="92"/>
  <c r="F114" i="92"/>
  <c r="D114" i="92" s="1"/>
  <c r="I113" i="92"/>
  <c r="F113" i="92"/>
  <c r="D113" i="92" s="1"/>
  <c r="I112" i="92"/>
  <c r="F112" i="92"/>
  <c r="D112" i="92" s="1"/>
  <c r="I111" i="92"/>
  <c r="F111" i="92"/>
  <c r="I110" i="92"/>
  <c r="F110" i="92"/>
  <c r="I109" i="92"/>
  <c r="F109" i="92"/>
  <c r="D109" i="92" s="1"/>
  <c r="I108" i="92"/>
  <c r="F108" i="92"/>
  <c r="I107" i="92"/>
  <c r="F107" i="92"/>
  <c r="I106" i="92"/>
  <c r="F106" i="92"/>
  <c r="D106" i="92" s="1"/>
  <c r="I105" i="92"/>
  <c r="F105" i="92"/>
  <c r="D105" i="92" s="1"/>
  <c r="I104" i="92"/>
  <c r="F104" i="92"/>
  <c r="D104" i="92" s="1"/>
  <c r="I103" i="92"/>
  <c r="F103" i="92"/>
  <c r="I102" i="92"/>
  <c r="F102" i="92"/>
  <c r="I101" i="92"/>
  <c r="F101" i="92"/>
  <c r="I100" i="92"/>
  <c r="F100" i="92"/>
  <c r="I99" i="92"/>
  <c r="F99" i="92"/>
  <c r="I98" i="92"/>
  <c r="F98" i="92"/>
  <c r="I97" i="92"/>
  <c r="F97" i="92"/>
  <c r="D97" i="92" s="1"/>
  <c r="I96" i="92"/>
  <c r="F96" i="92"/>
  <c r="I95" i="92"/>
  <c r="F95" i="92"/>
  <c r="I94" i="92"/>
  <c r="F94" i="92"/>
  <c r="D94" i="92" s="1"/>
  <c r="I93" i="92"/>
  <c r="F93" i="92"/>
  <c r="I92" i="92"/>
  <c r="F92" i="92"/>
  <c r="D92" i="92" s="1"/>
  <c r="I91" i="92"/>
  <c r="F91" i="92"/>
  <c r="I90" i="92"/>
  <c r="F90" i="92"/>
  <c r="I89" i="92"/>
  <c r="F89" i="92"/>
  <c r="D89" i="92" s="1"/>
  <c r="I88" i="92"/>
  <c r="F88" i="92"/>
  <c r="D88" i="92" s="1"/>
  <c r="I87" i="92"/>
  <c r="F87" i="92"/>
  <c r="I86" i="92"/>
  <c r="F86" i="92"/>
  <c r="I85" i="92"/>
  <c r="F85" i="92"/>
  <c r="I84" i="92"/>
  <c r="F84" i="92"/>
  <c r="D84" i="92" s="1"/>
  <c r="I83" i="92"/>
  <c r="F83" i="92"/>
  <c r="I82" i="92"/>
  <c r="F82" i="92"/>
  <c r="D82" i="92" s="1"/>
  <c r="I81" i="92"/>
  <c r="F81" i="92"/>
  <c r="I80" i="92"/>
  <c r="F80" i="92"/>
  <c r="D80" i="92" s="1"/>
  <c r="I79" i="92"/>
  <c r="F79" i="92"/>
  <c r="I78" i="92"/>
  <c r="F78" i="92"/>
  <c r="D78" i="92" s="1"/>
  <c r="I77" i="92"/>
  <c r="F77" i="92"/>
  <c r="D77" i="92" s="1"/>
  <c r="I76" i="92"/>
  <c r="F76" i="92"/>
  <c r="I75" i="92"/>
  <c r="F75" i="92"/>
  <c r="I74" i="92"/>
  <c r="F74" i="92"/>
  <c r="I73" i="92"/>
  <c r="F73" i="92"/>
  <c r="D73" i="92" s="1"/>
  <c r="I72" i="92"/>
  <c r="F72" i="92"/>
  <c r="I71" i="92"/>
  <c r="F71" i="92"/>
  <c r="D71" i="92" s="1"/>
  <c r="I70" i="92"/>
  <c r="F70" i="92"/>
  <c r="I69" i="92"/>
  <c r="F69" i="92"/>
  <c r="I68" i="92"/>
  <c r="F68" i="92"/>
  <c r="I67" i="92"/>
  <c r="F67" i="92"/>
  <c r="I66" i="92"/>
  <c r="F66" i="92"/>
  <c r="I65" i="92"/>
  <c r="F65" i="92"/>
  <c r="D65" i="92" s="1"/>
  <c r="I64" i="92"/>
  <c r="F64" i="92"/>
  <c r="I63" i="92"/>
  <c r="F63" i="92"/>
  <c r="I62" i="92"/>
  <c r="F62" i="92"/>
  <c r="I61" i="92"/>
  <c r="F61" i="92"/>
  <c r="I60" i="92"/>
  <c r="F60" i="92"/>
  <c r="D60" i="92" s="1"/>
  <c r="I59" i="92"/>
  <c r="F59" i="92"/>
  <c r="D59" i="92" s="1"/>
  <c r="I58" i="92"/>
  <c r="F58" i="92"/>
  <c r="I57" i="92"/>
  <c r="F57" i="92"/>
  <c r="D57" i="92" s="1"/>
  <c r="I56" i="92"/>
  <c r="F56" i="92"/>
  <c r="I55" i="92"/>
  <c r="F55" i="92"/>
  <c r="I54" i="92"/>
  <c r="F54" i="92"/>
  <c r="I53" i="92"/>
  <c r="F53" i="92"/>
  <c r="D53" i="92" s="1"/>
  <c r="I52" i="92"/>
  <c r="F52" i="92"/>
  <c r="D52" i="92" s="1"/>
  <c r="I51" i="92"/>
  <c r="F51" i="92"/>
  <c r="D51" i="92" s="1"/>
  <c r="I50" i="92"/>
  <c r="F50" i="92"/>
  <c r="I49" i="92"/>
  <c r="F49" i="92"/>
  <c r="D49" i="92" s="1"/>
  <c r="I48" i="92"/>
  <c r="F48" i="92"/>
  <c r="D48" i="92" s="1"/>
  <c r="I47" i="92"/>
  <c r="F47" i="92"/>
  <c r="D47" i="92" s="1"/>
  <c r="I46" i="92"/>
  <c r="F46" i="92"/>
  <c r="I45" i="92"/>
  <c r="F45" i="92"/>
  <c r="I44" i="92"/>
  <c r="F44" i="92"/>
  <c r="I43" i="92"/>
  <c r="F43" i="92"/>
  <c r="I42" i="92"/>
  <c r="F42" i="92"/>
  <c r="I41" i="92"/>
  <c r="F41" i="92"/>
  <c r="D41" i="92" s="1"/>
  <c r="I40" i="92"/>
  <c r="F40" i="92"/>
  <c r="D40" i="92" s="1"/>
  <c r="I39" i="92"/>
  <c r="F39" i="92"/>
  <c r="I38" i="92"/>
  <c r="F38" i="92"/>
  <c r="I37" i="92"/>
  <c r="F37" i="92"/>
  <c r="D37" i="92" s="1"/>
  <c r="I36" i="92"/>
  <c r="F36" i="92"/>
  <c r="I35" i="92"/>
  <c r="F35" i="92"/>
  <c r="I34" i="92"/>
  <c r="F34" i="92"/>
  <c r="I33" i="92"/>
  <c r="F33" i="92"/>
  <c r="D33" i="92" s="1"/>
  <c r="I32" i="92"/>
  <c r="F32" i="92"/>
  <c r="I31" i="92"/>
  <c r="F31" i="92"/>
  <c r="I30" i="92"/>
  <c r="F30" i="92"/>
  <c r="I29" i="92"/>
  <c r="F29" i="92"/>
  <c r="D29" i="92" s="1"/>
  <c r="I28" i="92"/>
  <c r="F28" i="92"/>
  <c r="D28" i="92" s="1"/>
  <c r="I27" i="92"/>
  <c r="F27" i="92"/>
  <c r="I26" i="92"/>
  <c r="F26" i="92"/>
  <c r="I25" i="92"/>
  <c r="F25" i="92"/>
  <c r="I24" i="92"/>
  <c r="F24" i="92"/>
  <c r="D24" i="92" s="1"/>
  <c r="I23" i="92"/>
  <c r="F23" i="92"/>
  <c r="I22" i="92"/>
  <c r="F22" i="92"/>
  <c r="D22" i="92" s="1"/>
  <c r="I21" i="92"/>
  <c r="F21" i="92"/>
  <c r="I20" i="92"/>
  <c r="F20" i="92"/>
  <c r="D20" i="92" s="1"/>
  <c r="I19" i="92"/>
  <c r="F19" i="92"/>
  <c r="I18" i="92"/>
  <c r="F18" i="92"/>
  <c r="D18" i="92" s="1"/>
  <c r="I17" i="92"/>
  <c r="F17" i="92"/>
  <c r="D17" i="92" s="1"/>
  <c r="I16" i="92"/>
  <c r="F16" i="92"/>
  <c r="D16" i="92" s="1"/>
  <c r="I15" i="92"/>
  <c r="F15" i="92"/>
  <c r="D15" i="92" s="1"/>
  <c r="I14" i="92"/>
  <c r="F14" i="92"/>
  <c r="I13" i="92"/>
  <c r="F13" i="92"/>
  <c r="I12" i="92"/>
  <c r="F12" i="92"/>
  <c r="L11" i="92"/>
  <c r="L9" i="92" s="1"/>
  <c r="K11" i="92"/>
  <c r="K9" i="92" s="1"/>
  <c r="J11" i="92"/>
  <c r="J9" i="92" s="1"/>
  <c r="H11" i="92"/>
  <c r="H9" i="92" s="1"/>
  <c r="G11" i="92"/>
  <c r="G9" i="92" s="1"/>
  <c r="E11" i="92"/>
  <c r="E9" i="92" s="1"/>
  <c r="D63" i="92" l="1"/>
  <c r="D75" i="92"/>
  <c r="D64" i="92"/>
  <c r="D135" i="92"/>
  <c r="D125" i="92"/>
  <c r="D131" i="92"/>
  <c r="D32" i="92"/>
  <c r="D44" i="92"/>
  <c r="D56" i="92"/>
  <c r="D68" i="92"/>
  <c r="D102" i="92"/>
  <c r="D120" i="92"/>
  <c r="D136" i="92"/>
  <c r="D21" i="92"/>
  <c r="D99" i="92"/>
  <c r="D121" i="92"/>
  <c r="D140" i="92"/>
  <c r="D144" i="92"/>
  <c r="D101" i="92"/>
  <c r="D30" i="92"/>
  <c r="D42" i="92"/>
  <c r="D96" i="92"/>
  <c r="D100" i="92"/>
  <c r="D111" i="92"/>
  <c r="D12" i="92"/>
  <c r="D23" i="92"/>
  <c r="D27" i="92"/>
  <c r="D35" i="92"/>
  <c r="D39" i="92"/>
  <c r="D46" i="92"/>
  <c r="D58" i="92"/>
  <c r="D66" i="92"/>
  <c r="D70" i="92"/>
  <c r="D81" i="92"/>
  <c r="D85" i="92"/>
  <c r="D108" i="92"/>
  <c r="D130" i="92"/>
  <c r="D69" i="92"/>
  <c r="D34" i="92"/>
  <c r="D124" i="92"/>
  <c r="D138" i="92"/>
  <c r="D141" i="92"/>
  <c r="D13" i="92"/>
  <c r="D107" i="92"/>
  <c r="D45" i="92"/>
  <c r="D117" i="92"/>
  <c r="I11" i="92"/>
  <c r="I9" i="92" s="1"/>
  <c r="D61" i="92"/>
  <c r="D143" i="92"/>
  <c r="D25" i="92"/>
  <c r="D36" i="92"/>
  <c r="D54" i="92"/>
  <c r="D72" i="92"/>
  <c r="D76" i="92"/>
  <c r="D83" i="92"/>
  <c r="D87" i="92"/>
  <c r="D90" i="92"/>
  <c r="D93" i="92"/>
  <c r="D126" i="92"/>
  <c r="D147" i="92"/>
  <c r="D150" i="92"/>
  <c r="D26" i="92"/>
  <c r="D31" i="92"/>
  <c r="D50" i="92"/>
  <c r="D55" i="92"/>
  <c r="D74" i="92"/>
  <c r="D79" i="92"/>
  <c r="D98" i="92"/>
  <c r="D103" i="92"/>
  <c r="D122" i="92"/>
  <c r="D127" i="92"/>
  <c r="D146" i="92"/>
  <c r="D151" i="92"/>
  <c r="D95" i="92"/>
  <c r="D14" i="92"/>
  <c r="D19" i="92"/>
  <c r="D38" i="92"/>
  <c r="D43" i="92"/>
  <c r="D62" i="92"/>
  <c r="D67" i="92"/>
  <c r="D86" i="92"/>
  <c r="D91" i="92"/>
  <c r="D110" i="92"/>
  <c r="D115" i="92"/>
  <c r="D134" i="92"/>
  <c r="D139" i="92"/>
  <c r="F11" i="92"/>
  <c r="F9" i="92" l="1"/>
  <c r="D11" i="92"/>
  <c r="D9" i="92" s="1"/>
  <c r="F151" i="91" l="1"/>
  <c r="D151" i="91" s="1"/>
  <c r="F150" i="91"/>
  <c r="D150" i="91" s="1"/>
  <c r="F149" i="91"/>
  <c r="D149" i="91" s="1"/>
  <c r="F148" i="91"/>
  <c r="D148" i="91" s="1"/>
  <c r="F147" i="91"/>
  <c r="D147" i="91" s="1"/>
  <c r="F146" i="91"/>
  <c r="D146" i="91"/>
  <c r="F145" i="91"/>
  <c r="D145" i="91" s="1"/>
  <c r="F144" i="91"/>
  <c r="D144" i="91" s="1"/>
  <c r="F143" i="91"/>
  <c r="D143" i="91" s="1"/>
  <c r="F142" i="91"/>
  <c r="D142" i="91" s="1"/>
  <c r="F141" i="91"/>
  <c r="D141" i="91" s="1"/>
  <c r="F140" i="91"/>
  <c r="D140" i="91" s="1"/>
  <c r="F139" i="91"/>
  <c r="D139" i="91" s="1"/>
  <c r="F138" i="91"/>
  <c r="D138" i="91" s="1"/>
  <c r="F137" i="91"/>
  <c r="D137" i="91" s="1"/>
  <c r="F136" i="91"/>
  <c r="D136" i="91" s="1"/>
  <c r="F135" i="91"/>
  <c r="D135" i="91" s="1"/>
  <c r="F134" i="91"/>
  <c r="D134" i="91"/>
  <c r="F133" i="91"/>
  <c r="D133" i="91" s="1"/>
  <c r="F132" i="91"/>
  <c r="D132" i="91" s="1"/>
  <c r="F131" i="91"/>
  <c r="D131" i="91" s="1"/>
  <c r="F130" i="91"/>
  <c r="D130" i="91"/>
  <c r="F129" i="91"/>
  <c r="D129" i="91" s="1"/>
  <c r="F128" i="91"/>
  <c r="D128" i="91" s="1"/>
  <c r="F127" i="91"/>
  <c r="D127" i="91" s="1"/>
  <c r="F126" i="91"/>
  <c r="D126" i="91" s="1"/>
  <c r="F125" i="91"/>
  <c r="D125" i="91" s="1"/>
  <c r="F124" i="91"/>
  <c r="D124" i="91"/>
  <c r="F123" i="91"/>
  <c r="D123" i="91" s="1"/>
  <c r="F122" i="91"/>
  <c r="D122" i="91" s="1"/>
  <c r="F121" i="91"/>
  <c r="D121" i="91" s="1"/>
  <c r="F120" i="91"/>
  <c r="D120" i="91" s="1"/>
  <c r="F119" i="91"/>
  <c r="D119" i="91" s="1"/>
  <c r="F118" i="91"/>
  <c r="D118" i="91" s="1"/>
  <c r="F117" i="91"/>
  <c r="D117" i="91" s="1"/>
  <c r="F116" i="91"/>
  <c r="D116" i="91" s="1"/>
  <c r="F115" i="91"/>
  <c r="D115" i="91" s="1"/>
  <c r="F114" i="91"/>
  <c r="D114" i="91" s="1"/>
  <c r="F113" i="91"/>
  <c r="D113" i="91" s="1"/>
  <c r="F112" i="91"/>
  <c r="D112" i="91"/>
  <c r="F111" i="91"/>
  <c r="D111" i="91" s="1"/>
  <c r="F110" i="91"/>
  <c r="D110" i="91" s="1"/>
  <c r="F109" i="91"/>
  <c r="D109" i="91" s="1"/>
  <c r="F108" i="91"/>
  <c r="D108" i="91" s="1"/>
  <c r="F107" i="91"/>
  <c r="D107" i="91" s="1"/>
  <c r="F106" i="91"/>
  <c r="D106" i="91" s="1"/>
  <c r="F105" i="91"/>
  <c r="D105" i="91" s="1"/>
  <c r="F104" i="91"/>
  <c r="D104" i="91" s="1"/>
  <c r="F103" i="91"/>
  <c r="D103" i="91" s="1"/>
  <c r="F102" i="91"/>
  <c r="D102" i="91" s="1"/>
  <c r="F101" i="91"/>
  <c r="D101" i="91" s="1"/>
  <c r="F100" i="91"/>
  <c r="D100" i="91" s="1"/>
  <c r="F99" i="91"/>
  <c r="D99" i="91" s="1"/>
  <c r="F98" i="91"/>
  <c r="D98" i="91"/>
  <c r="F97" i="91"/>
  <c r="D97" i="91" s="1"/>
  <c r="F96" i="91"/>
  <c r="D96" i="91" s="1"/>
  <c r="F95" i="91"/>
  <c r="D95" i="91" s="1"/>
  <c r="F94" i="91"/>
  <c r="D94" i="91"/>
  <c r="F93" i="91"/>
  <c r="D93" i="91" s="1"/>
  <c r="F92" i="91"/>
  <c r="D92" i="91" s="1"/>
  <c r="F91" i="91"/>
  <c r="D91" i="91" s="1"/>
  <c r="F90" i="91"/>
  <c r="D90" i="91" s="1"/>
  <c r="F89" i="91"/>
  <c r="D89" i="91" s="1"/>
  <c r="F88" i="91"/>
  <c r="D88" i="91" s="1"/>
  <c r="F87" i="91"/>
  <c r="D87" i="91" s="1"/>
  <c r="F86" i="91"/>
  <c r="D86" i="91" s="1"/>
  <c r="F85" i="91"/>
  <c r="D85" i="91" s="1"/>
  <c r="F84" i="91"/>
  <c r="D84" i="91" s="1"/>
  <c r="F83" i="91"/>
  <c r="D83" i="91" s="1"/>
  <c r="F82" i="91"/>
  <c r="D82" i="91"/>
  <c r="F81" i="91"/>
  <c r="D81" i="91" s="1"/>
  <c r="F80" i="91"/>
  <c r="D80" i="91" s="1"/>
  <c r="F79" i="91"/>
  <c r="D79" i="91" s="1"/>
  <c r="F78" i="91"/>
  <c r="D78" i="91" s="1"/>
  <c r="F77" i="91"/>
  <c r="D77" i="91" s="1"/>
  <c r="F76" i="91"/>
  <c r="D76" i="91" s="1"/>
  <c r="F75" i="91"/>
  <c r="D75" i="91" s="1"/>
  <c r="F74" i="91"/>
  <c r="D74" i="91" s="1"/>
  <c r="F73" i="91"/>
  <c r="D73" i="91" s="1"/>
  <c r="F72" i="91"/>
  <c r="D72" i="91" s="1"/>
  <c r="F71" i="91"/>
  <c r="D71" i="91" s="1"/>
  <c r="F70" i="91"/>
  <c r="D70" i="91" s="1"/>
  <c r="F69" i="91"/>
  <c r="D69" i="91" s="1"/>
  <c r="F68" i="91"/>
  <c r="D68" i="91" s="1"/>
  <c r="F67" i="91"/>
  <c r="D67" i="91"/>
  <c r="F66" i="91"/>
  <c r="D66" i="91" s="1"/>
  <c r="F65" i="91"/>
  <c r="D65" i="91" s="1"/>
  <c r="F64" i="91"/>
  <c r="D64" i="91" s="1"/>
  <c r="F63" i="91"/>
  <c r="D63" i="91" s="1"/>
  <c r="F62" i="91"/>
  <c r="D62" i="91" s="1"/>
  <c r="F61" i="91"/>
  <c r="D61" i="91" s="1"/>
  <c r="F60" i="91"/>
  <c r="D60" i="91" s="1"/>
  <c r="F59" i="91"/>
  <c r="D59" i="91" s="1"/>
  <c r="F58" i="91"/>
  <c r="D58" i="91" s="1"/>
  <c r="F57" i="91"/>
  <c r="D57" i="91" s="1"/>
  <c r="F56" i="91"/>
  <c r="D56" i="91" s="1"/>
  <c r="F55" i="91"/>
  <c r="D55" i="91" s="1"/>
  <c r="F54" i="91"/>
  <c r="D54" i="91" s="1"/>
  <c r="F53" i="91"/>
  <c r="D53" i="91" s="1"/>
  <c r="F52" i="91"/>
  <c r="D52" i="91" s="1"/>
  <c r="F51" i="91"/>
  <c r="D51" i="91" s="1"/>
  <c r="F50" i="91"/>
  <c r="D50" i="91" s="1"/>
  <c r="F49" i="91"/>
  <c r="D49" i="91" s="1"/>
  <c r="F48" i="91"/>
  <c r="D48" i="91" s="1"/>
  <c r="F47" i="91"/>
  <c r="D47" i="91" s="1"/>
  <c r="F46" i="91"/>
  <c r="D46" i="91" s="1"/>
  <c r="F45" i="91"/>
  <c r="D45" i="91" s="1"/>
  <c r="F44" i="91"/>
  <c r="D44" i="91" s="1"/>
  <c r="F43" i="91"/>
  <c r="D43" i="91" s="1"/>
  <c r="F42" i="91"/>
  <c r="D42" i="91" s="1"/>
  <c r="F41" i="91"/>
  <c r="D41" i="91" s="1"/>
  <c r="F40" i="91"/>
  <c r="D40" i="91"/>
  <c r="F39" i="91"/>
  <c r="D39" i="91" s="1"/>
  <c r="F38" i="91"/>
  <c r="D38" i="91" s="1"/>
  <c r="F37" i="91"/>
  <c r="D37" i="91" s="1"/>
  <c r="F36" i="91"/>
  <c r="D36" i="91" s="1"/>
  <c r="F35" i="91"/>
  <c r="D35" i="91" s="1"/>
  <c r="F34" i="91"/>
  <c r="D34" i="91" s="1"/>
  <c r="F33" i="91"/>
  <c r="D33" i="91" s="1"/>
  <c r="F32" i="91"/>
  <c r="D32" i="91"/>
  <c r="F31" i="91"/>
  <c r="D31" i="91"/>
  <c r="F30" i="91"/>
  <c r="D30" i="91" s="1"/>
  <c r="F29" i="91"/>
  <c r="D29" i="91" s="1"/>
  <c r="F28" i="91"/>
  <c r="D28" i="91" s="1"/>
  <c r="F27" i="91"/>
  <c r="D27" i="91" s="1"/>
  <c r="F26" i="91"/>
  <c r="D26" i="91" s="1"/>
  <c r="F25" i="91"/>
  <c r="D25" i="91" s="1"/>
  <c r="F24" i="91"/>
  <c r="D24" i="91" s="1"/>
  <c r="F23" i="91"/>
  <c r="D23" i="91" s="1"/>
  <c r="F22" i="91"/>
  <c r="D22" i="91" s="1"/>
  <c r="F21" i="91"/>
  <c r="D21" i="91" s="1"/>
  <c r="F20" i="91"/>
  <c r="D20" i="91" s="1"/>
  <c r="F19" i="91"/>
  <c r="D19" i="91"/>
  <c r="F18" i="91"/>
  <c r="D18" i="91" s="1"/>
  <c r="F17" i="91"/>
  <c r="D17" i="91" s="1"/>
  <c r="F16" i="91"/>
  <c r="D16" i="91" s="1"/>
  <c r="F15" i="91"/>
  <c r="D15" i="91" s="1"/>
  <c r="F14" i="91"/>
  <c r="D14" i="91" s="1"/>
  <c r="F13" i="91"/>
  <c r="D13" i="91"/>
  <c r="F12" i="91"/>
  <c r="D12" i="91" s="1"/>
  <c r="F11" i="91"/>
  <c r="D11" i="91" s="1"/>
  <c r="F10" i="91"/>
  <c r="D10" i="91"/>
  <c r="H9" i="91"/>
  <c r="H7" i="91" s="1"/>
  <c r="G9" i="91"/>
  <c r="E9" i="91"/>
  <c r="D8" i="91"/>
  <c r="F9" i="91" l="1"/>
  <c r="F7" i="91" s="1"/>
  <c r="D9" i="91"/>
  <c r="D7" i="91" s="1"/>
  <c r="E7" i="91"/>
  <c r="G7" i="91"/>
  <c r="D151" i="90" l="1"/>
  <c r="D150" i="90"/>
  <c r="D149" i="90"/>
  <c r="D148" i="90"/>
  <c r="D147" i="90"/>
  <c r="D146" i="90"/>
  <c r="D145" i="90"/>
  <c r="D144" i="90"/>
  <c r="D143" i="90"/>
  <c r="D142" i="90"/>
  <c r="D141" i="90"/>
  <c r="D140" i="90"/>
  <c r="D139" i="90"/>
  <c r="D138" i="90"/>
  <c r="D137" i="90"/>
  <c r="D136" i="90"/>
  <c r="D135" i="90"/>
  <c r="D134" i="90"/>
  <c r="D133" i="90"/>
  <c r="D132" i="90"/>
  <c r="D131" i="90"/>
  <c r="D130" i="90"/>
  <c r="D129" i="90"/>
  <c r="D128" i="90"/>
  <c r="D127" i="90"/>
  <c r="D126" i="90"/>
  <c r="D125" i="90"/>
  <c r="D124" i="90"/>
  <c r="D123" i="90"/>
  <c r="D122" i="90"/>
  <c r="D121" i="90"/>
  <c r="D120" i="90"/>
  <c r="D119" i="90"/>
  <c r="D118" i="90"/>
  <c r="D117" i="90"/>
  <c r="D116" i="90"/>
  <c r="D115" i="90"/>
  <c r="D114" i="90"/>
  <c r="D113" i="90"/>
  <c r="D112" i="90"/>
  <c r="D111" i="90"/>
  <c r="D110" i="90"/>
  <c r="D109" i="90"/>
  <c r="D108" i="90"/>
  <c r="D107" i="90"/>
  <c r="D106" i="90"/>
  <c r="D105" i="90"/>
  <c r="D104" i="90"/>
  <c r="D103" i="90"/>
  <c r="D102" i="90"/>
  <c r="D101" i="90"/>
  <c r="D100" i="90"/>
  <c r="D99" i="90"/>
  <c r="D98" i="90"/>
  <c r="D97" i="90"/>
  <c r="D96" i="90"/>
  <c r="D95" i="90"/>
  <c r="D94" i="90"/>
  <c r="D93" i="90"/>
  <c r="D92" i="90"/>
  <c r="D91" i="90"/>
  <c r="D90" i="90"/>
  <c r="D89" i="90"/>
  <c r="D88" i="90"/>
  <c r="D87" i="90"/>
  <c r="D86" i="90"/>
  <c r="D85" i="90"/>
  <c r="D84" i="90"/>
  <c r="D83" i="90"/>
  <c r="D82" i="90"/>
  <c r="D81" i="90"/>
  <c r="D80" i="90"/>
  <c r="D79" i="90"/>
  <c r="D78" i="90"/>
  <c r="D77" i="90"/>
  <c r="D76" i="90"/>
  <c r="D75" i="90"/>
  <c r="D74" i="90"/>
  <c r="D73" i="90"/>
  <c r="D72" i="90"/>
  <c r="D71" i="90"/>
  <c r="D70" i="90"/>
  <c r="D69" i="90"/>
  <c r="D68" i="90"/>
  <c r="D67" i="90"/>
  <c r="D66" i="90"/>
  <c r="D65" i="90"/>
  <c r="D64" i="90"/>
  <c r="D63" i="90"/>
  <c r="D62" i="90"/>
  <c r="D61" i="90"/>
  <c r="D60" i="90"/>
  <c r="D59" i="90"/>
  <c r="D58" i="90"/>
  <c r="D57" i="90"/>
  <c r="D56" i="90"/>
  <c r="D55" i="90"/>
  <c r="D54" i="90"/>
  <c r="D53" i="90"/>
  <c r="D52" i="90"/>
  <c r="D51" i="90"/>
  <c r="D50" i="90"/>
  <c r="D49" i="90"/>
  <c r="D48" i="90"/>
  <c r="D47" i="90"/>
  <c r="D46" i="90"/>
  <c r="D45" i="90"/>
  <c r="D44" i="90"/>
  <c r="D43" i="90"/>
  <c r="D42" i="90"/>
  <c r="D41" i="90"/>
  <c r="D40" i="90"/>
  <c r="D39" i="90"/>
  <c r="D38" i="90"/>
  <c r="D37" i="90"/>
  <c r="D36" i="90"/>
  <c r="D35" i="90"/>
  <c r="D34" i="90"/>
  <c r="D33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H9" i="90"/>
  <c r="H7" i="90" s="1"/>
  <c r="G9" i="90"/>
  <c r="G7" i="90" s="1"/>
  <c r="F9" i="90"/>
  <c r="F7" i="90" s="1"/>
  <c r="E9" i="90"/>
  <c r="E7" i="90" s="1"/>
  <c r="D8" i="90"/>
  <c r="D7" i="90" l="1"/>
  <c r="D9" i="90"/>
  <c r="K152" i="89" l="1"/>
  <c r="D152" i="89" s="1"/>
  <c r="K151" i="89"/>
  <c r="D151" i="89" s="1"/>
  <c r="K150" i="89"/>
  <c r="D150" i="89" s="1"/>
  <c r="K149" i="89"/>
  <c r="D149" i="89" s="1"/>
  <c r="K148" i="89"/>
  <c r="D148" i="89" s="1"/>
  <c r="K147" i="89"/>
  <c r="D147" i="89" s="1"/>
  <c r="K146" i="89"/>
  <c r="D146" i="89" s="1"/>
  <c r="K145" i="89"/>
  <c r="D145" i="89" s="1"/>
  <c r="K144" i="89"/>
  <c r="D144" i="89" s="1"/>
  <c r="K143" i="89"/>
  <c r="D143" i="89" s="1"/>
  <c r="K142" i="89"/>
  <c r="D142" i="89" s="1"/>
  <c r="K141" i="89"/>
  <c r="D141" i="89" s="1"/>
  <c r="K140" i="89"/>
  <c r="D140" i="89" s="1"/>
  <c r="K139" i="89"/>
  <c r="D139" i="89" s="1"/>
  <c r="K138" i="89"/>
  <c r="D138" i="89"/>
  <c r="M137" i="89"/>
  <c r="K137" i="89" s="1"/>
  <c r="D137" i="89" s="1"/>
  <c r="K136" i="89"/>
  <c r="D136" i="89" s="1"/>
  <c r="K135" i="89"/>
  <c r="D135" i="89" s="1"/>
  <c r="K134" i="89"/>
  <c r="D134" i="89" s="1"/>
  <c r="K133" i="89"/>
  <c r="D133" i="89" s="1"/>
  <c r="K132" i="89"/>
  <c r="D132" i="89" s="1"/>
  <c r="K131" i="89"/>
  <c r="D131" i="89"/>
  <c r="K130" i="89"/>
  <c r="D130" i="89" s="1"/>
  <c r="K129" i="89"/>
  <c r="D129" i="89" s="1"/>
  <c r="K128" i="89"/>
  <c r="D128" i="89"/>
  <c r="K127" i="89"/>
  <c r="D127" i="89" s="1"/>
  <c r="K126" i="89"/>
  <c r="D126" i="89" s="1"/>
  <c r="K125" i="89"/>
  <c r="D125" i="89" s="1"/>
  <c r="K124" i="89"/>
  <c r="D124" i="89" s="1"/>
  <c r="K123" i="89"/>
  <c r="D123" i="89" s="1"/>
  <c r="K122" i="89"/>
  <c r="D122" i="89" s="1"/>
  <c r="K121" i="89"/>
  <c r="D121" i="89"/>
  <c r="K120" i="89"/>
  <c r="D120" i="89" s="1"/>
  <c r="K119" i="89"/>
  <c r="D119" i="89" s="1"/>
  <c r="K118" i="89"/>
  <c r="D118" i="89" s="1"/>
  <c r="K117" i="89"/>
  <c r="D117" i="89" s="1"/>
  <c r="K116" i="89"/>
  <c r="D116" i="89"/>
  <c r="K115" i="89"/>
  <c r="D115" i="89" s="1"/>
  <c r="K114" i="89"/>
  <c r="D114" i="89" s="1"/>
  <c r="K113" i="89"/>
  <c r="D113" i="89" s="1"/>
  <c r="K112" i="89"/>
  <c r="D112" i="89" s="1"/>
  <c r="K111" i="89"/>
  <c r="D111" i="89" s="1"/>
  <c r="K110" i="89"/>
  <c r="D110" i="89" s="1"/>
  <c r="K109" i="89"/>
  <c r="D109" i="89" s="1"/>
  <c r="K108" i="89"/>
  <c r="D108" i="89" s="1"/>
  <c r="K107" i="89"/>
  <c r="D107" i="89" s="1"/>
  <c r="K106" i="89"/>
  <c r="D106" i="89" s="1"/>
  <c r="K105" i="89"/>
  <c r="D105" i="89" s="1"/>
  <c r="K104" i="89"/>
  <c r="D104" i="89" s="1"/>
  <c r="K103" i="89"/>
  <c r="D103" i="89" s="1"/>
  <c r="K102" i="89"/>
  <c r="D102" i="89" s="1"/>
  <c r="K101" i="89"/>
  <c r="D101" i="89" s="1"/>
  <c r="K100" i="89"/>
  <c r="D100" i="89" s="1"/>
  <c r="K99" i="89"/>
  <c r="D99" i="89" s="1"/>
  <c r="K98" i="89"/>
  <c r="D98" i="89" s="1"/>
  <c r="K97" i="89"/>
  <c r="D97" i="89" s="1"/>
  <c r="K96" i="89"/>
  <c r="D96" i="89" s="1"/>
  <c r="K95" i="89"/>
  <c r="D95" i="89" s="1"/>
  <c r="K94" i="89"/>
  <c r="D94" i="89" s="1"/>
  <c r="K93" i="89"/>
  <c r="D93" i="89" s="1"/>
  <c r="K92" i="89"/>
  <c r="D92" i="89" s="1"/>
  <c r="K91" i="89"/>
  <c r="D91" i="89" s="1"/>
  <c r="K90" i="89"/>
  <c r="D90" i="89" s="1"/>
  <c r="K89" i="89"/>
  <c r="D89" i="89"/>
  <c r="K88" i="89"/>
  <c r="D88" i="89" s="1"/>
  <c r="K87" i="89"/>
  <c r="D87" i="89"/>
  <c r="K86" i="89"/>
  <c r="D86" i="89" s="1"/>
  <c r="K85" i="89"/>
  <c r="D85" i="89" s="1"/>
  <c r="K84" i="89"/>
  <c r="D84" i="89" s="1"/>
  <c r="K83" i="89"/>
  <c r="D83" i="89" s="1"/>
  <c r="K82" i="89"/>
  <c r="D82" i="89" s="1"/>
  <c r="K81" i="89"/>
  <c r="D81" i="89" s="1"/>
  <c r="K80" i="89"/>
  <c r="D80" i="89" s="1"/>
  <c r="K79" i="89"/>
  <c r="D79" i="89" s="1"/>
  <c r="K78" i="89"/>
  <c r="D78" i="89" s="1"/>
  <c r="K77" i="89"/>
  <c r="D77" i="89" s="1"/>
  <c r="K76" i="89"/>
  <c r="D76" i="89" s="1"/>
  <c r="K75" i="89"/>
  <c r="D75" i="89" s="1"/>
  <c r="K74" i="89"/>
  <c r="D74" i="89" s="1"/>
  <c r="K73" i="89"/>
  <c r="D73" i="89" s="1"/>
  <c r="K72" i="89"/>
  <c r="D72" i="89" s="1"/>
  <c r="K71" i="89"/>
  <c r="D71" i="89" s="1"/>
  <c r="K70" i="89"/>
  <c r="D70" i="89" s="1"/>
  <c r="K69" i="89"/>
  <c r="D69" i="89" s="1"/>
  <c r="K68" i="89"/>
  <c r="D68" i="89" s="1"/>
  <c r="K67" i="89"/>
  <c r="D67" i="89" s="1"/>
  <c r="K66" i="89"/>
  <c r="D66" i="89" s="1"/>
  <c r="K65" i="89"/>
  <c r="D65" i="89" s="1"/>
  <c r="K64" i="89"/>
  <c r="D64" i="89" s="1"/>
  <c r="K63" i="89"/>
  <c r="D63" i="89"/>
  <c r="K62" i="89"/>
  <c r="D62" i="89" s="1"/>
  <c r="K61" i="89"/>
  <c r="D61" i="89" s="1"/>
  <c r="K60" i="89"/>
  <c r="D60" i="89" s="1"/>
  <c r="K59" i="89"/>
  <c r="D59" i="89" s="1"/>
  <c r="K58" i="89"/>
  <c r="D58" i="89" s="1"/>
  <c r="K57" i="89"/>
  <c r="D57" i="89" s="1"/>
  <c r="K56" i="89"/>
  <c r="D56" i="89"/>
  <c r="K55" i="89"/>
  <c r="D55" i="89" s="1"/>
  <c r="K54" i="89"/>
  <c r="D54" i="89" s="1"/>
  <c r="K53" i="89"/>
  <c r="D53" i="89"/>
  <c r="K52" i="89"/>
  <c r="D52" i="89"/>
  <c r="K51" i="89"/>
  <c r="D51" i="89"/>
  <c r="K50" i="89"/>
  <c r="D50" i="89" s="1"/>
  <c r="K49" i="89"/>
  <c r="D49" i="89" s="1"/>
  <c r="K48" i="89"/>
  <c r="D48" i="89" s="1"/>
  <c r="K47" i="89"/>
  <c r="D47" i="89" s="1"/>
  <c r="K46" i="89"/>
  <c r="D46" i="89" s="1"/>
  <c r="K45" i="89"/>
  <c r="D45" i="89" s="1"/>
  <c r="K44" i="89"/>
  <c r="D44" i="89"/>
  <c r="K43" i="89"/>
  <c r="D43" i="89" s="1"/>
  <c r="K42" i="89"/>
  <c r="D42" i="89" s="1"/>
  <c r="K41" i="89"/>
  <c r="D41" i="89"/>
  <c r="K40" i="89"/>
  <c r="D40" i="89" s="1"/>
  <c r="K39" i="89"/>
  <c r="D39" i="89" s="1"/>
  <c r="K38" i="89"/>
  <c r="D38" i="89"/>
  <c r="K37" i="89"/>
  <c r="D37" i="89" s="1"/>
  <c r="K36" i="89"/>
  <c r="D36" i="89" s="1"/>
  <c r="K35" i="89"/>
  <c r="D35" i="89" s="1"/>
  <c r="K34" i="89"/>
  <c r="D34" i="89" s="1"/>
  <c r="K33" i="89"/>
  <c r="D33" i="89" s="1"/>
  <c r="K32" i="89"/>
  <c r="D32" i="89" s="1"/>
  <c r="K31" i="89"/>
  <c r="D31" i="89"/>
  <c r="K30" i="89"/>
  <c r="D30" i="89" s="1"/>
  <c r="K29" i="89"/>
  <c r="D29" i="89" s="1"/>
  <c r="K28" i="89"/>
  <c r="D28" i="89" s="1"/>
  <c r="K27" i="89"/>
  <c r="D27" i="89" s="1"/>
  <c r="K26" i="89"/>
  <c r="D26" i="89" s="1"/>
  <c r="K25" i="89"/>
  <c r="D25" i="89" s="1"/>
  <c r="K24" i="89"/>
  <c r="D24" i="89" s="1"/>
  <c r="K23" i="89"/>
  <c r="D23" i="89" s="1"/>
  <c r="K22" i="89"/>
  <c r="D22" i="89" s="1"/>
  <c r="K21" i="89"/>
  <c r="D21" i="89" s="1"/>
  <c r="K20" i="89"/>
  <c r="D20" i="89" s="1"/>
  <c r="K19" i="89"/>
  <c r="D19" i="89" s="1"/>
  <c r="K18" i="89"/>
  <c r="D18" i="89" s="1"/>
  <c r="K17" i="89"/>
  <c r="D17" i="89" s="1"/>
  <c r="K16" i="89"/>
  <c r="D16" i="89" s="1"/>
  <c r="K15" i="89"/>
  <c r="D15" i="89" s="1"/>
  <c r="K14" i="89"/>
  <c r="D14" i="89" s="1"/>
  <c r="K13" i="89"/>
  <c r="D13" i="89" s="1"/>
  <c r="K12" i="89"/>
  <c r="D12" i="89" s="1"/>
  <c r="K11" i="89"/>
  <c r="D11" i="89"/>
  <c r="N10" i="89"/>
  <c r="N8" i="89" s="1"/>
  <c r="M10" i="89"/>
  <c r="M8" i="89" s="1"/>
  <c r="L10" i="89"/>
  <c r="L8" i="89" s="1"/>
  <c r="J10" i="89"/>
  <c r="J8" i="89" s="1"/>
  <c r="I10" i="89"/>
  <c r="I8" i="89" s="1"/>
  <c r="H10" i="89"/>
  <c r="H8" i="89" s="1"/>
  <c r="G10" i="89"/>
  <c r="G8" i="89" s="1"/>
  <c r="F10" i="89"/>
  <c r="F8" i="89" s="1"/>
  <c r="E10" i="89"/>
  <c r="E8" i="89" s="1"/>
  <c r="K9" i="89"/>
  <c r="K10" i="89" l="1"/>
  <c r="K8" i="89" s="1"/>
  <c r="D9" i="89"/>
  <c r="D8" i="89" l="1"/>
  <c r="D10" i="89"/>
  <c r="O9" i="88" l="1"/>
  <c r="K152" i="88"/>
  <c r="H152" i="88"/>
  <c r="E152" i="88"/>
  <c r="K151" i="88"/>
  <c r="H151" i="88"/>
  <c r="E151" i="88"/>
  <c r="K150" i="88"/>
  <c r="H150" i="88"/>
  <c r="E150" i="88"/>
  <c r="K149" i="88"/>
  <c r="H149" i="88"/>
  <c r="E149" i="88"/>
  <c r="K148" i="88"/>
  <c r="H148" i="88"/>
  <c r="E148" i="88"/>
  <c r="K147" i="88"/>
  <c r="H147" i="88"/>
  <c r="E147" i="88"/>
  <c r="K146" i="88"/>
  <c r="H146" i="88"/>
  <c r="E146" i="88"/>
  <c r="K145" i="88"/>
  <c r="H145" i="88"/>
  <c r="E145" i="88"/>
  <c r="K144" i="88"/>
  <c r="H144" i="88"/>
  <c r="E144" i="88"/>
  <c r="K143" i="88"/>
  <c r="H143" i="88"/>
  <c r="E143" i="88"/>
  <c r="K142" i="88"/>
  <c r="H142" i="88"/>
  <c r="E142" i="88"/>
  <c r="K141" i="88"/>
  <c r="H141" i="88"/>
  <c r="E141" i="88"/>
  <c r="K140" i="88"/>
  <c r="H140" i="88"/>
  <c r="E140" i="88"/>
  <c r="K139" i="88"/>
  <c r="H139" i="88"/>
  <c r="E139" i="88"/>
  <c r="K138" i="88"/>
  <c r="H138" i="88"/>
  <c r="E138" i="88"/>
  <c r="K137" i="88"/>
  <c r="H137" i="88"/>
  <c r="E137" i="88"/>
  <c r="K136" i="88"/>
  <c r="H136" i="88"/>
  <c r="E136" i="88"/>
  <c r="K135" i="88"/>
  <c r="H135" i="88"/>
  <c r="E135" i="88"/>
  <c r="K134" i="88"/>
  <c r="H134" i="88"/>
  <c r="E134" i="88"/>
  <c r="K133" i="88"/>
  <c r="H133" i="88"/>
  <c r="E133" i="88"/>
  <c r="K132" i="88"/>
  <c r="H132" i="88"/>
  <c r="E132" i="88"/>
  <c r="K131" i="88"/>
  <c r="H131" i="88"/>
  <c r="E131" i="88"/>
  <c r="K130" i="88"/>
  <c r="H130" i="88"/>
  <c r="E130" i="88"/>
  <c r="K129" i="88"/>
  <c r="H129" i="88"/>
  <c r="E129" i="88"/>
  <c r="K128" i="88"/>
  <c r="H128" i="88"/>
  <c r="E128" i="88"/>
  <c r="K127" i="88"/>
  <c r="H127" i="88"/>
  <c r="E127" i="88"/>
  <c r="K126" i="88"/>
  <c r="H126" i="88"/>
  <c r="E126" i="88"/>
  <c r="K125" i="88"/>
  <c r="H125" i="88"/>
  <c r="E125" i="88"/>
  <c r="K124" i="88"/>
  <c r="H124" i="88"/>
  <c r="E124" i="88"/>
  <c r="K123" i="88"/>
  <c r="H123" i="88"/>
  <c r="E123" i="88"/>
  <c r="K122" i="88"/>
  <c r="H122" i="88"/>
  <c r="E122" i="88"/>
  <c r="K121" i="88"/>
  <c r="H121" i="88"/>
  <c r="E121" i="88"/>
  <c r="K120" i="88"/>
  <c r="H120" i="88"/>
  <c r="E120" i="88"/>
  <c r="K119" i="88"/>
  <c r="H119" i="88"/>
  <c r="E119" i="88"/>
  <c r="K118" i="88"/>
  <c r="H118" i="88"/>
  <c r="E118" i="88"/>
  <c r="K117" i="88"/>
  <c r="H117" i="88"/>
  <c r="E117" i="88"/>
  <c r="K116" i="88"/>
  <c r="H116" i="88"/>
  <c r="E116" i="88"/>
  <c r="K115" i="88"/>
  <c r="H115" i="88"/>
  <c r="E115" i="88"/>
  <c r="K114" i="88"/>
  <c r="H114" i="88"/>
  <c r="E114" i="88"/>
  <c r="K113" i="88"/>
  <c r="H113" i="88"/>
  <c r="E113" i="88"/>
  <c r="K112" i="88"/>
  <c r="H112" i="88"/>
  <c r="E112" i="88"/>
  <c r="K111" i="88"/>
  <c r="H111" i="88"/>
  <c r="E111" i="88"/>
  <c r="K110" i="88"/>
  <c r="H110" i="88"/>
  <c r="E110" i="88"/>
  <c r="K109" i="88"/>
  <c r="H109" i="88"/>
  <c r="E109" i="88"/>
  <c r="K108" i="88"/>
  <c r="H108" i="88"/>
  <c r="E108" i="88"/>
  <c r="K107" i="88"/>
  <c r="H107" i="88"/>
  <c r="E107" i="88"/>
  <c r="K106" i="88"/>
  <c r="H106" i="88"/>
  <c r="E106" i="88"/>
  <c r="K105" i="88"/>
  <c r="H105" i="88"/>
  <c r="E105" i="88"/>
  <c r="K104" i="88"/>
  <c r="H104" i="88"/>
  <c r="E104" i="88"/>
  <c r="K103" i="88"/>
  <c r="H103" i="88"/>
  <c r="E103" i="88"/>
  <c r="K102" i="88"/>
  <c r="H102" i="88"/>
  <c r="E102" i="88"/>
  <c r="K101" i="88"/>
  <c r="H101" i="88"/>
  <c r="E101" i="88"/>
  <c r="K100" i="88"/>
  <c r="H100" i="88"/>
  <c r="E100" i="88"/>
  <c r="K99" i="88"/>
  <c r="H99" i="88"/>
  <c r="E99" i="88"/>
  <c r="K98" i="88"/>
  <c r="H98" i="88"/>
  <c r="E98" i="88"/>
  <c r="K97" i="88"/>
  <c r="H97" i="88"/>
  <c r="E97" i="88"/>
  <c r="K96" i="88"/>
  <c r="H96" i="88"/>
  <c r="E96" i="88"/>
  <c r="K95" i="88"/>
  <c r="D95" i="88" s="1"/>
  <c r="K94" i="88"/>
  <c r="H94" i="88"/>
  <c r="E94" i="88"/>
  <c r="K93" i="88"/>
  <c r="H93" i="88"/>
  <c r="E93" i="88"/>
  <c r="K92" i="88"/>
  <c r="H92" i="88"/>
  <c r="E92" i="88"/>
  <c r="K91" i="88"/>
  <c r="H91" i="88"/>
  <c r="E91" i="88"/>
  <c r="K90" i="88"/>
  <c r="H90" i="88"/>
  <c r="E90" i="88"/>
  <c r="K89" i="88"/>
  <c r="H89" i="88"/>
  <c r="E89" i="88"/>
  <c r="K88" i="88"/>
  <c r="H88" i="88"/>
  <c r="E88" i="88"/>
  <c r="K87" i="88"/>
  <c r="H87" i="88"/>
  <c r="E87" i="88"/>
  <c r="K86" i="88"/>
  <c r="H86" i="88"/>
  <c r="E86" i="88"/>
  <c r="K85" i="88"/>
  <c r="H85" i="88"/>
  <c r="E85" i="88"/>
  <c r="K84" i="88"/>
  <c r="H84" i="88"/>
  <c r="E84" i="88"/>
  <c r="K83" i="88"/>
  <c r="H83" i="88"/>
  <c r="E83" i="88"/>
  <c r="K82" i="88"/>
  <c r="H82" i="88"/>
  <c r="E82" i="88"/>
  <c r="K81" i="88"/>
  <c r="H81" i="88"/>
  <c r="E81" i="88"/>
  <c r="K80" i="88"/>
  <c r="H80" i="88"/>
  <c r="E80" i="88"/>
  <c r="K79" i="88"/>
  <c r="H79" i="88"/>
  <c r="E79" i="88"/>
  <c r="K78" i="88"/>
  <c r="H78" i="88"/>
  <c r="E78" i="88"/>
  <c r="K77" i="88"/>
  <c r="H77" i="88"/>
  <c r="E77" i="88"/>
  <c r="K76" i="88"/>
  <c r="H76" i="88"/>
  <c r="E76" i="88"/>
  <c r="K75" i="88"/>
  <c r="H75" i="88"/>
  <c r="E75" i="88"/>
  <c r="K74" i="88"/>
  <c r="H74" i="88"/>
  <c r="E74" i="88"/>
  <c r="K73" i="88"/>
  <c r="H73" i="88"/>
  <c r="E73" i="88"/>
  <c r="K72" i="88"/>
  <c r="H72" i="88"/>
  <c r="E72" i="88"/>
  <c r="K71" i="88"/>
  <c r="H71" i="88"/>
  <c r="E71" i="88"/>
  <c r="K70" i="88"/>
  <c r="H70" i="88"/>
  <c r="E70" i="88"/>
  <c r="K69" i="88"/>
  <c r="H69" i="88"/>
  <c r="E69" i="88"/>
  <c r="K68" i="88"/>
  <c r="H68" i="88"/>
  <c r="E68" i="88"/>
  <c r="K67" i="88"/>
  <c r="H67" i="88"/>
  <c r="E67" i="88"/>
  <c r="K66" i="88"/>
  <c r="H66" i="88"/>
  <c r="E66" i="88"/>
  <c r="K65" i="88"/>
  <c r="H65" i="88"/>
  <c r="E65" i="88"/>
  <c r="K64" i="88"/>
  <c r="H64" i="88"/>
  <c r="E64" i="88"/>
  <c r="K63" i="88"/>
  <c r="H63" i="88"/>
  <c r="E63" i="88"/>
  <c r="K62" i="88"/>
  <c r="H62" i="88"/>
  <c r="E62" i="88"/>
  <c r="K61" i="88"/>
  <c r="H61" i="88"/>
  <c r="E61" i="88"/>
  <c r="K60" i="88"/>
  <c r="H60" i="88"/>
  <c r="E60" i="88"/>
  <c r="K59" i="88"/>
  <c r="H59" i="88"/>
  <c r="E59" i="88"/>
  <c r="K58" i="88"/>
  <c r="H58" i="88"/>
  <c r="E58" i="88"/>
  <c r="K57" i="88"/>
  <c r="H57" i="88"/>
  <c r="E57" i="88"/>
  <c r="K56" i="88"/>
  <c r="H56" i="88"/>
  <c r="E56" i="88"/>
  <c r="K55" i="88"/>
  <c r="H55" i="88"/>
  <c r="E55" i="88"/>
  <c r="K54" i="88"/>
  <c r="H54" i="88"/>
  <c r="E54" i="88"/>
  <c r="K53" i="88"/>
  <c r="H53" i="88"/>
  <c r="E53" i="88"/>
  <c r="K52" i="88"/>
  <c r="H52" i="88"/>
  <c r="E52" i="88"/>
  <c r="K51" i="88"/>
  <c r="H51" i="88"/>
  <c r="E51" i="88"/>
  <c r="K50" i="88"/>
  <c r="H50" i="88"/>
  <c r="E50" i="88"/>
  <c r="K49" i="88"/>
  <c r="H49" i="88"/>
  <c r="E49" i="88"/>
  <c r="K48" i="88"/>
  <c r="H48" i="88"/>
  <c r="E48" i="88"/>
  <c r="K47" i="88"/>
  <c r="H47" i="88"/>
  <c r="E47" i="88"/>
  <c r="K46" i="88"/>
  <c r="H46" i="88"/>
  <c r="E46" i="88"/>
  <c r="K45" i="88"/>
  <c r="H45" i="88"/>
  <c r="E45" i="88"/>
  <c r="K44" i="88"/>
  <c r="H44" i="88"/>
  <c r="E44" i="88"/>
  <c r="K43" i="88"/>
  <c r="H43" i="88"/>
  <c r="E43" i="88"/>
  <c r="K42" i="88"/>
  <c r="H42" i="88"/>
  <c r="E42" i="88"/>
  <c r="K41" i="88"/>
  <c r="H41" i="88"/>
  <c r="E41" i="88"/>
  <c r="K40" i="88"/>
  <c r="H40" i="88"/>
  <c r="E40" i="88"/>
  <c r="K39" i="88"/>
  <c r="H39" i="88"/>
  <c r="E39" i="88"/>
  <c r="K38" i="88"/>
  <c r="H38" i="88"/>
  <c r="E38" i="88"/>
  <c r="K37" i="88"/>
  <c r="H37" i="88"/>
  <c r="E37" i="88"/>
  <c r="K36" i="88"/>
  <c r="H36" i="88"/>
  <c r="E36" i="88"/>
  <c r="K35" i="88"/>
  <c r="H35" i="88"/>
  <c r="E35" i="88"/>
  <c r="K34" i="88"/>
  <c r="H34" i="88"/>
  <c r="E34" i="88"/>
  <c r="D34" i="88" s="1"/>
  <c r="K33" i="88"/>
  <c r="H33" i="88"/>
  <c r="E33" i="88"/>
  <c r="K32" i="88"/>
  <c r="H32" i="88"/>
  <c r="E32" i="88"/>
  <c r="K31" i="88"/>
  <c r="H31" i="88"/>
  <c r="E31" i="88"/>
  <c r="K30" i="88"/>
  <c r="H30" i="88"/>
  <c r="E30" i="88"/>
  <c r="K29" i="88"/>
  <c r="H29" i="88"/>
  <c r="E29" i="88"/>
  <c r="K28" i="88"/>
  <c r="H28" i="88"/>
  <c r="E28" i="88"/>
  <c r="K27" i="88"/>
  <c r="H27" i="88"/>
  <c r="E27" i="88"/>
  <c r="K26" i="88"/>
  <c r="H26" i="88"/>
  <c r="E26" i="88"/>
  <c r="K25" i="88"/>
  <c r="H25" i="88"/>
  <c r="E25" i="88"/>
  <c r="K24" i="88"/>
  <c r="H24" i="88"/>
  <c r="E24" i="88"/>
  <c r="K23" i="88"/>
  <c r="H23" i="88"/>
  <c r="E23" i="88"/>
  <c r="K22" i="88"/>
  <c r="H22" i="88"/>
  <c r="E22" i="88"/>
  <c r="K21" i="88"/>
  <c r="H21" i="88"/>
  <c r="E21" i="88"/>
  <c r="K20" i="88"/>
  <c r="H20" i="88"/>
  <c r="E20" i="88"/>
  <c r="K19" i="88"/>
  <c r="H19" i="88"/>
  <c r="E19" i="88"/>
  <c r="K18" i="88"/>
  <c r="H18" i="88"/>
  <c r="E18" i="88"/>
  <c r="K17" i="88"/>
  <c r="H17" i="88"/>
  <c r="E17" i="88"/>
  <c r="K16" i="88"/>
  <c r="H16" i="88"/>
  <c r="E16" i="88"/>
  <c r="K15" i="88"/>
  <c r="H15" i="88"/>
  <c r="E15" i="88"/>
  <c r="K14" i="88"/>
  <c r="H14" i="88"/>
  <c r="E14" i="88"/>
  <c r="K13" i="88"/>
  <c r="H13" i="88"/>
  <c r="E13" i="88"/>
  <c r="K12" i="88"/>
  <c r="H12" i="88"/>
  <c r="E12" i="88"/>
  <c r="K11" i="88"/>
  <c r="H11" i="88"/>
  <c r="E11" i="88"/>
  <c r="S10" i="88"/>
  <c r="S8" i="88" s="1"/>
  <c r="R10" i="88"/>
  <c r="R8" i="88" s="1"/>
  <c r="Q10" i="88"/>
  <c r="Q8" i="88" s="1"/>
  <c r="P10" i="88"/>
  <c r="P8" i="88" s="1"/>
  <c r="O10" i="88"/>
  <c r="O8" i="88" s="1"/>
  <c r="N10" i="88"/>
  <c r="N8" i="88" s="1"/>
  <c r="M10" i="88"/>
  <c r="M8" i="88" s="1"/>
  <c r="L10" i="88"/>
  <c r="L8" i="88" s="1"/>
  <c r="J10" i="88"/>
  <c r="J8" i="88" s="1"/>
  <c r="I10" i="88"/>
  <c r="I8" i="88" s="1"/>
  <c r="G10" i="88"/>
  <c r="G8" i="88" s="1"/>
  <c r="F10" i="88"/>
  <c r="F8" i="88" s="1"/>
  <c r="K9" i="88"/>
  <c r="E9" i="88"/>
  <c r="D52" i="88" l="1"/>
  <c r="D46" i="88"/>
  <c r="D70" i="88"/>
  <c r="D38" i="88"/>
  <c r="D16" i="88"/>
  <c r="D37" i="88"/>
  <c r="D88" i="88"/>
  <c r="D43" i="88"/>
  <c r="D76" i="88"/>
  <c r="D55" i="88"/>
  <c r="D61" i="88"/>
  <c r="D92" i="88"/>
  <c r="D40" i="88"/>
  <c r="D85" i="88"/>
  <c r="D19" i="88"/>
  <c r="D56" i="88"/>
  <c r="D64" i="88"/>
  <c r="D73" i="88"/>
  <c r="D22" i="88"/>
  <c r="D25" i="88"/>
  <c r="D91" i="88"/>
  <c r="D58" i="88"/>
  <c r="D13" i="88"/>
  <c r="D36" i="88"/>
  <c r="D47" i="88"/>
  <c r="D63" i="88"/>
  <c r="D67" i="88"/>
  <c r="D90" i="88"/>
  <c r="D20" i="88"/>
  <c r="D28" i="88"/>
  <c r="D74" i="88"/>
  <c r="D82" i="88"/>
  <c r="D79" i="88"/>
  <c r="D94" i="88"/>
  <c r="D18" i="88"/>
  <c r="D29" i="88"/>
  <c r="D45" i="88"/>
  <c r="D49" i="88"/>
  <c r="D72" i="88"/>
  <c r="D83" i="88"/>
  <c r="D11" i="88"/>
  <c r="D27" i="88"/>
  <c r="D31" i="88"/>
  <c r="D54" i="88"/>
  <c r="D65" i="88"/>
  <c r="D81" i="88"/>
  <c r="H8" i="88"/>
  <c r="H10" i="88"/>
  <c r="D14" i="88"/>
  <c r="D32" i="88"/>
  <c r="D50" i="88"/>
  <c r="D68" i="88"/>
  <c r="D86" i="88"/>
  <c r="D98" i="88"/>
  <c r="D102" i="88"/>
  <c r="D106" i="88"/>
  <c r="D110" i="88"/>
  <c r="D114" i="88"/>
  <c r="D118" i="88"/>
  <c r="D122" i="88"/>
  <c r="D126" i="88"/>
  <c r="D130" i="88"/>
  <c r="D134" i="88"/>
  <c r="D138" i="88"/>
  <c r="D142" i="88"/>
  <c r="D146" i="88"/>
  <c r="D150" i="88"/>
  <c r="D15" i="88"/>
  <c r="D33" i="88"/>
  <c r="D51" i="88"/>
  <c r="D69" i="88"/>
  <c r="D87" i="88"/>
  <c r="K10" i="88"/>
  <c r="D12" i="88"/>
  <c r="D30" i="88"/>
  <c r="D48" i="88"/>
  <c r="D66" i="88"/>
  <c r="D84" i="88"/>
  <c r="D99" i="88"/>
  <c r="D103" i="88"/>
  <c r="D107" i="88"/>
  <c r="D111" i="88"/>
  <c r="D115" i="88"/>
  <c r="D119" i="88"/>
  <c r="D123" i="88"/>
  <c r="D127" i="88"/>
  <c r="D131" i="88"/>
  <c r="D135" i="88"/>
  <c r="D139" i="88"/>
  <c r="D143" i="88"/>
  <c r="D147" i="88"/>
  <c r="D151" i="88"/>
  <c r="D44" i="88"/>
  <c r="D62" i="88"/>
  <c r="D80" i="88"/>
  <c r="D26" i="88"/>
  <c r="D23" i="88"/>
  <c r="D41" i="88"/>
  <c r="D59" i="88"/>
  <c r="D77" i="88"/>
  <c r="D96" i="88"/>
  <c r="D100" i="88"/>
  <c r="D104" i="88"/>
  <c r="D108" i="88"/>
  <c r="D112" i="88"/>
  <c r="D116" i="88"/>
  <c r="D120" i="88"/>
  <c r="D124" i="88"/>
  <c r="D128" i="88"/>
  <c r="D132" i="88"/>
  <c r="D136" i="88"/>
  <c r="D140" i="88"/>
  <c r="D144" i="88"/>
  <c r="D148" i="88"/>
  <c r="D152" i="88"/>
  <c r="D24" i="88"/>
  <c r="D42" i="88"/>
  <c r="D60" i="88"/>
  <c r="D78" i="88"/>
  <c r="D21" i="88"/>
  <c r="D39" i="88"/>
  <c r="D57" i="88"/>
  <c r="D75" i="88"/>
  <c r="D93" i="88"/>
  <c r="D97" i="88"/>
  <c r="D101" i="88"/>
  <c r="D105" i="88"/>
  <c r="D109" i="88"/>
  <c r="D113" i="88"/>
  <c r="D117" i="88"/>
  <c r="D121" i="88"/>
  <c r="D125" i="88"/>
  <c r="D129" i="88"/>
  <c r="D133" i="88"/>
  <c r="D137" i="88"/>
  <c r="D141" i="88"/>
  <c r="D145" i="88"/>
  <c r="D149" i="88"/>
  <c r="D9" i="88"/>
  <c r="E10" i="88"/>
  <c r="D17" i="88"/>
  <c r="D35" i="88"/>
  <c r="D53" i="88"/>
  <c r="D71" i="88"/>
  <c r="D89" i="88"/>
  <c r="E8" i="88"/>
  <c r="K8" i="88"/>
  <c r="D10" i="88" l="1"/>
  <c r="D8" i="88"/>
  <c r="S27" i="35" l="1"/>
  <c r="G83" i="31" l="1"/>
  <c r="L25" i="30" l="1"/>
  <c r="H25" i="30"/>
  <c r="AX39" i="87" l="1"/>
  <c r="AW39" i="87"/>
  <c r="AT39" i="87"/>
  <c r="AS39" i="87"/>
  <c r="AR39" i="87"/>
  <c r="AK39" i="87"/>
  <c r="AJ39" i="87"/>
  <c r="AI39" i="87"/>
  <c r="AH39" i="87"/>
  <c r="AG39" i="87"/>
  <c r="AF39" i="87"/>
  <c r="AC39" i="87"/>
  <c r="AB39" i="87"/>
  <c r="X39" i="87"/>
  <c r="V39" i="87"/>
  <c r="AM38" i="87"/>
  <c r="AL38" i="87" s="1"/>
  <c r="U38" i="87"/>
  <c r="T38" i="87"/>
  <c r="S38" i="87"/>
  <c r="R38" i="87"/>
  <c r="Q38" i="87"/>
  <c r="P38" i="87"/>
  <c r="O38" i="87"/>
  <c r="N38" i="87"/>
  <c r="M38" i="87"/>
  <c r="L38" i="87"/>
  <c r="K38" i="87"/>
  <c r="J38" i="87"/>
  <c r="I38" i="87"/>
  <c r="H38" i="87"/>
  <c r="G38" i="87"/>
  <c r="F38" i="87"/>
  <c r="AL37" i="87"/>
  <c r="U37" i="87"/>
  <c r="T37" i="87"/>
  <c r="S37" i="87"/>
  <c r="R37" i="87"/>
  <c r="Q37" i="87"/>
  <c r="P37" i="87"/>
  <c r="O37" i="87"/>
  <c r="N37" i="87"/>
  <c r="M37" i="87"/>
  <c r="L37" i="87"/>
  <c r="K37" i="87"/>
  <c r="J37" i="87"/>
  <c r="I37" i="87"/>
  <c r="H37" i="87"/>
  <c r="G37" i="87"/>
  <c r="F37" i="87"/>
  <c r="E37" i="87"/>
  <c r="AL36" i="87"/>
  <c r="U36" i="87"/>
  <c r="T36" i="87"/>
  <c r="S36" i="87"/>
  <c r="R36" i="87"/>
  <c r="Q36" i="87"/>
  <c r="P36" i="87"/>
  <c r="O36" i="87"/>
  <c r="N36" i="87"/>
  <c r="M36" i="87"/>
  <c r="L36" i="87"/>
  <c r="K36" i="87"/>
  <c r="J36" i="87"/>
  <c r="I36" i="87"/>
  <c r="H36" i="87"/>
  <c r="G36" i="87"/>
  <c r="F36" i="87"/>
  <c r="E36" i="87"/>
  <c r="AL35" i="87"/>
  <c r="U35" i="87"/>
  <c r="T35" i="87"/>
  <c r="S35" i="87"/>
  <c r="R35" i="87"/>
  <c r="Q35" i="87"/>
  <c r="P35" i="87"/>
  <c r="O35" i="87"/>
  <c r="N35" i="87"/>
  <c r="M35" i="87"/>
  <c r="L35" i="87"/>
  <c r="K35" i="87"/>
  <c r="J35" i="87"/>
  <c r="I35" i="87"/>
  <c r="H35" i="87"/>
  <c r="G35" i="87"/>
  <c r="F35" i="87"/>
  <c r="E35" i="87"/>
  <c r="AL34" i="87"/>
  <c r="U34" i="87"/>
  <c r="T34" i="87"/>
  <c r="S34" i="87"/>
  <c r="R34" i="87"/>
  <c r="Q34" i="87"/>
  <c r="P34" i="87"/>
  <c r="O34" i="87"/>
  <c r="N34" i="87"/>
  <c r="M34" i="87"/>
  <c r="L34" i="87"/>
  <c r="K34" i="87"/>
  <c r="J34" i="87"/>
  <c r="I34" i="87"/>
  <c r="H34" i="87"/>
  <c r="G34" i="87"/>
  <c r="F34" i="87"/>
  <c r="E34" i="87"/>
  <c r="AL33" i="87"/>
  <c r="U33" i="87"/>
  <c r="T33" i="87"/>
  <c r="S33" i="87"/>
  <c r="R33" i="87"/>
  <c r="Q33" i="87"/>
  <c r="P33" i="87"/>
  <c r="O33" i="87"/>
  <c r="N33" i="87"/>
  <c r="M33" i="87"/>
  <c r="L33" i="87"/>
  <c r="K33" i="87"/>
  <c r="J33" i="87"/>
  <c r="I33" i="87"/>
  <c r="H33" i="87"/>
  <c r="G33" i="87"/>
  <c r="F33" i="87"/>
  <c r="E33" i="87"/>
  <c r="AL32" i="87"/>
  <c r="U32" i="87"/>
  <c r="T32" i="87"/>
  <c r="S32" i="87"/>
  <c r="R32" i="87"/>
  <c r="Q32" i="87"/>
  <c r="P32" i="87"/>
  <c r="O32" i="87"/>
  <c r="N32" i="87"/>
  <c r="M32" i="87"/>
  <c r="L32" i="87"/>
  <c r="K32" i="87"/>
  <c r="J32" i="87"/>
  <c r="I32" i="87"/>
  <c r="H32" i="87"/>
  <c r="G32" i="87"/>
  <c r="F32" i="87"/>
  <c r="E32" i="87"/>
  <c r="AL31" i="87"/>
  <c r="U31" i="87"/>
  <c r="T31" i="87"/>
  <c r="S31" i="87"/>
  <c r="R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AL30" i="87"/>
  <c r="U30" i="87"/>
  <c r="T30" i="87"/>
  <c r="S30" i="87"/>
  <c r="R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AL29" i="87"/>
  <c r="U29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H29" i="87"/>
  <c r="G29" i="87"/>
  <c r="F29" i="87"/>
  <c r="E29" i="87"/>
  <c r="AL28" i="87"/>
  <c r="U28" i="87"/>
  <c r="T28" i="87"/>
  <c r="S28" i="87"/>
  <c r="R28" i="87"/>
  <c r="Q28" i="87"/>
  <c r="P28" i="87"/>
  <c r="O28" i="87"/>
  <c r="N28" i="87"/>
  <c r="M28" i="87"/>
  <c r="L28" i="87"/>
  <c r="K28" i="87"/>
  <c r="J28" i="87"/>
  <c r="I28" i="87"/>
  <c r="H28" i="87"/>
  <c r="G28" i="87"/>
  <c r="F28" i="87"/>
  <c r="E28" i="87"/>
  <c r="AL27" i="87"/>
  <c r="U27" i="87"/>
  <c r="T27" i="87"/>
  <c r="S27" i="87"/>
  <c r="R27" i="87"/>
  <c r="Q27" i="87"/>
  <c r="P27" i="87"/>
  <c r="O27" i="87"/>
  <c r="N27" i="87"/>
  <c r="M27" i="87"/>
  <c r="L27" i="87"/>
  <c r="K27" i="87"/>
  <c r="J27" i="87"/>
  <c r="I27" i="87"/>
  <c r="H27" i="87"/>
  <c r="G27" i="87"/>
  <c r="F27" i="87"/>
  <c r="E27" i="87"/>
  <c r="AL26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I26" i="87"/>
  <c r="H26" i="87"/>
  <c r="G26" i="87"/>
  <c r="F26" i="87"/>
  <c r="E26" i="87"/>
  <c r="AL25" i="87"/>
  <c r="U25" i="87"/>
  <c r="T25" i="87"/>
  <c r="S25" i="87"/>
  <c r="R25" i="87"/>
  <c r="Q25" i="87"/>
  <c r="P25" i="87"/>
  <c r="O25" i="87"/>
  <c r="N25" i="87"/>
  <c r="M25" i="87"/>
  <c r="L25" i="87"/>
  <c r="K25" i="87"/>
  <c r="J25" i="87"/>
  <c r="I25" i="87"/>
  <c r="H25" i="87"/>
  <c r="G25" i="87"/>
  <c r="F25" i="87"/>
  <c r="E25" i="87"/>
  <c r="AL24" i="87"/>
  <c r="U24" i="87"/>
  <c r="T24" i="87"/>
  <c r="S24" i="87"/>
  <c r="R24" i="87"/>
  <c r="Q24" i="87"/>
  <c r="P24" i="87"/>
  <c r="O24" i="87"/>
  <c r="N24" i="87"/>
  <c r="M24" i="87"/>
  <c r="L24" i="87"/>
  <c r="K24" i="87"/>
  <c r="J24" i="87"/>
  <c r="I24" i="87"/>
  <c r="H24" i="87"/>
  <c r="G24" i="87"/>
  <c r="F24" i="87"/>
  <c r="E24" i="87"/>
  <c r="AL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I23" i="87"/>
  <c r="H23" i="87"/>
  <c r="G23" i="87"/>
  <c r="F23" i="87"/>
  <c r="E23" i="87"/>
  <c r="AL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AL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F21" i="87"/>
  <c r="E21" i="87"/>
  <c r="AL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I20" i="87"/>
  <c r="H20" i="87"/>
  <c r="G20" i="87"/>
  <c r="F20" i="87"/>
  <c r="E20" i="87"/>
  <c r="AL19" i="87"/>
  <c r="U19" i="87"/>
  <c r="T19" i="87"/>
  <c r="S19" i="87"/>
  <c r="R19" i="87"/>
  <c r="Q19" i="87"/>
  <c r="P19" i="87"/>
  <c r="O19" i="87"/>
  <c r="N19" i="87"/>
  <c r="M19" i="87"/>
  <c r="L19" i="87"/>
  <c r="K19" i="87"/>
  <c r="J19" i="87"/>
  <c r="I19" i="87"/>
  <c r="H19" i="87"/>
  <c r="G19" i="87"/>
  <c r="F19" i="87"/>
  <c r="E19" i="87"/>
  <c r="AL18" i="87"/>
  <c r="U18" i="87"/>
  <c r="T18" i="87"/>
  <c r="S18" i="87"/>
  <c r="R18" i="87"/>
  <c r="Q18" i="87"/>
  <c r="P18" i="87"/>
  <c r="O18" i="87"/>
  <c r="N18" i="87"/>
  <c r="M18" i="87"/>
  <c r="L18" i="87"/>
  <c r="K18" i="87"/>
  <c r="J18" i="87"/>
  <c r="I18" i="87"/>
  <c r="H18" i="87"/>
  <c r="G18" i="87"/>
  <c r="F18" i="87"/>
  <c r="E18" i="87"/>
  <c r="AL17" i="87"/>
  <c r="U17" i="87"/>
  <c r="T17" i="87"/>
  <c r="S17" i="87"/>
  <c r="R17" i="87"/>
  <c r="Q17" i="87"/>
  <c r="P17" i="87"/>
  <c r="O17" i="87"/>
  <c r="N17" i="87"/>
  <c r="M17" i="87"/>
  <c r="L17" i="87"/>
  <c r="K17" i="87"/>
  <c r="J17" i="87"/>
  <c r="I17" i="87"/>
  <c r="H17" i="87"/>
  <c r="G17" i="87"/>
  <c r="F17" i="87"/>
  <c r="E17" i="87"/>
  <c r="AZ16" i="87"/>
  <c r="AZ39" i="87" s="1"/>
  <c r="AY16" i="87"/>
  <c r="AY39" i="87" s="1"/>
  <c r="AU16" i="87"/>
  <c r="AN16" i="87"/>
  <c r="F16" i="87" s="1"/>
  <c r="U16" i="87"/>
  <c r="T16" i="87"/>
  <c r="S16" i="87"/>
  <c r="P16" i="87"/>
  <c r="O16" i="87"/>
  <c r="N16" i="87"/>
  <c r="L16" i="87"/>
  <c r="K16" i="87"/>
  <c r="J16" i="87"/>
  <c r="I16" i="87"/>
  <c r="H16" i="87"/>
  <c r="G16" i="87"/>
  <c r="E16" i="87"/>
  <c r="AU15" i="87"/>
  <c r="M15" i="87" s="1"/>
  <c r="AQ15" i="87"/>
  <c r="I15" i="87" s="1"/>
  <c r="AP15" i="87"/>
  <c r="H15" i="87" s="1"/>
  <c r="AO15" i="87"/>
  <c r="AO39" i="87" s="1"/>
  <c r="AN15" i="87"/>
  <c r="F15" i="87" s="1"/>
  <c r="AM15" i="87"/>
  <c r="U15" i="87"/>
  <c r="T15" i="87"/>
  <c r="S15" i="87"/>
  <c r="R15" i="87"/>
  <c r="Q15" i="87"/>
  <c r="P15" i="87"/>
  <c r="O15" i="87"/>
  <c r="N15" i="87"/>
  <c r="L15" i="87"/>
  <c r="K15" i="87"/>
  <c r="J15" i="87"/>
  <c r="AL14" i="87"/>
  <c r="U14" i="87"/>
  <c r="T14" i="87"/>
  <c r="S14" i="87"/>
  <c r="R14" i="87"/>
  <c r="Q14" i="87"/>
  <c r="P14" i="87"/>
  <c r="O14" i="87"/>
  <c r="N14" i="87"/>
  <c r="M14" i="87"/>
  <c r="L14" i="87"/>
  <c r="K14" i="87"/>
  <c r="J14" i="87"/>
  <c r="I14" i="87"/>
  <c r="H14" i="87"/>
  <c r="G14" i="87"/>
  <c r="F14" i="87"/>
  <c r="E14" i="87"/>
  <c r="AL13" i="87"/>
  <c r="U13" i="87"/>
  <c r="T13" i="87"/>
  <c r="S13" i="87"/>
  <c r="R13" i="87"/>
  <c r="Q13" i="87"/>
  <c r="P13" i="87"/>
  <c r="O13" i="87"/>
  <c r="N13" i="87"/>
  <c r="M13" i="87"/>
  <c r="L13" i="87"/>
  <c r="K13" i="87"/>
  <c r="J13" i="87"/>
  <c r="I13" i="87"/>
  <c r="H13" i="87"/>
  <c r="G13" i="87"/>
  <c r="F13" i="87"/>
  <c r="E13" i="87"/>
  <c r="AL12" i="87"/>
  <c r="U12" i="87"/>
  <c r="T12" i="87"/>
  <c r="S12" i="87"/>
  <c r="R12" i="87"/>
  <c r="Q12" i="87"/>
  <c r="P12" i="87"/>
  <c r="O12" i="87"/>
  <c r="N12" i="87"/>
  <c r="M12" i="87"/>
  <c r="L12" i="87"/>
  <c r="K12" i="87"/>
  <c r="J12" i="87"/>
  <c r="I12" i="87"/>
  <c r="H12" i="87"/>
  <c r="G12" i="87"/>
  <c r="F12" i="87"/>
  <c r="E12" i="87"/>
  <c r="AV11" i="87"/>
  <c r="AV39" i="87" s="1"/>
  <c r="AU11" i="87"/>
  <c r="M11" i="87" s="1"/>
  <c r="U11" i="87"/>
  <c r="T11" i="87"/>
  <c r="S11" i="87"/>
  <c r="R11" i="87"/>
  <c r="Q11" i="87"/>
  <c r="P11" i="87"/>
  <c r="O11" i="87"/>
  <c r="L11" i="87"/>
  <c r="K11" i="87"/>
  <c r="J11" i="87"/>
  <c r="I11" i="87"/>
  <c r="H11" i="87"/>
  <c r="G11" i="87"/>
  <c r="F11" i="87"/>
  <c r="E11" i="87"/>
  <c r="AL10" i="87"/>
  <c r="U10" i="87"/>
  <c r="T10" i="87"/>
  <c r="S10" i="87"/>
  <c r="R10" i="87"/>
  <c r="Q10" i="87"/>
  <c r="P10" i="87"/>
  <c r="O10" i="87"/>
  <c r="N10" i="87"/>
  <c r="M10" i="87"/>
  <c r="L10" i="87"/>
  <c r="K10" i="87"/>
  <c r="J10" i="87"/>
  <c r="I10" i="87"/>
  <c r="H10" i="87"/>
  <c r="G10" i="87"/>
  <c r="F10" i="87"/>
  <c r="E10" i="87"/>
  <c r="AL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F9" i="87"/>
  <c r="E9" i="87"/>
  <c r="AL8" i="87"/>
  <c r="AE8" i="87"/>
  <c r="AE39" i="87" s="1"/>
  <c r="AD8" i="87"/>
  <c r="AD39" i="87" s="1"/>
  <c r="AA8" i="87"/>
  <c r="AA39" i="87" s="1"/>
  <c r="Z8" i="87"/>
  <c r="Z39" i="87" s="1"/>
  <c r="Y8" i="87"/>
  <c r="Y39" i="87" s="1"/>
  <c r="W8" i="87"/>
  <c r="F8" i="87" s="1"/>
  <c r="T8" i="87"/>
  <c r="S8" i="87"/>
  <c r="R8" i="87"/>
  <c r="Q8" i="87"/>
  <c r="P8" i="87"/>
  <c r="O8" i="87"/>
  <c r="L8" i="87"/>
  <c r="K8" i="87"/>
  <c r="J8" i="87"/>
  <c r="G8" i="87"/>
  <c r="E8" i="87"/>
  <c r="D36" i="87" l="1"/>
  <c r="D19" i="87"/>
  <c r="O39" i="87"/>
  <c r="D20" i="87"/>
  <c r="D28" i="87"/>
  <c r="H8" i="87"/>
  <c r="H39" i="87" s="1"/>
  <c r="Q16" i="87"/>
  <c r="Q39" i="87" s="1"/>
  <c r="D29" i="87"/>
  <c r="J39" i="87"/>
  <c r="D24" i="87"/>
  <c r="D26" i="87"/>
  <c r="D22" i="87"/>
  <c r="D30" i="87"/>
  <c r="D34" i="87"/>
  <c r="K39" i="87"/>
  <c r="T39" i="87"/>
  <c r="AL16" i="87"/>
  <c r="D33" i="87"/>
  <c r="L39" i="87"/>
  <c r="U8" i="87"/>
  <c r="U39" i="87" s="1"/>
  <c r="D12" i="87"/>
  <c r="D23" i="87"/>
  <c r="D9" i="87"/>
  <c r="N8" i="87"/>
  <c r="D10" i="87"/>
  <c r="AL15" i="87"/>
  <c r="D27" i="87"/>
  <c r="D37" i="87"/>
  <c r="D17" i="87"/>
  <c r="S39" i="87"/>
  <c r="F39" i="87"/>
  <c r="P39" i="87"/>
  <c r="D18" i="87"/>
  <c r="D21" i="87"/>
  <c r="D31" i="87"/>
  <c r="D13" i="87"/>
  <c r="N11" i="87"/>
  <c r="D11" i="87" s="1"/>
  <c r="AL11" i="87"/>
  <c r="D14" i="87"/>
  <c r="D32" i="87"/>
  <c r="D35" i="87"/>
  <c r="E38" i="87"/>
  <c r="D38" i="87" s="1"/>
  <c r="AM39" i="87"/>
  <c r="G15" i="87"/>
  <c r="G39" i="87" s="1"/>
  <c r="D25" i="87"/>
  <c r="R39" i="87"/>
  <c r="W39" i="87"/>
  <c r="AU39" i="87"/>
  <c r="AN39" i="87"/>
  <c r="R16" i="87"/>
  <c r="I8" i="87"/>
  <c r="I39" i="87" s="1"/>
  <c r="E15" i="87"/>
  <c r="AP39" i="87"/>
  <c r="AQ39" i="87"/>
  <c r="M16" i="87"/>
  <c r="D16" i="87" s="1"/>
  <c r="M8" i="87"/>
  <c r="M39" i="87" l="1"/>
  <c r="D15" i="87"/>
  <c r="N39" i="87"/>
  <c r="AL39" i="87"/>
  <c r="D8" i="87"/>
  <c r="E39" i="87"/>
  <c r="D39" i="87" l="1"/>
  <c r="H124" i="86" l="1"/>
  <c r="F124" i="86"/>
  <c r="E124" i="86"/>
  <c r="I123" i="86"/>
  <c r="D123" i="86" s="1"/>
  <c r="K124" i="86"/>
  <c r="D122" i="86"/>
  <c r="I121" i="86"/>
  <c r="D121" i="86" s="1"/>
  <c r="I120" i="86"/>
  <c r="D120" i="86" s="1"/>
  <c r="I119" i="86"/>
  <c r="D119" i="86" s="1"/>
  <c r="I118" i="86"/>
  <c r="D118" i="86" s="1"/>
  <c r="I117" i="86"/>
  <c r="D117" i="86" s="1"/>
  <c r="I116" i="86"/>
  <c r="D116" i="86" s="1"/>
  <c r="I115" i="86"/>
  <c r="D115" i="86" s="1"/>
  <c r="I114" i="86"/>
  <c r="D114" i="86" s="1"/>
  <c r="I113" i="86"/>
  <c r="D113" i="86" s="1"/>
  <c r="I112" i="86"/>
  <c r="D112" i="86" s="1"/>
  <c r="I111" i="86"/>
  <c r="D111" i="86" s="1"/>
  <c r="I110" i="86"/>
  <c r="D110" i="86" s="1"/>
  <c r="I109" i="86"/>
  <c r="D109" i="86" s="1"/>
  <c r="I108" i="86"/>
  <c r="D108" i="86" s="1"/>
  <c r="I107" i="86"/>
  <c r="D107" i="86" s="1"/>
  <c r="I106" i="86"/>
  <c r="D106" i="86" s="1"/>
  <c r="I105" i="86"/>
  <c r="D105" i="86" s="1"/>
  <c r="I104" i="86"/>
  <c r="D104" i="86" s="1"/>
  <c r="I103" i="86"/>
  <c r="D103" i="86" s="1"/>
  <c r="I102" i="86"/>
  <c r="D102" i="86" s="1"/>
  <c r="I101" i="86"/>
  <c r="D101" i="86" s="1"/>
  <c r="I100" i="86"/>
  <c r="D100" i="86" s="1"/>
  <c r="I99" i="86"/>
  <c r="D99" i="86" s="1"/>
  <c r="I98" i="86"/>
  <c r="D98" i="86" s="1"/>
  <c r="I97" i="86"/>
  <c r="D97" i="86" s="1"/>
  <c r="I96" i="86"/>
  <c r="D96" i="86" s="1"/>
  <c r="I95" i="86"/>
  <c r="D95" i="86" s="1"/>
  <c r="J94" i="86"/>
  <c r="I94" i="86" s="1"/>
  <c r="D94" i="86" s="1"/>
  <c r="I93" i="86"/>
  <c r="D93" i="86" s="1"/>
  <c r="I92" i="86"/>
  <c r="D92" i="86" s="1"/>
  <c r="I91" i="86"/>
  <c r="D91" i="86" s="1"/>
  <c r="I90" i="86"/>
  <c r="D90" i="86" s="1"/>
  <c r="I89" i="86"/>
  <c r="D89" i="86" s="1"/>
  <c r="I88" i="86"/>
  <c r="D88" i="86" s="1"/>
  <c r="I87" i="86"/>
  <c r="D87" i="86" s="1"/>
  <c r="I86" i="86"/>
  <c r="D86" i="86" s="1"/>
  <c r="I85" i="86"/>
  <c r="D85" i="86" s="1"/>
  <c r="I84" i="86"/>
  <c r="D84" i="86" s="1"/>
  <c r="I83" i="86"/>
  <c r="D83" i="86" s="1"/>
  <c r="I82" i="86"/>
  <c r="D82" i="86" s="1"/>
  <c r="I81" i="86"/>
  <c r="D81" i="86" s="1"/>
  <c r="I80" i="86"/>
  <c r="D80" i="86" s="1"/>
  <c r="I79" i="86"/>
  <c r="D79" i="86" s="1"/>
  <c r="I78" i="86"/>
  <c r="D78" i="86" s="1"/>
  <c r="I77" i="86"/>
  <c r="D77" i="86" s="1"/>
  <c r="I76" i="86"/>
  <c r="G76" i="86"/>
  <c r="I75" i="86"/>
  <c r="D75" i="86" s="1"/>
  <c r="I74" i="86"/>
  <c r="D74" i="86" s="1"/>
  <c r="I73" i="86"/>
  <c r="G73" i="86"/>
  <c r="I72" i="86"/>
  <c r="D72" i="86" s="1"/>
  <c r="I71" i="86"/>
  <c r="G71" i="86"/>
  <c r="I70" i="86"/>
  <c r="D70" i="86" s="1"/>
  <c r="J69" i="86"/>
  <c r="I69" i="86" s="1"/>
  <c r="D69" i="86" s="1"/>
  <c r="I68" i="86"/>
  <c r="D68" i="86" s="1"/>
  <c r="I67" i="86"/>
  <c r="D67" i="86" s="1"/>
  <c r="I66" i="86"/>
  <c r="D66" i="86" s="1"/>
  <c r="I65" i="86"/>
  <c r="G65" i="86"/>
  <c r="I64" i="86"/>
  <c r="D64" i="86" s="1"/>
  <c r="I63" i="86"/>
  <c r="D63" i="86" s="1"/>
  <c r="I62" i="86"/>
  <c r="D62" i="86" s="1"/>
  <c r="I61" i="86"/>
  <c r="D61" i="86" s="1"/>
  <c r="I60" i="86"/>
  <c r="D60" i="86" s="1"/>
  <c r="I59" i="86"/>
  <c r="D59" i="86" s="1"/>
  <c r="I58" i="86"/>
  <c r="D58" i="86" s="1"/>
  <c r="I57" i="86"/>
  <c r="D57" i="86" s="1"/>
  <c r="J56" i="86"/>
  <c r="I56" i="86" s="1"/>
  <c r="D56" i="86" s="1"/>
  <c r="I55" i="86"/>
  <c r="D55" i="86" s="1"/>
  <c r="I54" i="86"/>
  <c r="D54" i="86" s="1"/>
  <c r="I53" i="86"/>
  <c r="D53" i="86" s="1"/>
  <c r="I52" i="86"/>
  <c r="D52" i="86" s="1"/>
  <c r="I51" i="86"/>
  <c r="D51" i="86" s="1"/>
  <c r="I50" i="86"/>
  <c r="D50" i="86" s="1"/>
  <c r="I49" i="86"/>
  <c r="D49" i="86" s="1"/>
  <c r="I48" i="86"/>
  <c r="D48" i="86" s="1"/>
  <c r="I47" i="86"/>
  <c r="D47" i="86" s="1"/>
  <c r="I46" i="86"/>
  <c r="D46" i="86" s="1"/>
  <c r="I45" i="86"/>
  <c r="D45" i="86" s="1"/>
  <c r="I44" i="86"/>
  <c r="D44" i="86" s="1"/>
  <c r="I43" i="86"/>
  <c r="D43" i="86" s="1"/>
  <c r="I42" i="86"/>
  <c r="D42" i="86" s="1"/>
  <c r="I41" i="86"/>
  <c r="D41" i="86"/>
  <c r="I40" i="86"/>
  <c r="D40" i="86" s="1"/>
  <c r="I39" i="86"/>
  <c r="D39" i="86" s="1"/>
  <c r="I38" i="86"/>
  <c r="D38" i="86" s="1"/>
  <c r="J37" i="86"/>
  <c r="I37" i="86" s="1"/>
  <c r="D37" i="86" s="1"/>
  <c r="I36" i="86"/>
  <c r="D36" i="86" s="1"/>
  <c r="I35" i="86"/>
  <c r="D35" i="86" s="1"/>
  <c r="I34" i="86"/>
  <c r="D34" i="86" s="1"/>
  <c r="I33" i="86"/>
  <c r="D33" i="86" s="1"/>
  <c r="I32" i="86"/>
  <c r="D32" i="86" s="1"/>
  <c r="I31" i="86"/>
  <c r="D31" i="86" s="1"/>
  <c r="I30" i="86"/>
  <c r="D30" i="86" s="1"/>
  <c r="I29" i="86"/>
  <c r="D29" i="86" s="1"/>
  <c r="I28" i="86"/>
  <c r="D28" i="86" s="1"/>
  <c r="I27" i="86"/>
  <c r="D27" i="86" s="1"/>
  <c r="I26" i="86"/>
  <c r="D26" i="86" s="1"/>
  <c r="I25" i="86"/>
  <c r="D25" i="86" s="1"/>
  <c r="I24" i="86"/>
  <c r="D24" i="86" s="1"/>
  <c r="I23" i="86"/>
  <c r="D23" i="86" s="1"/>
  <c r="I22" i="86"/>
  <c r="D22" i="86" s="1"/>
  <c r="I21" i="86"/>
  <c r="D21" i="86" s="1"/>
  <c r="I20" i="86"/>
  <c r="D20" i="86" s="1"/>
  <c r="I19" i="86"/>
  <c r="D19" i="86" s="1"/>
  <c r="I18" i="86"/>
  <c r="D18" i="86" s="1"/>
  <c r="I17" i="86"/>
  <c r="D17" i="86" s="1"/>
  <c r="J16" i="86"/>
  <c r="I15" i="86"/>
  <c r="D15" i="86" s="1"/>
  <c r="I14" i="86"/>
  <c r="D14" i="86" s="1"/>
  <c r="I13" i="86"/>
  <c r="D13" i="86" s="1"/>
  <c r="I12" i="86"/>
  <c r="D12" i="86" s="1"/>
  <c r="I11" i="86"/>
  <c r="D11" i="86" s="1"/>
  <c r="I10" i="86"/>
  <c r="D10" i="86" s="1"/>
  <c r="D73" i="86" l="1"/>
  <c r="J124" i="86"/>
  <c r="D71" i="86"/>
  <c r="D76" i="86"/>
  <c r="D65" i="86"/>
  <c r="I16" i="86"/>
  <c r="D16" i="86" s="1"/>
  <c r="D124" i="86" s="1"/>
  <c r="G124" i="86"/>
  <c r="I124" i="86" l="1"/>
  <c r="F22" i="85" l="1"/>
  <c r="E22" i="85"/>
  <c r="F21" i="85"/>
  <c r="E21" i="85"/>
  <c r="F20" i="85"/>
  <c r="E20" i="85"/>
  <c r="F19" i="85"/>
  <c r="E19" i="85"/>
  <c r="F18" i="85"/>
  <c r="E18" i="85"/>
  <c r="F17" i="85"/>
  <c r="E17" i="85"/>
  <c r="F16" i="85"/>
  <c r="E16" i="85"/>
  <c r="F15" i="85"/>
  <c r="E15" i="85"/>
  <c r="F14" i="85"/>
  <c r="E14" i="85"/>
  <c r="F13" i="85"/>
  <c r="E13" i="85"/>
  <c r="M12" i="85"/>
  <c r="M8" i="85" s="1"/>
  <c r="L12" i="85"/>
  <c r="L8" i="85" s="1"/>
  <c r="K12" i="85"/>
  <c r="K8" i="85" s="1"/>
  <c r="J12" i="85"/>
  <c r="J8" i="85" s="1"/>
  <c r="I12" i="85"/>
  <c r="I8" i="85" s="1"/>
  <c r="H12" i="85"/>
  <c r="G12" i="85"/>
  <c r="G8" i="85" s="1"/>
  <c r="H8" i="85"/>
  <c r="E12" i="85" l="1"/>
  <c r="E8" i="85" s="1"/>
  <c r="F12" i="85"/>
  <c r="F8" i="85" s="1"/>
  <c r="L44" i="30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6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39" i="61"/>
  <c r="M141" i="61" s="1"/>
  <c r="O74" i="61"/>
  <c r="O73" i="61" s="1"/>
  <c r="O139" i="61" l="1"/>
  <c r="O141" i="61" s="1"/>
  <c r="F141" i="61"/>
  <c r="J141" i="61"/>
  <c r="J35" i="83" l="1"/>
  <c r="I35" i="83"/>
  <c r="H35" i="83"/>
  <c r="G35" i="83"/>
  <c r="F35" i="83"/>
  <c r="E35" i="83"/>
  <c r="E8" i="83" s="1"/>
  <c r="D35" i="83"/>
  <c r="D8" i="83" s="1"/>
  <c r="J34" i="83"/>
  <c r="J8" i="83" s="1"/>
  <c r="I34" i="83"/>
  <c r="I8" i="83" s="1"/>
  <c r="H34" i="83"/>
  <c r="H8" i="83" s="1"/>
  <c r="G34" i="83"/>
  <c r="F34" i="83"/>
  <c r="F8" i="83" s="1"/>
  <c r="E34" i="83"/>
  <c r="D34" i="83"/>
  <c r="G8" i="83" l="1"/>
  <c r="R153" i="82"/>
  <c r="Q153" i="82"/>
  <c r="P153" i="82"/>
  <c r="O153" i="82"/>
  <c r="N153" i="82"/>
  <c r="M153" i="82"/>
  <c r="L153" i="82"/>
  <c r="K153" i="82"/>
  <c r="J153" i="82"/>
  <c r="I153" i="82"/>
  <c r="H153" i="82"/>
  <c r="G153" i="82"/>
  <c r="F153" i="82"/>
  <c r="E153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R151" i="82"/>
  <c r="Q151" i="82"/>
  <c r="P151" i="82"/>
  <c r="O151" i="82"/>
  <c r="N151" i="82"/>
  <c r="M151" i="82"/>
  <c r="L151" i="82"/>
  <c r="K151" i="82"/>
  <c r="J151" i="82"/>
  <c r="I151" i="82"/>
  <c r="H151" i="82"/>
  <c r="G151" i="82"/>
  <c r="F151" i="82"/>
  <c r="E151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R148" i="82"/>
  <c r="Q148" i="82"/>
  <c r="P148" i="82"/>
  <c r="O148" i="82"/>
  <c r="N148" i="82"/>
  <c r="M148" i="82"/>
  <c r="L148" i="82"/>
  <c r="K148" i="82"/>
  <c r="J148" i="82"/>
  <c r="I148" i="82"/>
  <c r="H148" i="82"/>
  <c r="G148" i="82"/>
  <c r="F148" i="82"/>
  <c r="E148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R143" i="82"/>
  <c r="Q143" i="82"/>
  <c r="P143" i="82"/>
  <c r="O143" i="82"/>
  <c r="N143" i="82"/>
  <c r="M143" i="82"/>
  <c r="L143" i="82"/>
  <c r="K143" i="82"/>
  <c r="J143" i="82"/>
  <c r="I143" i="82"/>
  <c r="H143" i="82"/>
  <c r="G143" i="82"/>
  <c r="F143" i="82"/>
  <c r="E143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R138" i="82"/>
  <c r="Q138" i="82"/>
  <c r="P138" i="82"/>
  <c r="O138" i="82"/>
  <c r="N138" i="82"/>
  <c r="M138" i="82"/>
  <c r="L138" i="82"/>
  <c r="K138" i="82"/>
  <c r="J138" i="82"/>
  <c r="I138" i="82"/>
  <c r="H138" i="82"/>
  <c r="G138" i="82"/>
  <c r="F138" i="82"/>
  <c r="E138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R133" i="82"/>
  <c r="Q133" i="82"/>
  <c r="P133" i="82"/>
  <c r="O133" i="82"/>
  <c r="N133" i="82"/>
  <c r="M133" i="82"/>
  <c r="L133" i="82"/>
  <c r="K133" i="82"/>
  <c r="J133" i="82"/>
  <c r="I133" i="82"/>
  <c r="H133" i="82"/>
  <c r="G133" i="82"/>
  <c r="F133" i="82"/>
  <c r="E133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R128" i="82"/>
  <c r="Q128" i="82"/>
  <c r="P128" i="82"/>
  <c r="O128" i="82"/>
  <c r="N128" i="82"/>
  <c r="M128" i="82"/>
  <c r="L128" i="82"/>
  <c r="K128" i="82"/>
  <c r="J128" i="82"/>
  <c r="I128" i="82"/>
  <c r="H128" i="82"/>
  <c r="G128" i="82"/>
  <c r="F128" i="82"/>
  <c r="E128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R123" i="82"/>
  <c r="Q123" i="82"/>
  <c r="P123" i="82"/>
  <c r="O123" i="82"/>
  <c r="N123" i="82"/>
  <c r="M123" i="82"/>
  <c r="L123" i="82"/>
  <c r="K123" i="82"/>
  <c r="J123" i="82"/>
  <c r="I123" i="82"/>
  <c r="H123" i="82"/>
  <c r="G123" i="82"/>
  <c r="F123" i="82"/>
  <c r="E123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R118" i="82"/>
  <c r="Q118" i="82"/>
  <c r="P118" i="82"/>
  <c r="O118" i="82"/>
  <c r="N118" i="82"/>
  <c r="M118" i="82"/>
  <c r="L118" i="82"/>
  <c r="K118" i="82"/>
  <c r="J118" i="82"/>
  <c r="I118" i="82"/>
  <c r="H118" i="82"/>
  <c r="G118" i="82"/>
  <c r="F118" i="82"/>
  <c r="E118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R113" i="82"/>
  <c r="Q113" i="82"/>
  <c r="P113" i="82"/>
  <c r="O113" i="82"/>
  <c r="N113" i="82"/>
  <c r="M113" i="82"/>
  <c r="L113" i="82"/>
  <c r="K113" i="82"/>
  <c r="J113" i="82"/>
  <c r="I113" i="82"/>
  <c r="H113" i="82"/>
  <c r="G113" i="82"/>
  <c r="F113" i="82"/>
  <c r="E113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R108" i="82"/>
  <c r="Q108" i="82"/>
  <c r="P108" i="82"/>
  <c r="O108" i="82"/>
  <c r="N108" i="82"/>
  <c r="M108" i="82"/>
  <c r="L108" i="82"/>
  <c r="K108" i="82"/>
  <c r="J108" i="82"/>
  <c r="I108" i="82"/>
  <c r="H108" i="82"/>
  <c r="G108" i="82"/>
  <c r="F108" i="82"/>
  <c r="E108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R103" i="82"/>
  <c r="Q103" i="82"/>
  <c r="P103" i="82"/>
  <c r="O103" i="82"/>
  <c r="N103" i="82"/>
  <c r="M103" i="82"/>
  <c r="L103" i="82"/>
  <c r="K103" i="82"/>
  <c r="J103" i="82"/>
  <c r="I103" i="82"/>
  <c r="H103" i="82"/>
  <c r="G103" i="82"/>
  <c r="F103" i="82"/>
  <c r="E103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R101" i="82"/>
  <c r="Q101" i="82"/>
  <c r="P101" i="82"/>
  <c r="O101" i="82"/>
  <c r="N101" i="82"/>
  <c r="M101" i="82"/>
  <c r="L101" i="82"/>
  <c r="K101" i="82"/>
  <c r="J101" i="82"/>
  <c r="I101" i="82"/>
  <c r="H101" i="82"/>
  <c r="G101" i="82"/>
  <c r="F101" i="82"/>
  <c r="E101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R98" i="82"/>
  <c r="Q98" i="82"/>
  <c r="P98" i="82"/>
  <c r="O98" i="82"/>
  <c r="N98" i="82"/>
  <c r="M98" i="82"/>
  <c r="L98" i="82"/>
  <c r="K98" i="82"/>
  <c r="J98" i="82"/>
  <c r="I98" i="82"/>
  <c r="H98" i="82"/>
  <c r="G98" i="82"/>
  <c r="F98" i="82"/>
  <c r="E98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R93" i="82"/>
  <c r="Q93" i="82"/>
  <c r="P93" i="82"/>
  <c r="O93" i="82"/>
  <c r="N93" i="82"/>
  <c r="M93" i="82"/>
  <c r="L93" i="82"/>
  <c r="K93" i="82"/>
  <c r="J93" i="82"/>
  <c r="I93" i="82"/>
  <c r="H93" i="82"/>
  <c r="G93" i="82"/>
  <c r="F93" i="82"/>
  <c r="E93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R88" i="82"/>
  <c r="Q88" i="82"/>
  <c r="P88" i="82"/>
  <c r="O88" i="82"/>
  <c r="N88" i="82"/>
  <c r="M88" i="82"/>
  <c r="L88" i="82"/>
  <c r="K88" i="82"/>
  <c r="J88" i="82"/>
  <c r="I88" i="82"/>
  <c r="H88" i="82"/>
  <c r="G88" i="82"/>
  <c r="F88" i="82"/>
  <c r="E88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R83" i="82"/>
  <c r="Q83" i="82"/>
  <c r="P83" i="82"/>
  <c r="O83" i="82"/>
  <c r="N83" i="82"/>
  <c r="M83" i="82"/>
  <c r="L83" i="82"/>
  <c r="K83" i="82"/>
  <c r="J83" i="82"/>
  <c r="I83" i="82"/>
  <c r="H83" i="82"/>
  <c r="G83" i="82"/>
  <c r="F83" i="82"/>
  <c r="E83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R78" i="82"/>
  <c r="Q78" i="82"/>
  <c r="P78" i="82"/>
  <c r="O78" i="82"/>
  <c r="N78" i="82"/>
  <c r="M78" i="82"/>
  <c r="L78" i="82"/>
  <c r="K78" i="82"/>
  <c r="J78" i="82"/>
  <c r="I78" i="82"/>
  <c r="H78" i="82"/>
  <c r="G78" i="82"/>
  <c r="F78" i="82"/>
  <c r="E78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R73" i="82"/>
  <c r="Q73" i="82"/>
  <c r="P73" i="82"/>
  <c r="O73" i="82"/>
  <c r="N73" i="82"/>
  <c r="M73" i="82"/>
  <c r="L73" i="82"/>
  <c r="K73" i="82"/>
  <c r="J73" i="82"/>
  <c r="I73" i="82"/>
  <c r="H73" i="82"/>
  <c r="G73" i="82"/>
  <c r="F73" i="82"/>
  <c r="E73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R71" i="82"/>
  <c r="Q71" i="82"/>
  <c r="P71" i="82"/>
  <c r="O71" i="82"/>
  <c r="N71" i="82"/>
  <c r="M71" i="82"/>
  <c r="L71" i="82"/>
  <c r="K71" i="82"/>
  <c r="J71" i="82"/>
  <c r="I71" i="82"/>
  <c r="H71" i="82"/>
  <c r="G71" i="82"/>
  <c r="F71" i="82"/>
  <c r="E71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R68" i="82"/>
  <c r="Q68" i="82"/>
  <c r="P68" i="82"/>
  <c r="O68" i="82"/>
  <c r="N68" i="82"/>
  <c r="M68" i="82"/>
  <c r="L68" i="82"/>
  <c r="K68" i="82"/>
  <c r="J68" i="82"/>
  <c r="I68" i="82"/>
  <c r="H68" i="82"/>
  <c r="G68" i="82"/>
  <c r="F68" i="82"/>
  <c r="E68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R63" i="82"/>
  <c r="Q63" i="82"/>
  <c r="P63" i="82"/>
  <c r="O63" i="82"/>
  <c r="N63" i="82"/>
  <c r="M63" i="82"/>
  <c r="L63" i="82"/>
  <c r="K63" i="82"/>
  <c r="J63" i="82"/>
  <c r="I63" i="82"/>
  <c r="H63" i="82"/>
  <c r="G63" i="82"/>
  <c r="F63" i="82"/>
  <c r="E63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R58" i="82"/>
  <c r="Q58" i="82"/>
  <c r="P58" i="82"/>
  <c r="O58" i="82"/>
  <c r="N58" i="82"/>
  <c r="M58" i="82"/>
  <c r="L58" i="82"/>
  <c r="K58" i="82"/>
  <c r="J58" i="82"/>
  <c r="I58" i="82"/>
  <c r="H58" i="82"/>
  <c r="G58" i="82"/>
  <c r="F58" i="82"/>
  <c r="E58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R53" i="82"/>
  <c r="Q53" i="82"/>
  <c r="P53" i="82"/>
  <c r="O53" i="82"/>
  <c r="N53" i="82"/>
  <c r="M53" i="82"/>
  <c r="L53" i="82"/>
  <c r="K53" i="82"/>
  <c r="J53" i="82"/>
  <c r="I53" i="82"/>
  <c r="H53" i="82"/>
  <c r="G53" i="82"/>
  <c r="F53" i="82"/>
  <c r="E53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R48" i="82"/>
  <c r="Q48" i="82"/>
  <c r="P48" i="82"/>
  <c r="O48" i="82"/>
  <c r="N48" i="82"/>
  <c r="M48" i="82"/>
  <c r="L48" i="82"/>
  <c r="K48" i="82"/>
  <c r="J48" i="82"/>
  <c r="I48" i="82"/>
  <c r="H48" i="82"/>
  <c r="G48" i="82"/>
  <c r="F48" i="82"/>
  <c r="E48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R43" i="82"/>
  <c r="Q43" i="82"/>
  <c r="P43" i="82"/>
  <c r="O43" i="82"/>
  <c r="N43" i="82"/>
  <c r="M43" i="82"/>
  <c r="L43" i="82"/>
  <c r="K43" i="82"/>
  <c r="J43" i="82"/>
  <c r="I43" i="82"/>
  <c r="H43" i="82"/>
  <c r="G43" i="82"/>
  <c r="F43" i="82"/>
  <c r="E43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R41" i="82"/>
  <c r="Q41" i="82"/>
  <c r="P41" i="82"/>
  <c r="O41" i="82"/>
  <c r="N41" i="82"/>
  <c r="M41" i="82"/>
  <c r="L41" i="82"/>
  <c r="K41" i="82"/>
  <c r="J41" i="82"/>
  <c r="I41" i="82"/>
  <c r="H41" i="82"/>
  <c r="G41" i="82"/>
  <c r="F41" i="82"/>
  <c r="E41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R38" i="82"/>
  <c r="Q38" i="82"/>
  <c r="P38" i="82"/>
  <c r="O38" i="82"/>
  <c r="N38" i="82"/>
  <c r="M38" i="82"/>
  <c r="L38" i="82"/>
  <c r="K38" i="82"/>
  <c r="J38" i="82"/>
  <c r="I38" i="82"/>
  <c r="H38" i="82"/>
  <c r="G38" i="82"/>
  <c r="F38" i="82"/>
  <c r="E38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R36" i="82"/>
  <c r="Q36" i="82"/>
  <c r="P36" i="82"/>
  <c r="O36" i="82"/>
  <c r="N36" i="82"/>
  <c r="M36" i="82"/>
  <c r="L36" i="82"/>
  <c r="K36" i="82"/>
  <c r="J36" i="82"/>
  <c r="I36" i="82"/>
  <c r="H36" i="82"/>
  <c r="G36" i="82"/>
  <c r="F36" i="82"/>
  <c r="E36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R31" i="82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R26" i="82"/>
  <c r="Q26" i="82"/>
  <c r="P26" i="82"/>
  <c r="O26" i="82"/>
  <c r="N26" i="82"/>
  <c r="M26" i="82"/>
  <c r="L26" i="82"/>
  <c r="K26" i="82"/>
  <c r="J26" i="82"/>
  <c r="I26" i="82"/>
  <c r="H26" i="82"/>
  <c r="G26" i="82"/>
  <c r="F26" i="82"/>
  <c r="E26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R21" i="82"/>
  <c r="Q21" i="82"/>
  <c r="P21" i="82"/>
  <c r="O21" i="82"/>
  <c r="N21" i="82"/>
  <c r="M21" i="82"/>
  <c r="L21" i="82"/>
  <c r="K21" i="82"/>
  <c r="J21" i="82"/>
  <c r="I21" i="82"/>
  <c r="H21" i="82"/>
  <c r="G21" i="82"/>
  <c r="F21" i="82"/>
  <c r="E21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R16" i="82"/>
  <c r="Q16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R13" i="82"/>
  <c r="Q13" i="82"/>
  <c r="P13" i="82"/>
  <c r="O13" i="82"/>
  <c r="N13" i="82"/>
  <c r="M13" i="82"/>
  <c r="L13" i="82"/>
  <c r="K13" i="82"/>
  <c r="J13" i="82"/>
  <c r="I13" i="82"/>
  <c r="H13" i="82"/>
  <c r="G13" i="82"/>
  <c r="F13" i="82"/>
  <c r="E13" i="82"/>
  <c r="R12" i="82"/>
  <c r="Q12" i="82"/>
  <c r="P12" i="82"/>
  <c r="O12" i="82"/>
  <c r="N12" i="82"/>
  <c r="M12" i="82"/>
  <c r="L12" i="82"/>
  <c r="K12" i="82"/>
  <c r="J12" i="82"/>
  <c r="I12" i="82"/>
  <c r="H12" i="82"/>
  <c r="G12" i="82"/>
  <c r="F12" i="82"/>
  <c r="E12" i="82"/>
  <c r="R11" i="82" l="1"/>
  <c r="D22" i="82"/>
  <c r="D26" i="82"/>
  <c r="D34" i="82"/>
  <c r="D130" i="82"/>
  <c r="D58" i="82"/>
  <c r="D41" i="82"/>
  <c r="D53" i="82"/>
  <c r="J11" i="82"/>
  <c r="D100" i="82"/>
  <c r="F11" i="82"/>
  <c r="D24" i="82"/>
  <c r="D19" i="82"/>
  <c r="D65" i="82"/>
  <c r="D77" i="82"/>
  <c r="D89" i="82"/>
  <c r="D97" i="82"/>
  <c r="D101" i="82"/>
  <c r="D109" i="82"/>
  <c r="D113" i="82"/>
  <c r="D121" i="82"/>
  <c r="D125" i="82"/>
  <c r="D13" i="82"/>
  <c r="P11" i="82"/>
  <c r="D48" i="82"/>
  <c r="D59" i="82"/>
  <c r="D137" i="82"/>
  <c r="D149" i="82"/>
  <c r="D153" i="82"/>
  <c r="O11" i="82"/>
  <c r="G11" i="82"/>
  <c r="D20" i="82"/>
  <c r="D25" i="82"/>
  <c r="D36" i="82"/>
  <c r="D72" i="82"/>
  <c r="D96" i="82"/>
  <c r="D23" i="82"/>
  <c r="D43" i="82"/>
  <c r="D55" i="82"/>
  <c r="D60" i="82"/>
  <c r="D68" i="82"/>
  <c r="D76" i="82"/>
  <c r="D78" i="82"/>
  <c r="D84" i="82"/>
  <c r="D88" i="82"/>
  <c r="D108" i="82"/>
  <c r="D112" i="82"/>
  <c r="D114" i="82"/>
  <c r="D120" i="82"/>
  <c r="K11" i="82"/>
  <c r="I11" i="82"/>
  <c r="D31" i="82"/>
  <c r="D32" i="82"/>
  <c r="D49" i="82"/>
  <c r="D67" i="82"/>
  <c r="D79" i="82"/>
  <c r="D91" i="82"/>
  <c r="D103" i="82"/>
  <c r="D127" i="82"/>
  <c r="D132" i="82"/>
  <c r="D136" i="82"/>
  <c r="D144" i="82"/>
  <c r="D148" i="82"/>
  <c r="H11" i="82"/>
  <c r="L11" i="82"/>
  <c r="D35" i="82"/>
  <c r="D44" i="82"/>
  <c r="D47" i="82"/>
  <c r="D63" i="82"/>
  <c r="D85" i="82"/>
  <c r="D115" i="82"/>
  <c r="D86" i="82"/>
  <c r="D98" i="82"/>
  <c r="D135" i="82"/>
  <c r="D139" i="82"/>
  <c r="D147" i="82"/>
  <c r="D151" i="82"/>
  <c r="M11" i="82"/>
  <c r="D17" i="82"/>
  <c r="Q11" i="82"/>
  <c r="D46" i="82"/>
  <c r="D54" i="82"/>
  <c r="D129" i="82"/>
  <c r="D152" i="82"/>
  <c r="D16" i="82"/>
  <c r="D62" i="82"/>
  <c r="D70" i="82"/>
  <c r="D82" i="82"/>
  <c r="D87" i="82"/>
  <c r="D94" i="82"/>
  <c r="D106" i="82"/>
  <c r="D111" i="82"/>
  <c r="D118" i="82"/>
  <c r="D123" i="82"/>
  <c r="D126" i="82"/>
  <c r="N11" i="82"/>
  <c r="D12" i="82"/>
  <c r="D29" i="82"/>
  <c r="D138" i="82"/>
  <c r="D142" i="82"/>
  <c r="D150" i="82"/>
  <c r="D15" i="82"/>
  <c r="D27" i="82"/>
  <c r="D39" i="82"/>
  <c r="D51" i="82"/>
  <c r="D75" i="82"/>
  <c r="D99" i="82"/>
  <c r="D56" i="82"/>
  <c r="D80" i="82"/>
  <c r="D92" i="82"/>
  <c r="D104" i="82"/>
  <c r="D116" i="82"/>
  <c r="D128" i="82"/>
  <c r="D140" i="82"/>
  <c r="D37" i="82"/>
  <c r="D61" i="82"/>
  <c r="D73" i="82"/>
  <c r="D133" i="82"/>
  <c r="D145" i="82"/>
  <c r="D18" i="82"/>
  <c r="D30" i="82"/>
  <c r="D42" i="82"/>
  <c r="D66" i="82"/>
  <c r="D90" i="82"/>
  <c r="D102" i="82"/>
  <c r="D71" i="82"/>
  <c r="D83" i="82"/>
  <c r="D95" i="82"/>
  <c r="D107" i="82"/>
  <c r="D119" i="82"/>
  <c r="D131" i="82"/>
  <c r="D143" i="82"/>
  <c r="D28" i="82"/>
  <c r="D40" i="82"/>
  <c r="D52" i="82"/>
  <c r="D64" i="82"/>
  <c r="D124" i="82"/>
  <c r="E11" i="82"/>
  <c r="D21" i="82"/>
  <c r="D33" i="82"/>
  <c r="D45" i="82"/>
  <c r="D57" i="82"/>
  <c r="D69" i="82"/>
  <c r="D81" i="82"/>
  <c r="D93" i="82"/>
  <c r="D105" i="82"/>
  <c r="D117" i="82"/>
  <c r="D141" i="82"/>
  <c r="D38" i="82"/>
  <c r="D50" i="82"/>
  <c r="D74" i="82"/>
  <c r="D110" i="82"/>
  <c r="D122" i="82"/>
  <c r="D134" i="82"/>
  <c r="D146" i="82"/>
  <c r="D14" i="82"/>
  <c r="D11" i="82" l="1"/>
  <c r="D149" i="79" l="1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G34" i="79"/>
  <c r="F34" i="79"/>
  <c r="E34" i="79"/>
  <c r="G33" i="79"/>
  <c r="F33" i="79"/>
  <c r="E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34" i="79" l="1"/>
  <c r="F7" i="79"/>
  <c r="D33" i="79"/>
  <c r="G7" i="79"/>
  <c r="D7" i="79"/>
  <c r="E7" i="79"/>
  <c r="AG91" i="60" l="1"/>
  <c r="AI91" i="60" s="1"/>
  <c r="C91" i="60"/>
  <c r="AG90" i="60"/>
  <c r="C90" i="60"/>
  <c r="AH89" i="60"/>
  <c r="AF89" i="60"/>
  <c r="AE89" i="60"/>
  <c r="AD89" i="60"/>
  <c r="AC89" i="60"/>
  <c r="AB89" i="60"/>
  <c r="AA89" i="60"/>
  <c r="Z89" i="60"/>
  <c r="Y89" i="60"/>
  <c r="X89" i="60"/>
  <c r="V89" i="60"/>
  <c r="U89" i="60"/>
  <c r="T89" i="60"/>
  <c r="S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AG88" i="60"/>
  <c r="AG87" i="60" s="1"/>
  <c r="C88" i="60"/>
  <c r="AH87" i="60"/>
  <c r="AF87" i="60"/>
  <c r="AE87" i="60"/>
  <c r="AD87" i="60"/>
  <c r="AC87" i="60"/>
  <c r="AB87" i="60"/>
  <c r="AA87" i="60"/>
  <c r="Z87" i="60"/>
  <c r="Y87" i="60"/>
  <c r="X87" i="60"/>
  <c r="V87" i="60"/>
  <c r="U87" i="60"/>
  <c r="T87" i="60"/>
  <c r="S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D87" i="60"/>
  <c r="D86" i="60"/>
  <c r="AG86" i="60" s="1"/>
  <c r="AI86" i="60" s="1"/>
  <c r="C86" i="60"/>
  <c r="L85" i="60"/>
  <c r="L84" i="60" s="1"/>
  <c r="D85" i="60"/>
  <c r="C85" i="60"/>
  <c r="AH84" i="60"/>
  <c r="AF84" i="60"/>
  <c r="AE84" i="60"/>
  <c r="AD84" i="60"/>
  <c r="AC84" i="60"/>
  <c r="AB84" i="60"/>
  <c r="AA84" i="60"/>
  <c r="Z84" i="60"/>
  <c r="Y84" i="60"/>
  <c r="X84" i="60"/>
  <c r="V84" i="60"/>
  <c r="U84" i="60"/>
  <c r="T84" i="60"/>
  <c r="S84" i="60"/>
  <c r="Q84" i="60"/>
  <c r="P84" i="60"/>
  <c r="O84" i="60"/>
  <c r="N84" i="60"/>
  <c r="M84" i="60"/>
  <c r="K84" i="60"/>
  <c r="J84" i="60"/>
  <c r="I84" i="60"/>
  <c r="H84" i="60"/>
  <c r="G84" i="60"/>
  <c r="F84" i="60"/>
  <c r="E84" i="60"/>
  <c r="AG83" i="60"/>
  <c r="AI83" i="60" s="1"/>
  <c r="C83" i="60"/>
  <c r="D82" i="60"/>
  <c r="D81" i="60" s="1"/>
  <c r="C82" i="60"/>
  <c r="AH81" i="60"/>
  <c r="AF81" i="60"/>
  <c r="AE81" i="60"/>
  <c r="AD81" i="60"/>
  <c r="AC81" i="60"/>
  <c r="AB81" i="60"/>
  <c r="AA81" i="60"/>
  <c r="Z81" i="60"/>
  <c r="Y81" i="60"/>
  <c r="X81" i="60"/>
  <c r="V81" i="60"/>
  <c r="U81" i="60"/>
  <c r="T81" i="60"/>
  <c r="S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0" i="60"/>
  <c r="AG80" i="60" s="1"/>
  <c r="AI80" i="60" s="1"/>
  <c r="C80" i="60"/>
  <c r="P79" i="60"/>
  <c r="O79" i="60"/>
  <c r="E79" i="60"/>
  <c r="D79" i="60"/>
  <c r="C79" i="60"/>
  <c r="AH78" i="60"/>
  <c r="AH75" i="60" s="1"/>
  <c r="X75" i="60"/>
  <c r="T75" i="60"/>
  <c r="P78" i="60"/>
  <c r="O78" i="60"/>
  <c r="N78" i="60"/>
  <c r="J78" i="60"/>
  <c r="J75" i="60" s="1"/>
  <c r="E78" i="60"/>
  <c r="D78" i="60"/>
  <c r="C78" i="60"/>
  <c r="E77" i="60"/>
  <c r="D77" i="60"/>
  <c r="C77" i="60"/>
  <c r="N76" i="60"/>
  <c r="L76" i="60"/>
  <c r="L75" i="60" s="1"/>
  <c r="E76" i="60"/>
  <c r="D76" i="60"/>
  <c r="C76" i="60"/>
  <c r="AF75" i="60"/>
  <c r="AE75" i="60"/>
  <c r="AD75" i="60"/>
  <c r="AC75" i="60"/>
  <c r="AB75" i="60"/>
  <c r="AA75" i="60"/>
  <c r="Z75" i="60"/>
  <c r="Y75" i="60"/>
  <c r="V75" i="60"/>
  <c r="U75" i="60"/>
  <c r="S75" i="60"/>
  <c r="Q75" i="60"/>
  <c r="M75" i="60"/>
  <c r="K75" i="60"/>
  <c r="I75" i="60"/>
  <c r="H75" i="60"/>
  <c r="G75" i="60"/>
  <c r="F75" i="60"/>
  <c r="D74" i="60"/>
  <c r="AG74" i="60" s="1"/>
  <c r="AI74" i="60" s="1"/>
  <c r="C74" i="60"/>
  <c r="D73" i="60"/>
  <c r="C73" i="60"/>
  <c r="AH72" i="60"/>
  <c r="AF72" i="60"/>
  <c r="AE72" i="60"/>
  <c r="AD72" i="60"/>
  <c r="AC72" i="60"/>
  <c r="AB72" i="60"/>
  <c r="AA72" i="60"/>
  <c r="Z72" i="60"/>
  <c r="Y72" i="60"/>
  <c r="X72" i="60"/>
  <c r="V72" i="60"/>
  <c r="U72" i="60"/>
  <c r="T72" i="60"/>
  <c r="S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G71" i="60"/>
  <c r="AG71" i="60" s="1"/>
  <c r="AI71" i="60" s="1"/>
  <c r="C71" i="60"/>
  <c r="V70" i="60"/>
  <c r="P70" i="60"/>
  <c r="P54" i="60" s="1"/>
  <c r="E70" i="60"/>
  <c r="D70" i="60"/>
  <c r="C70" i="60"/>
  <c r="G69" i="60"/>
  <c r="AG69" i="60" s="1"/>
  <c r="AI69" i="60" s="1"/>
  <c r="C69" i="60"/>
  <c r="AG68" i="60"/>
  <c r="AI68" i="60" s="1"/>
  <c r="C68" i="60"/>
  <c r="AG67" i="60"/>
  <c r="AI67" i="60" s="1"/>
  <c r="C67" i="60"/>
  <c r="G66" i="60"/>
  <c r="AG66" i="60" s="1"/>
  <c r="AI66" i="60" s="1"/>
  <c r="C66" i="60"/>
  <c r="G65" i="60"/>
  <c r="AG65" i="60" s="1"/>
  <c r="AI65" i="60" s="1"/>
  <c r="C65" i="60"/>
  <c r="G64" i="60"/>
  <c r="AG64" i="60" s="1"/>
  <c r="AI64" i="60" s="1"/>
  <c r="C64" i="60"/>
  <c r="AE63" i="60"/>
  <c r="V63" i="60"/>
  <c r="U63" i="60"/>
  <c r="S63" i="60"/>
  <c r="G63" i="60"/>
  <c r="E63" i="60"/>
  <c r="D63" i="60"/>
  <c r="C63" i="60"/>
  <c r="G62" i="60"/>
  <c r="E62" i="60"/>
  <c r="C62" i="60"/>
  <c r="AF61" i="60"/>
  <c r="AF54" i="60" s="1"/>
  <c r="G61" i="60"/>
  <c r="E61" i="60"/>
  <c r="C61" i="60"/>
  <c r="AE60" i="60"/>
  <c r="Y60" i="60"/>
  <c r="S60" i="60"/>
  <c r="E60" i="60"/>
  <c r="C60" i="60"/>
  <c r="S59" i="60"/>
  <c r="E59" i="60"/>
  <c r="D59" i="60"/>
  <c r="C59" i="60"/>
  <c r="E58" i="60"/>
  <c r="AG58" i="60" s="1"/>
  <c r="AI58" i="60" s="1"/>
  <c r="C58" i="60"/>
  <c r="AE57" i="60"/>
  <c r="Y57" i="60"/>
  <c r="S57" i="60"/>
  <c r="E57" i="60"/>
  <c r="C57" i="60"/>
  <c r="T56" i="60"/>
  <c r="T54" i="60" s="1"/>
  <c r="E56" i="60"/>
  <c r="C56" i="60"/>
  <c r="U55" i="60"/>
  <c r="S55" i="60"/>
  <c r="G55" i="60"/>
  <c r="C55" i="60"/>
  <c r="AH54" i="60"/>
  <c r="AD54" i="60"/>
  <c r="AC54" i="60"/>
  <c r="AB54" i="60"/>
  <c r="AA54" i="60"/>
  <c r="Z54" i="60"/>
  <c r="X54" i="60"/>
  <c r="Q54" i="60"/>
  <c r="O54" i="60"/>
  <c r="N54" i="60"/>
  <c r="M54" i="60"/>
  <c r="L54" i="60"/>
  <c r="K54" i="60"/>
  <c r="J54" i="60"/>
  <c r="I54" i="60"/>
  <c r="H54" i="60"/>
  <c r="F54" i="60"/>
  <c r="AG53" i="60"/>
  <c r="AG52" i="60" s="1"/>
  <c r="C53" i="60"/>
  <c r="AH52" i="60"/>
  <c r="AF52" i="60"/>
  <c r="AE52" i="60"/>
  <c r="AD52" i="60"/>
  <c r="AC52" i="60"/>
  <c r="AB52" i="60"/>
  <c r="AA52" i="60"/>
  <c r="Z52" i="60"/>
  <c r="Y52" i="60"/>
  <c r="X52" i="60"/>
  <c r="V52" i="60"/>
  <c r="U52" i="60"/>
  <c r="T52" i="60"/>
  <c r="S52" i="60"/>
  <c r="Q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AG51" i="60"/>
  <c r="AI51" i="60" s="1"/>
  <c r="C51" i="60"/>
  <c r="AG50" i="60"/>
  <c r="AI50" i="60" s="1"/>
  <c r="C50" i="60"/>
  <c r="G49" i="60"/>
  <c r="G46" i="60" s="1"/>
  <c r="C49" i="60"/>
  <c r="AG48" i="60"/>
  <c r="AI48" i="60" s="1"/>
  <c r="C48" i="60"/>
  <c r="AG47" i="60"/>
  <c r="AI47" i="60" s="1"/>
  <c r="C47" i="60"/>
  <c r="AH46" i="60"/>
  <c r="AF46" i="60"/>
  <c r="AE46" i="60"/>
  <c r="AD46" i="60"/>
  <c r="AC46" i="60"/>
  <c r="AB46" i="60"/>
  <c r="AA46" i="60"/>
  <c r="Z46" i="60"/>
  <c r="Y46" i="60"/>
  <c r="X46" i="60"/>
  <c r="V46" i="60"/>
  <c r="U46" i="60"/>
  <c r="T46" i="60"/>
  <c r="S46" i="60"/>
  <c r="Q46" i="60"/>
  <c r="P46" i="60"/>
  <c r="O46" i="60"/>
  <c r="N46" i="60"/>
  <c r="M46" i="60"/>
  <c r="L46" i="60"/>
  <c r="K46" i="60"/>
  <c r="J46" i="60"/>
  <c r="I46" i="60"/>
  <c r="H46" i="60"/>
  <c r="F46" i="60"/>
  <c r="E46" i="60"/>
  <c r="D46" i="60"/>
  <c r="AA45" i="60"/>
  <c r="T45" i="60"/>
  <c r="C45" i="60"/>
  <c r="AG44" i="60"/>
  <c r="AI44" i="60" s="1"/>
  <c r="C44" i="60"/>
  <c r="AH43" i="60"/>
  <c r="AH42" i="60" s="1"/>
  <c r="AC43" i="60"/>
  <c r="AC42" i="60" s="1"/>
  <c r="AA43" i="60"/>
  <c r="Z43" i="60"/>
  <c r="Z42" i="60" s="1"/>
  <c r="Y43" i="60"/>
  <c r="T43" i="60"/>
  <c r="S43" i="60"/>
  <c r="M43" i="60"/>
  <c r="M42" i="60" s="1"/>
  <c r="C43" i="60"/>
  <c r="AF42" i="60"/>
  <c r="AE42" i="60"/>
  <c r="AD42" i="60"/>
  <c r="AB42" i="60"/>
  <c r="Y42" i="60"/>
  <c r="X42" i="60"/>
  <c r="V42" i="60"/>
  <c r="U42" i="60"/>
  <c r="Q42" i="60"/>
  <c r="P42" i="60"/>
  <c r="O42" i="60"/>
  <c r="N42" i="60"/>
  <c r="L42" i="60"/>
  <c r="K42" i="60"/>
  <c r="J42" i="60"/>
  <c r="I42" i="60"/>
  <c r="H42" i="60"/>
  <c r="G42" i="60"/>
  <c r="F42" i="60"/>
  <c r="E42" i="60"/>
  <c r="D42" i="60"/>
  <c r="AD41" i="60"/>
  <c r="C41" i="60"/>
  <c r="AG40" i="60"/>
  <c r="AI40" i="60" s="1"/>
  <c r="AD40" i="60"/>
  <c r="C40" i="60"/>
  <c r="AD39" i="60"/>
  <c r="AG39" i="60" s="1"/>
  <c r="C39" i="60"/>
  <c r="AH38" i="60"/>
  <c r="AF38" i="60"/>
  <c r="AE38" i="60"/>
  <c r="AC38" i="60"/>
  <c r="AB38" i="60"/>
  <c r="AA38" i="60"/>
  <c r="Z38" i="60"/>
  <c r="Y38" i="60"/>
  <c r="X38" i="60"/>
  <c r="V38" i="60"/>
  <c r="U38" i="60"/>
  <c r="T38" i="60"/>
  <c r="S38" i="60"/>
  <c r="Q38" i="60"/>
  <c r="P38" i="60"/>
  <c r="O38" i="60"/>
  <c r="N38" i="60"/>
  <c r="M38" i="60"/>
  <c r="L38" i="60"/>
  <c r="K38" i="60"/>
  <c r="J38" i="60"/>
  <c r="I38" i="60"/>
  <c r="H38" i="60"/>
  <c r="G38" i="60"/>
  <c r="F38" i="60"/>
  <c r="E38" i="60"/>
  <c r="D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D33" i="60"/>
  <c r="C33" i="60"/>
  <c r="AG32" i="60"/>
  <c r="AI32" i="60" s="1"/>
  <c r="C32" i="60"/>
  <c r="D31" i="60"/>
  <c r="AG31" i="60" s="1"/>
  <c r="C31" i="60"/>
  <c r="AH30" i="60"/>
  <c r="AF30" i="60"/>
  <c r="AE30" i="60"/>
  <c r="AD30" i="60"/>
  <c r="AC30" i="60"/>
  <c r="AB30" i="60"/>
  <c r="AA30" i="60"/>
  <c r="Z30" i="60"/>
  <c r="Y30" i="60"/>
  <c r="X30" i="60"/>
  <c r="V30" i="60"/>
  <c r="U30" i="60"/>
  <c r="T30" i="60"/>
  <c r="S30" i="60"/>
  <c r="Q30" i="60"/>
  <c r="P30" i="60"/>
  <c r="O30" i="60"/>
  <c r="N30" i="60"/>
  <c r="M30" i="60"/>
  <c r="L30" i="60"/>
  <c r="K30" i="60"/>
  <c r="J30" i="60"/>
  <c r="I30" i="60"/>
  <c r="G30" i="60"/>
  <c r="F30" i="60"/>
  <c r="E30" i="60"/>
  <c r="Q29" i="60"/>
  <c r="C29" i="60"/>
  <c r="Q28" i="60"/>
  <c r="AG28" i="60" s="1"/>
  <c r="C28" i="60"/>
  <c r="AH27" i="60"/>
  <c r="AF27" i="60"/>
  <c r="AE27" i="60"/>
  <c r="AD27" i="60"/>
  <c r="AC27" i="60"/>
  <c r="AB27" i="60"/>
  <c r="AA27" i="60"/>
  <c r="Z27" i="60"/>
  <c r="Y27" i="60"/>
  <c r="X27" i="60"/>
  <c r="V27" i="60"/>
  <c r="U27" i="60"/>
  <c r="T27" i="60"/>
  <c r="S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E26" i="60"/>
  <c r="D26" i="60"/>
  <c r="C26" i="60"/>
  <c r="AG25" i="60"/>
  <c r="AI25" i="60" s="1"/>
  <c r="C25" i="60"/>
  <c r="AG24" i="60"/>
  <c r="AI24" i="60" s="1"/>
  <c r="C24" i="60"/>
  <c r="E23" i="60"/>
  <c r="E20" i="60" s="1"/>
  <c r="D23" i="60"/>
  <c r="C23" i="60"/>
  <c r="AG22" i="60"/>
  <c r="AI22" i="60" s="1"/>
  <c r="C22" i="60"/>
  <c r="T21" i="60"/>
  <c r="T20" i="60" s="1"/>
  <c r="H21" i="60"/>
  <c r="H20" i="60" s="1"/>
  <c r="D21" i="60"/>
  <c r="C21" i="60"/>
  <c r="AH20" i="60"/>
  <c r="AF20" i="60"/>
  <c r="AE20" i="60"/>
  <c r="AD20" i="60"/>
  <c r="AC20" i="60"/>
  <c r="AB20" i="60"/>
  <c r="AA20" i="60"/>
  <c r="Z20" i="60"/>
  <c r="Y20" i="60"/>
  <c r="X20" i="60"/>
  <c r="V20" i="60"/>
  <c r="U20" i="60"/>
  <c r="S20" i="60"/>
  <c r="Q20" i="60"/>
  <c r="P20" i="60"/>
  <c r="O20" i="60"/>
  <c r="N20" i="60"/>
  <c r="M20" i="60"/>
  <c r="L20" i="60"/>
  <c r="K20" i="60"/>
  <c r="J20" i="60"/>
  <c r="I20" i="60"/>
  <c r="G20" i="60"/>
  <c r="F20" i="60"/>
  <c r="AG19" i="60"/>
  <c r="AI19" i="60" s="1"/>
  <c r="C19" i="60"/>
  <c r="AG18" i="60"/>
  <c r="AI18" i="60" s="1"/>
  <c r="C18" i="60"/>
  <c r="AH17" i="60"/>
  <c r="AF17" i="60"/>
  <c r="AE17" i="60"/>
  <c r="AD17" i="60"/>
  <c r="AC17" i="60"/>
  <c r="AB17" i="60"/>
  <c r="AA17" i="60"/>
  <c r="Z17" i="60"/>
  <c r="Y17" i="60"/>
  <c r="X17" i="60"/>
  <c r="V17" i="60"/>
  <c r="U17" i="60"/>
  <c r="T17" i="60"/>
  <c r="S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AG16" i="60"/>
  <c r="AG15" i="60" s="1"/>
  <c r="C16" i="60"/>
  <c r="AH15" i="60"/>
  <c r="AF15" i="60"/>
  <c r="AE15" i="60"/>
  <c r="AD15" i="60"/>
  <c r="AC15" i="60"/>
  <c r="AB15" i="60"/>
  <c r="AA15" i="60"/>
  <c r="Z15" i="60"/>
  <c r="Y15" i="60"/>
  <c r="X15" i="60"/>
  <c r="V15" i="60"/>
  <c r="U15" i="60"/>
  <c r="T15" i="60"/>
  <c r="S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AG14" i="60"/>
  <c r="AI14" i="60" s="1"/>
  <c r="AI13" i="60" s="1"/>
  <c r="C14" i="60"/>
  <c r="AH13" i="60"/>
  <c r="AF13" i="60"/>
  <c r="AE13" i="60"/>
  <c r="AD13" i="60"/>
  <c r="AC13" i="60"/>
  <c r="AB13" i="60"/>
  <c r="AA13" i="60"/>
  <c r="Z13" i="60"/>
  <c r="Y13" i="60"/>
  <c r="X13" i="60"/>
  <c r="V13" i="60"/>
  <c r="U13" i="60"/>
  <c r="T13" i="60"/>
  <c r="S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AG12" i="60"/>
  <c r="AI12" i="60" s="1"/>
  <c r="C12" i="60"/>
  <c r="AG11" i="60"/>
  <c r="AI11" i="60" s="1"/>
  <c r="C11" i="60"/>
  <c r="AH10" i="60"/>
  <c r="AF10" i="60"/>
  <c r="AE10" i="60"/>
  <c r="AD10" i="60"/>
  <c r="AC10" i="60"/>
  <c r="AB10" i="60"/>
  <c r="AA10" i="60"/>
  <c r="Z10" i="60"/>
  <c r="Y10" i="60"/>
  <c r="X10" i="60"/>
  <c r="V10" i="60"/>
  <c r="U10" i="60"/>
  <c r="T10" i="60"/>
  <c r="S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D10" i="60"/>
  <c r="AG9" i="60"/>
  <c r="AI9" i="60" s="1"/>
  <c r="AI8" i="60" s="1"/>
  <c r="C9" i="60"/>
  <c r="AH8" i="60"/>
  <c r="AF8" i="60"/>
  <c r="AE8" i="60"/>
  <c r="AD8" i="60"/>
  <c r="AC8" i="60"/>
  <c r="AB8" i="60"/>
  <c r="AA8" i="60"/>
  <c r="Z8" i="60"/>
  <c r="Y8" i="60"/>
  <c r="X8" i="60"/>
  <c r="V8" i="60"/>
  <c r="U8" i="60"/>
  <c r="T8" i="60"/>
  <c r="S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AG7" i="60"/>
  <c r="AI7" i="60" s="1"/>
  <c r="C7" i="60"/>
  <c r="AG6" i="60"/>
  <c r="C6" i="60"/>
  <c r="AH5" i="60"/>
  <c r="AF5" i="60"/>
  <c r="AE5" i="60"/>
  <c r="AD5" i="60"/>
  <c r="AC5" i="60"/>
  <c r="AB5" i="60"/>
  <c r="AA5" i="60"/>
  <c r="Z5" i="60"/>
  <c r="Y5" i="60"/>
  <c r="X5" i="60"/>
  <c r="V5" i="60"/>
  <c r="U5" i="60"/>
  <c r="T5" i="60"/>
  <c r="S5" i="60"/>
  <c r="Q5" i="60"/>
  <c r="P5" i="60"/>
  <c r="O5" i="60"/>
  <c r="N5" i="60"/>
  <c r="M5" i="60"/>
  <c r="L5" i="60"/>
  <c r="K5" i="60"/>
  <c r="J5" i="60"/>
  <c r="I5" i="60"/>
  <c r="H5" i="60"/>
  <c r="G5" i="60"/>
  <c r="F5" i="60"/>
  <c r="E5" i="60"/>
  <c r="D5" i="60"/>
  <c r="AA42" i="60" l="1"/>
  <c r="AG85" i="60"/>
  <c r="P75" i="60"/>
  <c r="N75" i="60"/>
  <c r="AI16" i="60"/>
  <c r="AI15" i="60" s="1"/>
  <c r="AD38" i="60"/>
  <c r="AG62" i="60"/>
  <c r="AI62" i="60" s="1"/>
  <c r="D54" i="60"/>
  <c r="AG8" i="60"/>
  <c r="AG55" i="60"/>
  <c r="AI55" i="60" s="1"/>
  <c r="AG89" i="60"/>
  <c r="AG26" i="60"/>
  <c r="AI26" i="60" s="1"/>
  <c r="AG23" i="60"/>
  <c r="AI23" i="60" s="1"/>
  <c r="AC92" i="60"/>
  <c r="E75" i="60"/>
  <c r="AI10" i="60"/>
  <c r="Q27" i="60"/>
  <c r="Q92" i="60" s="1"/>
  <c r="T42" i="60"/>
  <c r="AG13" i="60"/>
  <c r="V54" i="60"/>
  <c r="V92" i="60" s="1"/>
  <c r="AI17" i="60"/>
  <c r="D72" i="60"/>
  <c r="AG60" i="60"/>
  <c r="AI60" i="60" s="1"/>
  <c r="AG29" i="60"/>
  <c r="AI29" i="60" s="1"/>
  <c r="AG43" i="60"/>
  <c r="AI43" i="60" s="1"/>
  <c r="D20" i="60"/>
  <c r="D30" i="60"/>
  <c r="AG41" i="60"/>
  <c r="AI41" i="60" s="1"/>
  <c r="AI53" i="60"/>
  <c r="AI52" i="60" s="1"/>
  <c r="AG57" i="60"/>
  <c r="AI57" i="60" s="1"/>
  <c r="M92" i="60"/>
  <c r="AD92" i="60"/>
  <c r="AG33" i="60"/>
  <c r="AI33" i="60" s="1"/>
  <c r="H92" i="60"/>
  <c r="P92" i="60"/>
  <c r="X92" i="60"/>
  <c r="AF92" i="60"/>
  <c r="S54" i="60"/>
  <c r="AG59" i="60"/>
  <c r="AI59" i="60" s="1"/>
  <c r="AG61" i="60"/>
  <c r="AI61" i="60" s="1"/>
  <c r="AG63" i="60"/>
  <c r="AI63" i="60" s="1"/>
  <c r="AG77" i="60"/>
  <c r="AI77" i="60" s="1"/>
  <c r="AG79" i="60"/>
  <c r="AI79" i="60" s="1"/>
  <c r="D84" i="60"/>
  <c r="I92" i="60"/>
  <c r="AH92" i="60"/>
  <c r="U54" i="60"/>
  <c r="U92" i="60" s="1"/>
  <c r="AG70" i="60"/>
  <c r="AI70" i="60" s="1"/>
  <c r="J92" i="60"/>
  <c r="Z92" i="60"/>
  <c r="AG45" i="60"/>
  <c r="AI45" i="60" s="1"/>
  <c r="AE54" i="60"/>
  <c r="AE92" i="60" s="1"/>
  <c r="D75" i="60"/>
  <c r="O75" i="60"/>
  <c r="O92" i="60" s="1"/>
  <c r="AI90" i="60"/>
  <c r="F92" i="60"/>
  <c r="K92" i="60"/>
  <c r="AA92" i="60"/>
  <c r="AG5" i="60"/>
  <c r="AG17" i="60"/>
  <c r="Y54" i="60"/>
  <c r="Y92" i="60" s="1"/>
  <c r="L92" i="60"/>
  <c r="T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I89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S42" i="60"/>
  <c r="E54" i="60"/>
  <c r="E92" i="60" s="1"/>
  <c r="AG76" i="60"/>
  <c r="G54" i="60"/>
  <c r="G92" i="60" s="1"/>
  <c r="O6" i="35"/>
  <c r="AG27" i="60" l="1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T20" i="56"/>
  <c r="S20" i="56"/>
  <c r="S24" i="56" s="1"/>
  <c r="Q20" i="56"/>
  <c r="E20" i="56"/>
  <c r="E24" i="56" s="1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T8" i="56"/>
  <c r="O8" i="56" s="1"/>
  <c r="N8" i="56"/>
  <c r="J8" i="56"/>
  <c r="G8" i="56"/>
  <c r="G24" i="56" s="1"/>
  <c r="G26" i="56" s="1"/>
  <c r="K8" i="56" l="1"/>
  <c r="D8" i="56" s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T8" i="35" s="1"/>
  <c r="S9" i="35"/>
  <c r="T9" i="35" s="1"/>
  <c r="S10" i="35"/>
  <c r="T10" i="35" s="1"/>
  <c r="S11" i="35"/>
  <c r="T11" i="35" s="1"/>
  <c r="S12" i="35"/>
  <c r="T12" i="35" s="1"/>
  <c r="S13" i="35"/>
  <c r="T13" i="35" s="1"/>
  <c r="S14" i="35"/>
  <c r="T14" i="35" s="1"/>
  <c r="S15" i="35"/>
  <c r="T15" i="35" s="1"/>
  <c r="S16" i="35"/>
  <c r="T16" i="35" s="1"/>
  <c r="S17" i="35"/>
  <c r="T17" i="35" s="1"/>
  <c r="S18" i="35"/>
  <c r="T18" i="35" s="1"/>
  <c r="S19" i="35"/>
  <c r="T19" i="35" s="1"/>
  <c r="S20" i="35"/>
  <c r="T20" i="35" s="1"/>
  <c r="S21" i="35"/>
  <c r="T21" i="35" s="1"/>
  <c r="S22" i="35"/>
  <c r="S23" i="35"/>
  <c r="S24" i="35"/>
  <c r="S25" i="35"/>
  <c r="T25" i="35" s="1"/>
  <c r="S26" i="35"/>
  <c r="T26" i="35" s="1"/>
  <c r="T27" i="35"/>
  <c r="S7" i="35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D98" i="13" l="1"/>
  <c r="E98" i="13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4" i="31"/>
  <c r="G85" i="31"/>
  <c r="G86" i="31"/>
  <c r="G87" i="31"/>
  <c r="G88" i="31"/>
  <c r="G89" i="31"/>
  <c r="G90" i="31"/>
  <c r="G91" i="31"/>
  <c r="G8" i="31" l="1"/>
  <c r="D7" i="31"/>
  <c r="E6" i="44" l="1"/>
  <c r="E4" i="44" s="1"/>
  <c r="D6" i="44"/>
  <c r="D4" i="44" s="1"/>
  <c r="H29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5" i="30"/>
  <c r="L46" i="30"/>
  <c r="L47" i="30"/>
  <c r="L48" i="30"/>
  <c r="L49" i="30"/>
  <c r="L50" i="30"/>
  <c r="L51" i="30"/>
  <c r="L52" i="30"/>
  <c r="L53" i="30"/>
  <c r="L54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L7" i="30" l="1"/>
  <c r="R6" i="35" l="1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T24" i="35" s="1"/>
  <c r="J23" i="35"/>
  <c r="L23" i="35" s="1"/>
  <c r="T23" i="35" s="1"/>
  <c r="J22" i="35"/>
  <c r="L22" i="35" s="1"/>
  <c r="T22" i="35" s="1"/>
  <c r="T7" i="35"/>
  <c r="L6" i="35" l="1"/>
  <c r="J6" i="35"/>
  <c r="S6" i="35"/>
  <c r="T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E98" i="31" s="1"/>
  <c r="D5" i="31"/>
  <c r="G7" i="31" l="1"/>
  <c r="G5" i="31" s="1"/>
  <c r="H54" i="30" l="1"/>
  <c r="H53" i="30"/>
  <c r="H52" i="30"/>
  <c r="H51" i="30"/>
  <c r="H50" i="30"/>
  <c r="H49" i="30"/>
  <c r="H48" i="30"/>
  <c r="H47" i="30"/>
  <c r="H46" i="30"/>
  <c r="H45" i="30"/>
  <c r="H42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K5" i="30" l="1"/>
  <c r="G5" i="30"/>
  <c r="E5" i="30"/>
  <c r="F5" i="30"/>
  <c r="D5" i="30"/>
  <c r="J5" i="30"/>
  <c r="H7" i="30"/>
  <c r="I5" i="30"/>
  <c r="H5" i="30" l="1"/>
  <c r="L5" i="30"/>
  <c r="C8" i="27" l="1"/>
  <c r="B8" i="27"/>
  <c r="D7" i="27"/>
  <c r="D6" i="27"/>
  <c r="D5" i="27"/>
  <c r="D8" i="27" l="1"/>
  <c r="L8" i="5" l="1"/>
  <c r="K8" i="5"/>
  <c r="I8" i="5"/>
  <c r="H8" i="5"/>
  <c r="G8" i="5" l="1"/>
  <c r="J8" i="5"/>
  <c r="J28" i="5" l="1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<sst xmlns="http://schemas.openxmlformats.org/spreadsheetml/2006/main" count="6039" uniqueCount="829">
  <si>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</si>
  <si>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</si>
  <si>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</si>
  <si>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</si>
  <si>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</si>
  <si>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</si>
  <si>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</si>
  <si>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</si>
  <si>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</si>
  <si>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</si>
  <si>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</si>
  <si>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</si>
  <si>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</si>
  <si>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</si>
  <si>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</si>
  <si>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</si>
  <si>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</si>
  <si>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</si>
  <si>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</si>
  <si>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</si>
  <si>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</si>
  <si>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</si>
  <si>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</si>
  <si>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</si>
  <si>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</si>
  <si>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</si>
  <si>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</si>
  <si>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</si>
  <si>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</si>
  <si>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</si>
  <si>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</si>
  <si>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</si>
  <si>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</si>
  <si>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</si>
  <si>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</si>
  <si>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</si>
  <si>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</si>
  <si>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</si>
  <si>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</si>
  <si>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</si>
  <si>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</si>
  <si>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</si>
  <si>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</si>
  <si>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</si>
  <si>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</si>
  <si>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</si>
  <si>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</si>
  <si>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</si>
  <si>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</si>
  <si>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</si>
  <si>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</si>
  <si>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</si>
  <si>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</si>
  <si>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</si>
  <si>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</si>
  <si>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</si>
  <si>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</si>
  <si>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</si>
  <si>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</si>
  <si>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</si>
  <si>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</si>
  <si>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</si>
  <si>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</si>
  <si>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</si>
  <si>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</si>
  <si>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</si>
  <si>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</si>
  <si>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</si>
  <si>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</si>
  <si>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</si>
  <si>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</si>
  <si>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</si>
  <si>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</si>
  <si>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</si>
  <si>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</si>
  <si>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</si>
  <si>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</si>
  <si>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</si>
  <si>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</si>
  <si>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</si>
  <si>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</si>
  <si>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</si>
  <si>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</si>
  <si>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</si>
  <si>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</si>
  <si>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</si>
  <si>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</si>
  <si>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</si>
  <si>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</si>
  <si>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</si>
  <si>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</si>
  <si>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</si>
  <si>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</si>
  <si>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</si>
  <si>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</si>
  <si>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</si>
  <si>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</si>
  <si>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</si>
  <si>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</si>
  <si>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</si>
  <si>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</si>
  <si>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</si>
  <si>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</si>
  <si>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</si>
  <si>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</si>
  <si>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</si>
  <si>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</si>
  <si>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</si>
  <si>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</si>
  <si>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</si>
  <si>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</si>
  <si>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</si>
  <si>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</si>
  <si>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</si>
  <si>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</si>
  <si>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</si>
  <si>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</si>
  <si>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</si>
  <si>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</si>
  <si>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</si>
  <si>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</si>
  <si>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</si>
  <si>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</si>
  <si>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</si>
  <si>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</si>
  <si>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</si>
  <si>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</si>
  <si>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</si>
  <si>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</si>
  <si>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</si>
  <si>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</si>
  <si>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</si>
  <si>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</si>
  <si>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</si>
  <si>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</si>
  <si>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</si>
  <si>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</si>
  <si>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</si>
  <si>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</si>
  <si>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</si>
  <si>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</si>
  <si>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</si>
  <si>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</si>
  <si>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</si>
  <si>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</si>
  <si>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</si>
  <si>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</si>
  <si>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</si>
  <si>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</si>
  <si>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</si>
  <si>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</si>
  <si>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</si>
  <si>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</si>
  <si>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</si>
  <si>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</si>
  <si>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</si>
  <si>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</si>
  <si>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</si>
  <si>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</si>
  <si>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</si>
  <si>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</si>
  <si>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</si>
  <si>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</si>
  <si>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</si>
  <si>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</si>
  <si>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</si>
  <si>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</si>
  <si>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</si>
  <si>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</si>
  <si>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</si>
  <si>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</si>
  <si>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</si>
  <si>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</si>
  <si>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</si>
  <si>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</si>
  <si>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</si>
  <si>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</si>
  <si>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</si>
  <si>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</si>
  <si>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</si>
  <si>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</si>
  <si>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</si>
  <si>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</si>
  <si>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</si>
  <si>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</si>
  <si>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</si>
  <si>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</si>
  <si>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</si>
  <si>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</si>
  <si>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</si>
  <si>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</si>
  <si>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</si>
  <si>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</si>
  <si>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</si>
  <si>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</si>
  <si>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</si>
  <si>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</si>
  <si>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</si>
  <si>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</si>
  <si>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</si>
  <si>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</si>
  <si>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</si>
  <si>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</si>
  <si>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</si>
  <si>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</si>
  <si>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</si>
  <si>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</si>
  <si>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</si>
  <si>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</si>
  <si>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</si>
  <si>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</si>
  <si>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</si>
  <si>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</si>
  <si>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</si>
  <si>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</si>
  <si>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</si>
  <si>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</si>
  <si>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</si>
  <si>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</si>
  <si>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</si>
  <si>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</si>
  <si>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</si>
  <si>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</si>
  <si>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</si>
  <si>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</si>
  <si>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</si>
  <si>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</si>
  <si>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</si>
  <si>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</si>
  <si>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</si>
  <si>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</si>
  <si>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</si>
  <si>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</si>
  <si>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</si>
  <si>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</si>
  <si>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</si>
  <si>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</si>
  <si>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</si>
  <si>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</si>
  <si>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</si>
  <si>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</si>
  <si>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</si>
  <si>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</si>
  <si>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</si>
  <si>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</si>
  <si>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</si>
  <si>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</si>
  <si>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</si>
  <si>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</si>
  <si>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</si>
  <si>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</si>
  <si>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</si>
  <si>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</si>
  <si>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</si>
  <si>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</si>
  <si>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</si>
  <si>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</si>
  <si>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</si>
  <si>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</si>
  <si>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</si>
  <si>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</si>
  <si>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</si>
  <si>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</si>
  <si>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</si>
  <si>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</si>
  <si>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</si>
  <si>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</si>
  <si>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</si>
  <si>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</si>
  <si>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</si>
  <si>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</si>
  <si>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</si>
  <si>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</si>
  <si>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</si>
  <si>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</si>
  <si>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</si>
  <si>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</si>
  <si>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</si>
  <si>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</si>
  <si>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</si>
  <si>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</si>
  <si>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</si>
  <si>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</si>
  <si>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</si>
  <si>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</si>
  <si>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</si>
  <si>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</si>
  <si>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</si>
  <si>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</si>
  <si>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</si>
  <si>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</si>
  <si>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</si>
  <si>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</si>
  <si>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</si>
  <si>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</si>
  <si>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</si>
  <si>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</si>
  <si>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</si>
  <si>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</si>
  <si>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</si>
  <si>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</si>
  <si>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</si>
  <si>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</si>
  <si>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</si>
  <si>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</si>
  <si>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</si>
  <si>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</si>
  <si>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</si>
  <si>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</si>
  <si>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</si>
  <si>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</si>
  <si>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</si>
  <si>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</si>
  <si>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</si>
  <si>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</si>
  <si>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</si>
  <si>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</si>
  <si>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</si>
  <si>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</si>
  <si>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</si>
  <si>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</si>
  <si>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</si>
  <si>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</si>
  <si>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</si>
  <si>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</si>
  <si>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</si>
  <si>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</si>
  <si>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</si>
  <si>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</si>
  <si>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</si>
  <si>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</si>
  <si>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</si>
  <si>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</si>
  <si>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</si>
  <si>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</si>
  <si>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</si>
  <si>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</si>
  <si>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</si>
  <si>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</si>
  <si>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</si>
  <si>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</si>
  <si>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</si>
  <si>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</si>
  <si>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</si>
  <si>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</si>
  <si>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</si>
  <si>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</si>
  <si>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</si>
  <si>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</si>
  <si>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</si>
  <si>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</si>
  <si>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</si>
  <si>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</si>
  <si>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</si>
  <si>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</si>
  <si>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</si>
  <si>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</si>
  <si>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</si>
  <si>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</si>
  <si>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</si>
  <si>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</si>
  <si>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</si>
  <si>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</si>
  <si>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</si>
  <si>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</si>
  <si>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</si>
  <si>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</si>
  <si>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</si>
  <si>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</si>
  <si>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</si>
  <si>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</si>
  <si>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</si>
  <si>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</si>
  <si>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</si>
  <si>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</si>
  <si>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</si>
  <si>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</si>
  <si>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</si>
  <si>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</si>
  <si>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</si>
  <si>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</si>
  <si>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</si>
  <si>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</si>
  <si>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</si>
  <si>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</si>
  <si>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</si>
  <si>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</si>
  <si>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</si>
  <si>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</si>
  <si>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</si>
  <si>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</si>
  <si>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</si>
  <si>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</si>
  <si>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</si>
  <si>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</si>
  <si>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</si>
  <si>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</si>
  <si>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</si>
  <si>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</si>
  <si>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</si>
  <si>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</si>
  <si>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</si>
  <si>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</si>
  <si>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</si>
  <si>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</si>
  <si>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</si>
  <si>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</si>
  <si>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</si>
  <si>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</si>
  <si>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</si>
  <si>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</si>
  <si>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</si>
  <si>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</si>
  <si>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</si>
  <si>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</si>
  <si>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</si>
  <si>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</si>
  <si>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</si>
  <si>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</si>
  <si>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</si>
  <si>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</si>
  <si>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</si>
  <si>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</si>
  <si>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</si>
  <si>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</si>
  <si>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</si>
  <si>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</si>
  <si>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</si>
  <si>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</si>
  <si>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</si>
  <si>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</si>
  <si>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</si>
  <si>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</si>
  <si>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</si>
  <si>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</si>
  <si>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</si>
  <si>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</si>
  <si>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</si>
  <si>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</si>
  <si>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</si>
  <si>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</si>
  <si>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</si>
  <si>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</si>
  <si>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</si>
  <si>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</si>
  <si>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</si>
  <si>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</si>
  <si>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</si>
  <si>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</si>
  <si>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</si>
  <si>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</si>
  <si>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</si>
  <si>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</si>
  <si>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</si>
  <si>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</si>
  <si>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</si>
  <si>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</si>
  <si>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</si>
  <si>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</si>
  <si>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</si>
  <si>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</si>
  <si>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</si>
  <si>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</si>
  <si>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</si>
  <si>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</si>
  <si>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</si>
  <si>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</si>
  <si>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</si>
  <si>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</si>
  <si>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</si>
  <si>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</si>
  <si>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</si>
  <si>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</si>
  <si>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</si>
  <si>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</si>
  <si>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</si>
  <si>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</si>
  <si>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</si>
  <si>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</si>
  <si>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</si>
  <si>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</si>
  <si>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</si>
  <si>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</si>
  <si>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</si>
  <si>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</si>
  <si>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</si>
  <si>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</si>
  <si>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</si>
  <si>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</si>
  <si>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</si>
  <si>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</si>
  <si>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</si>
  <si>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</si>
  <si>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</si>
  <si>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</si>
  <si>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</si>
  <si>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</si>
  <si>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</si>
  <si>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</si>
  <si>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</si>
  <si>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</si>
  <si>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</si>
  <si>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</si>
  <si>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</si>
  <si>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</si>
  <si>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</si>
  <si>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</si>
  <si>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</si>
  <si>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</si>
  <si>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</si>
  <si>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</si>
  <si>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</si>
  <si>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</si>
  <si>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</si>
  <si>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</si>
  <si>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</si>
  <si>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</si>
  <si>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</si>
  <si>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</si>
  <si>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</si>
  <si>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</si>
  <si>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</si>
  <si>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</si>
  <si>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</si>
  <si>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</si>
  <si>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</si>
  <si>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</si>
  <si>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</si>
  <si>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</si>
  <si>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</si>
  <si>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</si>
  <si>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</si>
  <si>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</si>
  <si>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</si>
  <si>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</si>
  <si>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</si>
  <si>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</si>
  <si>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</si>
  <si>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</si>
  <si>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</si>
  <si>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</si>
  <si>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</si>
  <si>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</si>
  <si>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</si>
  <si>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</si>
  <si>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</si>
  <si>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</si>
  <si>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</si>
  <si>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</si>
  <si>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</si>
  <si>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</si>
  <si>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</si>
  <si>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</si>
  <si>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</si>
  <si>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</si>
  <si>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</si>
  <si>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</si>
  <si>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</si>
  <si>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</si>
  <si>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</si>
  <si>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</si>
  <si>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</si>
  <si>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</si>
  <si>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</si>
  <si>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</si>
  <si>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</si>
  <si>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</si>
  <si>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</si>
  <si>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</si>
  <si>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</si>
  <si>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</si>
  <si>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</si>
  <si>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</si>
  <si>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</si>
  <si>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</si>
  <si>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</si>
  <si>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</si>
  <si>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</si>
  <si>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</si>
  <si>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</si>
  <si>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</si>
  <si>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</si>
  <si>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</si>
  <si>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</si>
  <si>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</si>
  <si>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</si>
  <si>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</si>
  <si>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</si>
  <si>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</si>
  <si>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</si>
  <si>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</si>
  <si>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</si>
  <si>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</si>
  <si>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</si>
  <si>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</si>
  <si>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</si>
  <si>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</si>
  <si>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</si>
  <si>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</si>
  <si>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</si>
  <si>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</si>
  <si>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</si>
  <si>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</si>
  <si>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</si>
  <si>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</si>
  <si>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</si>
  <si>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</si>
  <si>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</si>
  <si>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</si>
  <si>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</si>
  <si>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</si>
  <si>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</si>
  <si>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</si>
  <si>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</si>
  <si>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</si>
  <si>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</si>
  <si>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</si>
  <si>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</si>
  <si>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</si>
  <si>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</si>
  <si>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</si>
  <si>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</si>
  <si>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</si>
  <si>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</si>
  <si>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</si>
  <si>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</si>
  <si>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</si>
  <si>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</si>
  <si>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</si>
  <si>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</si>
  <si>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</si>
  <si>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</si>
  <si>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</si>
  <si>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</si>
  <si>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</si>
  <si>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</si>
  <si>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</si>
  <si>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</si>
  <si>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</si>
  <si>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</si>
  <si>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</si>
  <si>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</si>
  <si>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</si>
  <si>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</si>
  <si>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</si>
  <si>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</si>
  <si>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</si>
  <si>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</si>
  <si>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</si>
  <si>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</si>
  <si>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</si>
  <si>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</si>
  <si>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</si>
  <si>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</si>
  <si>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</si>
  <si>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</si>
  <si>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</si>
  <si>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</si>
  <si>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</si>
  <si>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</si>
  <si>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</si>
  <si>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</si>
  <si>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</si>
  <si>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</si>
  <si>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</si>
  <si>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</si>
  <si>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</si>
  <si>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</si>
  <si>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</si>
  <si>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</si>
  <si>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</si>
  <si>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</si>
  <si>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</si>
  <si>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</si>
  <si>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</si>
  <si>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</si>
  <si>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</si>
  <si>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</si>
  <si>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</si>
  <si>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</si>
  <si>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</si>
  <si>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</si>
  <si>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</si>
  <si>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</si>
  <si>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</si>
  <si>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</si>
  <si>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</si>
  <si>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</si>
  <si>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</si>
  <si>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</si>
  <si>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</si>
  <si>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</si>
  <si>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</si>
  <si>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</si>
  <si>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</si>
  <si>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</si>
  <si>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</si>
  <si>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</si>
  <si>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</si>
  <si>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</si>
  <si>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</si>
  <si>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</si>
  <si>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</si>
  <si>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</si>
  <si>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</si>
  <si>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</si>
  <si>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</si>
  <si>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</si>
  <si>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</si>
  <si>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</si>
  <si>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</si>
  <si>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</si>
  <si>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</si>
  <si>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</si>
  <si>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</si>
  <si>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</si>
  <si>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</si>
  <si>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</si>
  <si>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</si>
  <si>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</si>
  <si>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</si>
  <si>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</si>
  <si>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</si>
  <si>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</si>
  <si>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</si>
  <si>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</si>
  <si>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</si>
  <si>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</si>
  <si>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</si>
  <si>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</si>
  <si>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</si>
  <si>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</si>
  <si>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</si>
  <si>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</si>
  <si>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</si>
  <si>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</si>
  <si>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</si>
  <si>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</si>
  <si>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</si>
  <si>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</si>
  <si>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</si>
  <si>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</si>
  <si>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</si>
  <si>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</si>
  <si>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</si>
  <si>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</si>
  <si>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</si>
  <si>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</si>
  <si>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</si>
  <si>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</si>
  <si>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</si>
  <si>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</si>
  <si>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</si>
  <si>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</si>
  <si>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</si>
  <si>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</si>
  <si>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</si>
  <si>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</si>
  <si>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</si>
  <si>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</si>
  <si>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</si>
  <si>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</si>
  <si>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</si>
  <si>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</si>
  <si>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</si>
  <si>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</si>
  <si>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</si>
  <si>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</si>
  <si>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</si>
  <si>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</si>
  <si>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</si>
  <si>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</si>
  <si>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</si>
  <si>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</si>
  <si>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</si>
  <si>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</si>
  <si>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</si>
  <si>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</si>
  <si>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</si>
  <si>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</si>
  <si>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</si>
  <si>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</si>
  <si>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</si>
  <si>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</si>
  <si>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</si>
  <si>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</si>
  <si>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</si>
  <si>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</si>
  <si>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</si>
  <si>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</si>
  <si>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</si>
  <si>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</si>
  <si>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</si>
  <si>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</si>
  <si>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</si>
  <si>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</si>
  <si>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</si>
  <si>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</si>
  <si>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</si>
  <si>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</si>
  <si>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</si>
  <si>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</si>
  <si>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</si>
  <si>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</si>
  <si>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</si>
  <si>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</si>
  <si>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</si>
  <si>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</si>
  <si>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</si>
  <si>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</si>
  <si>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</si>
  <si>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</si>
  <si>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</si>
  <si>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</si>
  <si>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</si>
  <si>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</si>
  <si>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</si>
  <si>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Объемы и суммы медицинской помощи попаллиативной медицинской помощи на 2023 год.</t>
  </si>
  <si>
    <t xml:space="preserve">ИТОГО объем финансовых средств </t>
  </si>
  <si>
    <t>Всегопериод с 01.01.2023 по 31.12.2023</t>
  </si>
  <si>
    <t>Период с 01.01.2023 по 28.02.2023</t>
  </si>
  <si>
    <t>Период с 01.03.2022 по 30.06.2022</t>
  </si>
  <si>
    <t>Объем финансовых средств</t>
  </si>
  <si>
    <t>Посе-щения</t>
  </si>
  <si>
    <t>Посеще-ния</t>
  </si>
  <si>
    <t>Стоимость 1 единицы объема МП, руб. на 01.01.23г.</t>
  </si>
  <si>
    <t>ФГБОУ ВО БГМУ Минздрава России (офтальмология)</t>
  </si>
  <si>
    <t>020051</t>
  </si>
  <si>
    <t>АНМО "Уфимский хоспис"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</si>
</sst>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i/>
      <sz val="9"/>
      <color rgb="FFFF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1380">
    <xf numFmtId="0" fontId="0" fillId="0" borderId="0"/>
    <xf numFmtId="0" fontId="27" fillId="0" borderId="0"/>
    <xf numFmtId="0" fontId="27" fillId="0" borderId="0"/>
    <xf numFmtId="0" fontId="45" fillId="0" borderId="0"/>
    <xf numFmtId="0" fontId="47" fillId="0" borderId="0"/>
    <xf numFmtId="0" fontId="49" fillId="28" borderId="0" applyNumberFormat="0" applyBorder="0" applyAlignment="0" applyProtection="0"/>
    <xf numFmtId="0" fontId="49" fillId="29" borderId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/>
    <xf numFmtId="0" fontId="49" fillId="30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/>
    <xf numFmtId="0" fontId="49" fillId="32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/>
    <xf numFmtId="0" fontId="49" fillId="34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/>
    <xf numFmtId="0" fontId="49" fillId="3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4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9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1" borderId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41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3" borderId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4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5" borderId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7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9" borderId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/>
    <xf numFmtId="0" fontId="49" fillId="42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/>
    <xf numFmtId="0" fontId="49" fillId="44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/>
    <xf numFmtId="0" fontId="49" fillId="46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/>
    <xf numFmtId="0" fontId="49" fillId="34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/>
    <xf numFmtId="0" fontId="49" fillId="42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/>
    <xf numFmtId="0" fontId="49" fillId="48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50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3" borderId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5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5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7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5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5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3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3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9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/>
    <xf numFmtId="0" fontId="50" fillId="44" borderId="0" applyNumberFormat="0" applyBorder="0" applyAlignment="0" applyProtection="0"/>
    <xf numFmtId="0" fontId="50" fillId="45" borderId="0"/>
    <xf numFmtId="0" fontId="50" fillId="46" borderId="0" applyNumberFormat="0" applyBorder="0" applyAlignment="0" applyProtection="0"/>
    <xf numFmtId="0" fontId="50" fillId="47" borderId="0"/>
    <xf numFmtId="0" fontId="50" fillId="54" borderId="0" applyNumberFormat="0" applyBorder="0" applyAlignment="0" applyProtection="0"/>
    <xf numFmtId="0" fontId="50" fillId="55" borderId="0"/>
    <xf numFmtId="0" fontId="50" fillId="56" borderId="0" applyNumberFormat="0" applyBorder="0" applyAlignment="0" applyProtection="0"/>
    <xf numFmtId="0" fontId="50" fillId="57" borderId="0"/>
    <xf numFmtId="0" fontId="50" fillId="58" borderId="0" applyNumberFormat="0" applyBorder="0" applyAlignment="0" applyProtection="0"/>
    <xf numFmtId="0" fontId="50" fillId="59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34" fillId="7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3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5" borderId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34" fillId="1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5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47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9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0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5" borderId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7" borderId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4" fillId="2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3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59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/>
    <xf numFmtId="0" fontId="50" fillId="62" borderId="0" applyNumberFormat="0" applyBorder="0" applyAlignment="0" applyProtection="0"/>
    <xf numFmtId="0" fontId="50" fillId="63" borderId="0"/>
    <xf numFmtId="0" fontId="50" fillId="64" borderId="0" applyNumberFormat="0" applyBorder="0" applyAlignment="0" applyProtection="0"/>
    <xf numFmtId="0" fontId="50" fillId="65" borderId="0"/>
    <xf numFmtId="0" fontId="50" fillId="54" borderId="0" applyNumberFormat="0" applyBorder="0" applyAlignment="0" applyProtection="0"/>
    <xf numFmtId="0" fontId="50" fillId="55" borderId="0"/>
    <xf numFmtId="0" fontId="50" fillId="56" borderId="0" applyNumberFormat="0" applyBorder="0" applyAlignment="0" applyProtection="0"/>
    <xf numFmtId="0" fontId="50" fillId="57" borderId="0"/>
    <xf numFmtId="0" fontId="50" fillId="66" borderId="0" applyNumberFormat="0" applyBorder="0" applyAlignment="0" applyProtection="0"/>
    <xf numFmtId="0" fontId="50" fillId="67" borderId="0"/>
    <xf numFmtId="0" fontId="51" fillId="30" borderId="0" applyNumberFormat="0" applyBorder="0" applyAlignment="0" applyProtection="0"/>
    <xf numFmtId="0" fontId="51" fillId="31" borderId="0"/>
    <xf numFmtId="0" fontId="52" fillId="50" borderId="18" applyNumberFormat="0" applyAlignment="0" applyProtection="0"/>
    <xf numFmtId="0" fontId="52" fillId="68" borderId="18"/>
    <xf numFmtId="0" fontId="53" fillId="69" borderId="19" applyNumberFormat="0" applyAlignment="0" applyProtection="0"/>
    <xf numFmtId="0" fontId="53" fillId="70" borderId="0"/>
    <xf numFmtId="0" fontId="54" fillId="0" borderId="0"/>
    <xf numFmtId="164" fontId="55" fillId="0" borderId="0"/>
    <xf numFmtId="165" fontId="55" fillId="0" borderId="0" applyBorder="0" applyProtection="0"/>
    <xf numFmtId="164" fontId="55" fillId="0" borderId="0" applyBorder="0" applyProtection="0"/>
    <xf numFmtId="164" fontId="55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7" fillId="0" borderId="0"/>
    <xf numFmtId="0" fontId="58" fillId="32" borderId="0" applyNumberFormat="0" applyBorder="0" applyAlignment="0" applyProtection="0"/>
    <xf numFmtId="0" fontId="58" fillId="33" borderId="0"/>
    <xf numFmtId="0" fontId="59" fillId="0" borderId="0" applyNumberFormat="0" applyBorder="0" applyProtection="0">
      <alignment horizontal="center"/>
    </xf>
    <xf numFmtId="0" fontId="60" fillId="0" borderId="20" applyNumberFormat="0" applyFill="0" applyAlignment="0" applyProtection="0"/>
    <xf numFmtId="0" fontId="60" fillId="0" borderId="20"/>
    <xf numFmtId="0" fontId="61" fillId="0" borderId="21" applyNumberFormat="0" applyFill="0" applyAlignment="0" applyProtection="0"/>
    <xf numFmtId="0" fontId="61" fillId="0" borderId="21"/>
    <xf numFmtId="0" fontId="62" fillId="0" borderId="22" applyNumberFormat="0" applyFill="0" applyAlignment="0" applyProtection="0"/>
    <xf numFmtId="0" fontId="62" fillId="0" borderId="22"/>
    <xf numFmtId="0" fontId="62" fillId="0" borderId="0" applyNumberFormat="0" applyFill="0" applyBorder="0" applyAlignment="0" applyProtection="0"/>
    <xf numFmtId="0" fontId="62" fillId="0" borderId="0"/>
    <xf numFmtId="0" fontId="59" fillId="0" borderId="0" applyNumberFormat="0" applyBorder="0" applyProtection="0">
      <alignment horizontal="center" textRotation="90"/>
    </xf>
    <xf numFmtId="0" fontId="63" fillId="38" borderId="18" applyNumberFormat="0" applyAlignment="0" applyProtection="0"/>
    <xf numFmtId="0" fontId="63" fillId="39" borderId="18"/>
    <xf numFmtId="0" fontId="64" fillId="0" borderId="23" applyNumberFormat="0" applyFill="0" applyAlignment="0" applyProtection="0"/>
    <xf numFmtId="0" fontId="64" fillId="0" borderId="0"/>
    <xf numFmtId="0" fontId="65" fillId="51" borderId="0" applyNumberFormat="0" applyBorder="0" applyAlignment="0" applyProtection="0"/>
    <xf numFmtId="0" fontId="65" fillId="71" borderId="0"/>
    <xf numFmtId="0" fontId="66" fillId="0" borderId="0"/>
    <xf numFmtId="0" fontId="47" fillId="41" borderId="24" applyNumberFormat="0" applyFont="0" applyAlignment="0" applyProtection="0"/>
    <xf numFmtId="0" fontId="54" fillId="72" borderId="24"/>
    <xf numFmtId="0" fontId="67" fillId="50" borderId="25" applyNumberFormat="0" applyAlignment="0" applyProtection="0"/>
    <xf numFmtId="0" fontId="67" fillId="68" borderId="25"/>
    <xf numFmtId="0" fontId="68" fillId="0" borderId="0" applyNumberFormat="0" applyBorder="0" applyProtection="0"/>
    <xf numFmtId="166" fontId="68" fillId="0" borderId="0" applyBorder="0" applyProtection="0"/>
    <xf numFmtId="0" fontId="69" fillId="0" borderId="0" applyNumberFormat="0" applyFill="0" applyBorder="0" applyAlignment="0" applyProtection="0"/>
    <xf numFmtId="0" fontId="69" fillId="0" borderId="0"/>
    <xf numFmtId="0" fontId="70" fillId="0" borderId="26" applyNumberFormat="0" applyFill="0" applyAlignment="0" applyProtection="0"/>
    <xf numFmtId="0" fontId="70" fillId="0" borderId="27"/>
    <xf numFmtId="0" fontId="71" fillId="0" borderId="0" applyNumberFormat="0" applyFill="0" applyBorder="0" applyAlignment="0" applyProtection="0"/>
    <xf numFmtId="0" fontId="71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34" fillId="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56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61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3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5" borderId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73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55" borderId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7" borderId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7" borderId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9" borderId="18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40" borderId="2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68" borderId="25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40" borderId="18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68" borderId="18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29" fillId="0" borderId="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74" fillId="0" borderId="28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60" fillId="0" borderId="2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30" fillId="0" borderId="2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75" fillId="0" borderId="2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61" fillId="0" borderId="21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6" fillId="0" borderId="3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2" fillId="0" borderId="22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29" applyNumberFormat="0" applyFill="0" applyAlignment="0" applyProtection="0"/>
    <xf numFmtId="0" fontId="62" fillId="0" borderId="22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6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62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8" fillId="0" borderId="9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0" fillId="0" borderId="26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0" fillId="0" borderId="30" applyNumberFormat="0" applyFill="0" applyAlignment="0" applyProtection="0"/>
    <xf numFmtId="0" fontId="70" fillId="0" borderId="27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9" fillId="0" borderId="7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3" fillId="69" borderId="19" applyNumberFormat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53" fillId="69" borderId="19" applyNumberFormat="0" applyAlignment="0" applyProtection="0"/>
    <xf numFmtId="0" fontId="53" fillId="70" borderId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9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5" fillId="51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5" fillId="51" borderId="0" applyNumberFormat="0" applyBorder="0" applyAlignment="0" applyProtection="0"/>
    <xf numFmtId="0" fontId="65" fillId="71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45" fillId="0" borderId="0"/>
    <xf numFmtId="0" fontId="88" fillId="0" borderId="0"/>
    <xf numFmtId="0" fontId="8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45" fillId="0" borderId="0"/>
    <xf numFmtId="0" fontId="90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0" borderId="0"/>
    <xf numFmtId="0" fontId="45" fillId="0" borderId="0"/>
    <xf numFmtId="0" fontId="9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3" fillId="0" borderId="0"/>
    <xf numFmtId="0" fontId="27" fillId="0" borderId="0"/>
    <xf numFmtId="0" fontId="27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45" fillId="0" borderId="0"/>
    <xf numFmtId="0" fontId="45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45" fillId="0" borderId="0"/>
    <xf numFmtId="0" fontId="2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8" fillId="0" borderId="0"/>
    <xf numFmtId="0" fontId="28" fillId="0" borderId="0"/>
    <xf numFmtId="0" fontId="83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91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9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45" fillId="0" borderId="0"/>
    <xf numFmtId="0" fontId="45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2" fillId="0" borderId="0"/>
    <xf numFmtId="0" fontId="90" fillId="0" borderId="0"/>
    <xf numFmtId="0" fontId="27" fillId="0" borderId="0"/>
    <xf numFmtId="0" fontId="83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1" fillId="30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1" fillId="30" borderId="0" applyNumberFormat="0" applyBorder="0" applyAlignment="0" applyProtection="0"/>
    <xf numFmtId="0" fontId="51" fillId="31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41" borderId="24" applyNumberFormat="0" applyFont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41" borderId="24" applyNumberFormat="0" applyFont="0" applyAlignment="0" applyProtection="0"/>
    <xf numFmtId="0" fontId="45" fillId="41" borderId="24" applyNumberFormat="0" applyFont="0" applyAlignment="0" applyProtection="0"/>
    <xf numFmtId="0" fontId="83" fillId="41" borderId="24" applyNumberFormat="0" applyFont="0" applyAlignment="0" applyProtection="0"/>
    <xf numFmtId="0" fontId="47" fillId="41" borderId="24" applyNumberFormat="0" applyFont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9" fontId="2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ill="0" applyBorder="0" applyAlignment="0" applyProtection="0"/>
    <xf numFmtId="9" fontId="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5" fillId="0" borderId="6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4" fillId="0" borderId="23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64" fillId="0" borderId="23" applyNumberFormat="0" applyFill="0" applyAlignment="0" applyProtection="0"/>
    <xf numFmtId="0" fontId="64" fillId="0" borderId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6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7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28" fillId="0" borderId="0" applyFont="0" applyFill="0" applyBorder="0" applyAlignment="0" applyProtection="0"/>
    <xf numFmtId="43" fontId="90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91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91" fillId="0" borderId="0"/>
    <xf numFmtId="168" fontId="98" fillId="0" borderId="0"/>
    <xf numFmtId="167" fontId="49" fillId="0" borderId="0" applyFont="0" applyFill="0" applyBorder="0" applyAlignment="0" applyProtection="0"/>
    <xf numFmtId="165" fontId="91" fillId="0" borderId="0"/>
    <xf numFmtId="165" fontId="91" fillId="0" borderId="0" applyFill="0" applyBorder="0" applyAlignment="0" applyProtection="0"/>
    <xf numFmtId="165" fontId="91" fillId="0" borderId="0" applyFill="0" applyBorder="0" applyAlignment="0" applyProtection="0"/>
    <xf numFmtId="165" fontId="91" fillId="0" borderId="0"/>
    <xf numFmtId="169" fontId="8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8" fillId="32" borderId="0" applyNumberFormat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8" fillId="32" borderId="0" applyNumberFormat="0" applyBorder="0" applyAlignment="0" applyProtection="0"/>
    <xf numFmtId="0" fontId="58" fillId="33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13" fillId="0" borderId="0" applyNumberFormat="0" applyFill="0" applyBorder="0" applyAlignment="0" applyProtection="0"/>
    <xf numFmtId="0" fontId="49" fillId="0" borderId="0" applyFill="0" applyProtection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8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97">
    <xf numFmtId="0" fontId="0" fillId="0" borderId="0" xfId="0"/>
    <xf numFmtId="0" fontId="44" fillId="0" borderId="11" xfId="3" applyFont="1" applyFill="1" applyBorder="1" applyAlignment="1">
      <alignment horizontal="left" vertical="center" wrapText="1"/>
    </xf>
    <xf numFmtId="0" fontId="44" fillId="0" borderId="11" xfId="4" applyFont="1" applyFill="1" applyBorder="1" applyAlignment="1">
      <alignment horizontal="center" vertical="center"/>
    </xf>
    <xf numFmtId="49" fontId="36" fillId="0" borderId="11" xfId="0" applyNumberFormat="1" applyFont="1" applyFill="1" applyBorder="1" applyAlignment="1">
      <alignment horizontal="center" vertical="center"/>
    </xf>
    <xf numFmtId="0" fontId="48" fillId="0" borderId="11" xfId="3" applyFont="1" applyFill="1" applyBorder="1" applyAlignment="1">
      <alignment horizontal="left" vertical="center" wrapText="1"/>
    </xf>
    <xf numFmtId="0" fontId="88" fillId="0" borderId="0" xfId="61293" applyAlignment="1">
      <alignment horizontal="center" vertical="center"/>
    </xf>
    <xf numFmtId="0" fontId="88" fillId="0" borderId="0" xfId="61293" applyAlignment="1">
      <alignment horizontal="center"/>
    </xf>
    <xf numFmtId="0" fontId="88" fillId="0" borderId="0" xfId="61293"/>
    <xf numFmtId="0" fontId="88" fillId="0" borderId="11" xfId="61293" applyBorder="1" applyAlignment="1">
      <alignment horizontal="center" vertical="center"/>
    </xf>
    <xf numFmtId="0" fontId="48" fillId="0" borderId="11" xfId="61293" applyFont="1" applyFill="1" applyBorder="1" applyAlignment="1">
      <alignment vertical="center" wrapText="1"/>
    </xf>
    <xf numFmtId="3" fontId="88" fillId="0" borderId="11" xfId="61293" applyNumberFormat="1" applyFill="1" applyBorder="1" applyAlignment="1">
      <alignment horizontal="center" vertical="center"/>
    </xf>
    <xf numFmtId="3" fontId="88" fillId="0" borderId="11" xfId="61293" applyNumberFormat="1" applyBorder="1" applyAlignment="1">
      <alignment horizontal="center" vertical="center"/>
    </xf>
    <xf numFmtId="3" fontId="88" fillId="0" borderId="0" xfId="61293" applyNumberFormat="1"/>
    <xf numFmtId="0" fontId="48" fillId="0" borderId="11" xfId="61293" applyFont="1" applyBorder="1" applyAlignment="1">
      <alignment vertical="center" wrapText="1"/>
    </xf>
    <xf numFmtId="0" fontId="48" fillId="0" borderId="0" xfId="0" applyFont="1" applyFill="1"/>
    <xf numFmtId="0" fontId="106" fillId="0" borderId="0" xfId="0" applyFont="1" applyFill="1" applyAlignment="1">
      <alignment vertical="center"/>
    </xf>
    <xf numFmtId="0" fontId="100" fillId="0" borderId="0" xfId="0" applyFont="1" applyFill="1" applyAlignment="1">
      <alignment horizontal="center" wrapText="1"/>
    </xf>
    <xf numFmtId="0" fontId="48" fillId="0" borderId="0" xfId="0" applyFont="1" applyFill="1" applyAlignment="1">
      <alignment horizontal="justify" vertical="center"/>
    </xf>
    <xf numFmtId="0" fontId="100" fillId="0" borderId="10" xfId="0" applyFont="1" applyFill="1" applyBorder="1" applyAlignment="1">
      <alignment horizontal="center" wrapText="1"/>
    </xf>
    <xf numFmtId="0" fontId="107" fillId="0" borderId="10" xfId="0" applyFont="1" applyFill="1" applyBorder="1" applyAlignment="1">
      <alignment horizontal="right" wrapText="1"/>
    </xf>
    <xf numFmtId="0" fontId="36" fillId="0" borderId="0" xfId="0" applyFont="1" applyFill="1"/>
    <xf numFmtId="0" fontId="36" fillId="0" borderId="0" xfId="0" applyFont="1" applyFill="1" applyBorder="1" applyAlignment="1">
      <alignment horizontal="center"/>
    </xf>
    <xf numFmtId="0" fontId="108" fillId="0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32" xfId="0" applyFont="1" applyFill="1" applyBorder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40" fillId="0" borderId="0" xfId="0" applyFont="1" applyFill="1"/>
    <xf numFmtId="3" fontId="40" fillId="0" borderId="0" xfId="0" applyNumberFormat="1" applyFont="1" applyFill="1"/>
    <xf numFmtId="0" fontId="109" fillId="0" borderId="11" xfId="0" applyFont="1" applyFill="1" applyBorder="1" applyAlignment="1">
      <alignment horizontal="center" vertical="center"/>
    </xf>
    <xf numFmtId="3" fontId="108" fillId="0" borderId="11" xfId="0" applyNumberFormat="1" applyFont="1" applyFill="1" applyBorder="1" applyAlignment="1">
      <alignment horizontal="center" vertical="center" wrapText="1"/>
    </xf>
    <xf numFmtId="3" fontId="48" fillId="0" borderId="0" xfId="0" applyNumberFormat="1" applyFont="1" applyFill="1"/>
    <xf numFmtId="49" fontId="107" fillId="0" borderId="11" xfId="3" applyNumberFormat="1" applyFont="1" applyFill="1" applyBorder="1" applyAlignment="1">
      <alignment horizontal="center" vertical="center"/>
    </xf>
    <xf numFmtId="0" fontId="109" fillId="0" borderId="11" xfId="3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horizontal="center" vertical="center"/>
    </xf>
    <xf numFmtId="49" fontId="88" fillId="0" borderId="11" xfId="61293" applyNumberFormat="1" applyBorder="1" applyAlignment="1">
      <alignment horizontal="center"/>
    </xf>
    <xf numFmtId="0" fontId="110" fillId="0" borderId="11" xfId="61293" applyFont="1" applyBorder="1" applyAlignment="1">
      <alignment horizontal="center" vertical="center"/>
    </xf>
    <xf numFmtId="0" fontId="110" fillId="0" borderId="11" xfId="61293" applyFont="1" applyBorder="1" applyAlignment="1">
      <alignment horizontal="center"/>
    </xf>
    <xf numFmtId="0" fontId="110" fillId="0" borderId="11" xfId="61293" applyFont="1" applyBorder="1" applyAlignment="1">
      <alignment horizontal="center" vertical="center" wrapText="1"/>
    </xf>
    <xf numFmtId="0" fontId="110" fillId="0" borderId="11" xfId="61293" applyFont="1" applyFill="1" applyBorder="1" applyAlignment="1">
      <alignment horizontal="center" vertical="center"/>
    </xf>
    <xf numFmtId="0" fontId="110" fillId="0" borderId="0" xfId="61293" applyFont="1"/>
    <xf numFmtId="3" fontId="110" fillId="0" borderId="11" xfId="61293" applyNumberFormat="1" applyFont="1" applyFill="1" applyBorder="1" applyAlignment="1">
      <alignment horizontal="center" vertical="center"/>
    </xf>
    <xf numFmtId="3" fontId="110" fillId="0" borderId="11" xfId="61293" applyNumberFormat="1" applyFont="1" applyBorder="1" applyAlignment="1">
      <alignment horizontal="center" vertical="center"/>
    </xf>
    <xf numFmtId="3" fontId="111" fillId="0" borderId="14" xfId="0" applyNumberFormat="1" applyFont="1" applyFill="1" applyBorder="1" applyAlignment="1">
      <alignment horizontal="center" vertical="center" wrapText="1"/>
    </xf>
    <xf numFmtId="0" fontId="104" fillId="0" borderId="11" xfId="3" applyFont="1" applyFill="1" applyBorder="1" applyAlignment="1">
      <alignment horizontal="left" vertical="center" wrapText="1"/>
    </xf>
    <xf numFmtId="49" fontId="36" fillId="74" borderId="11" xfId="3" applyNumberFormat="1" applyFont="1" applyFill="1" applyBorder="1" applyAlignment="1">
      <alignment horizontal="center" vertical="center" wrapText="1"/>
    </xf>
    <xf numFmtId="0" fontId="46" fillId="74" borderId="11" xfId="3" applyFont="1" applyFill="1" applyBorder="1" applyAlignment="1">
      <alignment horizontal="left" vertical="center" wrapText="1"/>
    </xf>
    <xf numFmtId="0" fontId="36" fillId="74" borderId="11" xfId="3" applyFont="1" applyFill="1" applyBorder="1" applyAlignment="1">
      <alignment horizontal="center" vertical="center" wrapText="1"/>
    </xf>
    <xf numFmtId="49" fontId="36" fillId="74" borderId="11" xfId="3" applyNumberFormat="1" applyFont="1" applyFill="1" applyBorder="1" applyAlignment="1">
      <alignment horizontal="center" vertical="center"/>
    </xf>
    <xf numFmtId="0" fontId="36" fillId="74" borderId="11" xfId="3" applyFont="1" applyFill="1" applyBorder="1" applyAlignment="1">
      <alignment horizontal="left" vertical="center" wrapText="1"/>
    </xf>
    <xf numFmtId="0" fontId="44" fillId="74" borderId="0" xfId="58585" applyFont="1" applyFill="1" applyAlignment="1">
      <alignment horizontal="left" vertical="center"/>
    </xf>
    <xf numFmtId="0" fontId="44" fillId="0" borderId="11" xfId="58921" applyFont="1" applyFill="1" applyBorder="1" applyAlignment="1">
      <alignment horizontal="left" vertical="center" wrapText="1"/>
    </xf>
    <xf numFmtId="0" fontId="38" fillId="0" borderId="11" xfId="58921" applyFont="1" applyFill="1" applyBorder="1" applyAlignment="1">
      <alignment horizontal="left" vertical="center" wrapText="1"/>
    </xf>
    <xf numFmtId="3" fontId="38" fillId="0" borderId="11" xfId="58921" applyNumberFormat="1" applyFont="1" applyFill="1" applyBorder="1" applyAlignment="1">
      <alignment horizontal="center" vertical="center"/>
    </xf>
    <xf numFmtId="3" fontId="104" fillId="0" borderId="11" xfId="0" applyNumberFormat="1" applyFont="1" applyFill="1" applyBorder="1" applyAlignment="1">
      <alignment horizontal="left" vertical="center" wrapText="1"/>
    </xf>
    <xf numFmtId="170" fontId="38" fillId="0" borderId="11" xfId="58921" applyNumberFormat="1" applyFont="1" applyFill="1" applyBorder="1" applyAlignment="1">
      <alignment horizontal="center" vertical="center"/>
    </xf>
    <xf numFmtId="3" fontId="38" fillId="0" borderId="11" xfId="0" applyNumberFormat="1" applyFont="1" applyFill="1" applyBorder="1" applyAlignment="1">
      <alignment horizontal="left" vertical="center" wrapText="1"/>
    </xf>
    <xf numFmtId="3" fontId="38" fillId="0" borderId="31" xfId="58921" applyNumberFormat="1" applyFont="1" applyFill="1" applyBorder="1" applyAlignment="1">
      <alignment horizontal="center" vertical="center"/>
    </xf>
    <xf numFmtId="3" fontId="104" fillId="0" borderId="31" xfId="0" applyNumberFormat="1" applyFont="1" applyFill="1" applyBorder="1" applyAlignment="1">
      <alignment horizontal="left" vertical="center" wrapText="1"/>
    </xf>
    <xf numFmtId="3" fontId="44" fillId="0" borderId="11" xfId="58921" applyNumberFormat="1" applyFont="1" applyFill="1" applyBorder="1" applyAlignment="1">
      <alignment horizontal="center" vertical="center"/>
    </xf>
    <xf numFmtId="170" fontId="44" fillId="0" borderId="11" xfId="58921" applyNumberFormat="1" applyFont="1" applyFill="1" applyBorder="1" applyAlignment="1">
      <alignment horizontal="center" vertical="center"/>
    </xf>
    <xf numFmtId="3" fontId="44" fillId="0" borderId="31" xfId="58921" applyNumberFormat="1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left" vertical="center"/>
    </xf>
    <xf numFmtId="0" fontId="44" fillId="0" borderId="0" xfId="58585" applyFont="1" applyFill="1" applyAlignment="1">
      <alignment horizontal="center" vertical="center"/>
    </xf>
    <xf numFmtId="0" fontId="44" fillId="76" borderId="0" xfId="58585" applyFont="1" applyFill="1" applyAlignment="1">
      <alignment horizontal="center" vertical="center"/>
    </xf>
    <xf numFmtId="3" fontId="44" fillId="74" borderId="0" xfId="58585" applyNumberFormat="1" applyFont="1" applyFill="1" applyAlignment="1">
      <alignment vertical="center"/>
    </xf>
    <xf numFmtId="0" fontId="44" fillId="76" borderId="0" xfId="58585" applyFont="1" applyFill="1" applyAlignment="1">
      <alignment horizontal="right" vertical="center"/>
    </xf>
    <xf numFmtId="0" fontId="44" fillId="76" borderId="0" xfId="58585" applyNumberFormat="1" applyFont="1" applyFill="1" applyBorder="1" applyAlignment="1">
      <alignment horizontal="center" vertical="center" wrapText="1"/>
    </xf>
    <xf numFmtId="3" fontId="116" fillId="74" borderId="0" xfId="58585" applyNumberFormat="1" applyFont="1" applyFill="1" applyBorder="1" applyAlignment="1">
      <alignment horizontal="right" vertical="center"/>
    </xf>
    <xf numFmtId="4" fontId="116" fillId="76" borderId="0" xfId="58585" applyNumberFormat="1" applyFont="1" applyFill="1" applyBorder="1" applyAlignment="1">
      <alignment horizontal="right" vertical="center"/>
    </xf>
    <xf numFmtId="3" fontId="116" fillId="76" borderId="0" xfId="58585" applyNumberFormat="1" applyFont="1" applyFill="1" applyBorder="1" applyAlignment="1">
      <alignment horizontal="right" vertical="center"/>
    </xf>
    <xf numFmtId="0" fontId="41" fillId="76" borderId="0" xfId="58585" applyFont="1" applyFill="1" applyAlignment="1">
      <alignment horizontal="right" vertical="center"/>
    </xf>
    <xf numFmtId="3" fontId="41" fillId="77" borderId="11" xfId="58585" applyNumberFormat="1" applyFont="1" applyFill="1" applyBorder="1" applyAlignment="1">
      <alignment horizontal="right" vertical="center"/>
    </xf>
    <xf numFmtId="3" fontId="41" fillId="0" borderId="11" xfId="58585" applyNumberFormat="1" applyFont="1" applyFill="1" applyBorder="1" applyAlignment="1">
      <alignment horizontal="right" vertical="center"/>
    </xf>
    <xf numFmtId="3" fontId="44" fillId="74" borderId="0" xfId="58585" applyNumberFormat="1" applyFont="1" applyFill="1" applyAlignment="1">
      <alignment horizontal="right" vertical="center"/>
    </xf>
    <xf numFmtId="0" fontId="41" fillId="0" borderId="11" xfId="58585" applyFont="1" applyBorder="1" applyAlignment="1">
      <alignment horizontal="center" vertical="center"/>
    </xf>
    <xf numFmtId="4" fontId="41" fillId="74" borderId="11" xfId="58585" applyNumberFormat="1" applyFont="1" applyFill="1" applyBorder="1" applyAlignment="1">
      <alignment vertical="center" wrapText="1"/>
    </xf>
    <xf numFmtId="4" fontId="41" fillId="74" borderId="11" xfId="58585" applyNumberFormat="1" applyFont="1" applyFill="1" applyBorder="1" applyAlignment="1">
      <alignment horizontal="center" vertical="center" wrapText="1"/>
    </xf>
    <xf numFmtId="3" fontId="44" fillId="74" borderId="11" xfId="58585" applyNumberFormat="1" applyFont="1" applyFill="1" applyBorder="1" applyAlignment="1">
      <alignment vertical="center" wrapText="1"/>
    </xf>
    <xf numFmtId="0" fontId="41" fillId="74" borderId="0" xfId="58585" applyFont="1" applyFill="1" applyAlignment="1">
      <alignment horizontal="right" vertical="center"/>
    </xf>
    <xf numFmtId="0" fontId="44" fillId="0" borderId="11" xfId="58585" applyFont="1" applyBorder="1" applyAlignment="1">
      <alignment horizontal="center" vertical="center"/>
    </xf>
    <xf numFmtId="4" fontId="44" fillId="74" borderId="11" xfId="58585" applyNumberFormat="1" applyFont="1" applyFill="1" applyBorder="1" applyAlignment="1">
      <alignment horizontal="center" vertical="center" wrapText="1"/>
    </xf>
    <xf numFmtId="3" fontId="44" fillId="0" borderId="11" xfId="58585" applyNumberFormat="1" applyFont="1" applyFill="1" applyBorder="1" applyAlignment="1">
      <alignment vertical="center" wrapText="1"/>
    </xf>
    <xf numFmtId="0" fontId="44" fillId="74" borderId="0" xfId="58585" applyFont="1" applyFill="1" applyAlignment="1">
      <alignment horizontal="right" vertical="center"/>
    </xf>
    <xf numFmtId="4" fontId="44" fillId="76" borderId="0" xfId="58585" applyNumberFormat="1" applyFont="1" applyFill="1" applyAlignment="1">
      <alignment horizontal="right" vertical="center"/>
    </xf>
    <xf numFmtId="3" fontId="44" fillId="76" borderId="0" xfId="58585" applyNumberFormat="1" applyFont="1" applyFill="1" applyAlignment="1">
      <alignment horizontal="right" vertical="center"/>
    </xf>
    <xf numFmtId="0" fontId="105" fillId="0" borderId="0" xfId="61314" applyFont="1"/>
    <xf numFmtId="0" fontId="101" fillId="0" borderId="10" xfId="61314" applyFont="1" applyBorder="1" applyAlignment="1">
      <alignment horizontal="center" wrapText="1"/>
    </xf>
    <xf numFmtId="0" fontId="40" fillId="0" borderId="11" xfId="61314" applyFont="1" applyBorder="1" applyAlignment="1">
      <alignment horizontal="center" vertical="center" wrapText="1"/>
    </xf>
    <xf numFmtId="0" fontId="40" fillId="0" borderId="11" xfId="61314" applyFont="1" applyBorder="1" applyAlignment="1">
      <alignment horizontal="center" wrapText="1"/>
    </xf>
    <xf numFmtId="0" fontId="40" fillId="0" borderId="11" xfId="61314" applyFont="1" applyBorder="1" applyAlignment="1">
      <alignment horizontal="center"/>
    </xf>
    <xf numFmtId="49" fontId="40" fillId="0" borderId="11" xfId="61314" applyNumberFormat="1" applyFont="1" applyBorder="1" applyAlignment="1">
      <alignment horizontal="center" vertical="center" wrapText="1"/>
    </xf>
    <xf numFmtId="0" fontId="40" fillId="0" borderId="11" xfId="61314" applyFont="1" applyBorder="1" applyAlignment="1">
      <alignment horizontal="left" vertical="center" wrapText="1"/>
    </xf>
    <xf numFmtId="3" fontId="40" fillId="0" borderId="11" xfId="61314" applyNumberFormat="1" applyFont="1" applyBorder="1" applyAlignment="1">
      <alignment horizontal="center" vertical="center"/>
    </xf>
    <xf numFmtId="0" fontId="44" fillId="74" borderId="11" xfId="58975" applyFont="1" applyFill="1" applyBorder="1" applyAlignment="1">
      <alignment horizontal="center" vertical="center" wrapText="1"/>
    </xf>
    <xf numFmtId="49" fontId="44" fillId="74" borderId="11" xfId="58975" applyNumberFormat="1" applyFont="1" applyFill="1" applyBorder="1" applyAlignment="1">
      <alignment horizontal="center" vertical="center" wrapText="1"/>
    </xf>
    <xf numFmtId="0" fontId="41" fillId="74" borderId="11" xfId="58975" applyFont="1" applyFill="1" applyBorder="1" applyAlignment="1">
      <alignment horizontal="center" vertical="center" wrapText="1"/>
    </xf>
    <xf numFmtId="49" fontId="41" fillId="74" borderId="11" xfId="58975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8" fillId="78" borderId="11" xfId="0" applyFont="1" applyFill="1" applyBorder="1" applyAlignment="1">
      <alignment horizontal="center" vertical="center" wrapText="1"/>
    </xf>
    <xf numFmtId="0" fontId="122" fillId="0" borderId="11" xfId="0" applyFont="1" applyBorder="1" applyAlignment="1">
      <alignment horizontal="center" vertical="center"/>
    </xf>
    <xf numFmtId="3" fontId="100" fillId="78" borderId="11" xfId="0" applyNumberFormat="1" applyFont="1" applyFill="1" applyBorder="1" applyAlignment="1">
      <alignment horizontal="center" vertical="center" wrapText="1"/>
    </xf>
    <xf numFmtId="0" fontId="100" fillId="78" borderId="11" xfId="0" applyFont="1" applyFill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/>
    </xf>
    <xf numFmtId="0" fontId="48" fillId="78" borderId="11" xfId="0" applyFont="1" applyFill="1" applyBorder="1" applyAlignment="1">
      <alignment vertical="center" wrapText="1"/>
    </xf>
    <xf numFmtId="3" fontId="122" fillId="0" borderId="11" xfId="0" applyNumberFormat="1" applyFont="1" applyBorder="1" applyAlignment="1">
      <alignment horizontal="center" vertical="center"/>
    </xf>
    <xf numFmtId="0" fontId="122" fillId="78" borderId="11" xfId="0" applyFont="1" applyFill="1" applyBorder="1" applyAlignment="1">
      <alignment horizontal="center" vertical="center"/>
    </xf>
    <xf numFmtId="0" fontId="122" fillId="78" borderId="11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/>
    </xf>
    <xf numFmtId="0" fontId="100" fillId="0" borderId="11" xfId="0" applyFont="1" applyBorder="1" applyAlignment="1">
      <alignment horizontal="center" vertical="center"/>
    </xf>
    <xf numFmtId="0" fontId="48" fillId="0" borderId="11" xfId="0" applyFont="1" applyBorder="1" applyAlignment="1">
      <alignment vertical="center" wrapText="1"/>
    </xf>
    <xf numFmtId="0" fontId="48" fillId="0" borderId="0" xfId="0" applyFont="1" applyAlignment="1">
      <alignment horizontal="justify" vertical="center"/>
    </xf>
    <xf numFmtId="0" fontId="78" fillId="0" borderId="0" xfId="0" applyFont="1"/>
    <xf numFmtId="0" fontId="48" fillId="0" borderId="0" xfId="0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36" fillId="0" borderId="11" xfId="0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left" vertical="center"/>
    </xf>
    <xf numFmtId="3" fontId="36" fillId="0" borderId="0" xfId="0" applyNumberFormat="1" applyFont="1" applyFill="1" applyAlignment="1">
      <alignment horizontal="center" vertical="center"/>
    </xf>
    <xf numFmtId="3" fontId="36" fillId="0" borderId="11" xfId="0" applyNumberFormat="1" applyFont="1" applyFill="1" applyBorder="1" applyAlignment="1">
      <alignment horizontal="center" vertical="center"/>
    </xf>
    <xf numFmtId="3" fontId="117" fillId="0" borderId="11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4" fontId="44" fillId="74" borderId="0" xfId="58867" applyNumberFormat="1" applyFont="1" applyFill="1" applyAlignment="1">
      <alignment horizontal="right" vertical="center"/>
    </xf>
    <xf numFmtId="3" fontId="44" fillId="74" borderId="0" xfId="58867" applyNumberFormat="1" applyFont="1" applyFill="1" applyAlignment="1">
      <alignment horizontal="center" vertical="center"/>
    </xf>
    <xf numFmtId="3" fontId="44" fillId="74" borderId="0" xfId="58867" applyNumberFormat="1" applyFont="1" applyFill="1" applyBorder="1" applyAlignment="1">
      <alignment horizontal="center" vertical="center" wrapText="1"/>
    </xf>
    <xf numFmtId="4" fontId="103" fillId="74" borderId="0" xfId="58867" applyNumberFormat="1" applyFont="1" applyFill="1" applyAlignment="1">
      <alignment horizontal="right" vertical="center"/>
    </xf>
    <xf numFmtId="3" fontId="36" fillId="74" borderId="11" xfId="58940" applyNumberFormat="1" applyFont="1" applyFill="1" applyBorder="1" applyAlignment="1">
      <alignment horizontal="center" vertical="center" wrapText="1"/>
    </xf>
    <xf numFmtId="3" fontId="46" fillId="74" borderId="11" xfId="58940" applyNumberFormat="1" applyFont="1" applyFill="1" applyBorder="1" applyAlignment="1">
      <alignment horizontal="left" vertical="center" wrapText="1"/>
    </xf>
    <xf numFmtId="3" fontId="46" fillId="74" borderId="11" xfId="58940" applyNumberFormat="1" applyFont="1" applyFill="1" applyBorder="1" applyAlignment="1">
      <alignment horizontal="center" vertical="center" wrapText="1"/>
    </xf>
    <xf numFmtId="3" fontId="46" fillId="74" borderId="15" xfId="58940" applyNumberFormat="1" applyFont="1" applyFill="1" applyBorder="1" applyAlignment="1">
      <alignment horizontal="left" vertical="center" wrapText="1"/>
    </xf>
    <xf numFmtId="3" fontId="46" fillId="74" borderId="15" xfId="58940" applyNumberFormat="1" applyFont="1" applyFill="1" applyBorder="1" applyAlignment="1">
      <alignment horizontal="center" vertical="center" wrapText="1"/>
    </xf>
    <xf numFmtId="3" fontId="36" fillId="74" borderId="11" xfId="58940" applyNumberFormat="1" applyFont="1" applyFill="1" applyBorder="1" applyAlignment="1">
      <alignment horizontal="center" vertical="center"/>
    </xf>
    <xf numFmtId="3" fontId="36" fillId="74" borderId="15" xfId="58940" applyNumberFormat="1" applyFont="1" applyFill="1" applyBorder="1" applyAlignment="1">
      <alignment horizontal="left" vertical="center" wrapText="1"/>
    </xf>
    <xf numFmtId="3" fontId="36" fillId="74" borderId="15" xfId="58940" applyNumberFormat="1" applyFont="1" applyFill="1" applyBorder="1" applyAlignment="1">
      <alignment horizontal="center" vertical="center" wrapText="1"/>
    </xf>
    <xf numFmtId="3" fontId="44" fillId="74" borderId="11" xfId="58940" applyNumberFormat="1" applyFont="1" applyFill="1" applyBorder="1" applyAlignment="1">
      <alignment horizontal="center" vertical="center" wrapText="1"/>
    </xf>
    <xf numFmtId="3" fontId="44" fillId="74" borderId="15" xfId="58940" applyNumberFormat="1" applyFont="1" applyFill="1" applyBorder="1" applyAlignment="1">
      <alignment horizontal="left" vertical="center" wrapText="1"/>
    </xf>
    <xf numFmtId="3" fontId="44" fillId="74" borderId="15" xfId="58940" applyNumberFormat="1" applyFont="1" applyFill="1" applyBorder="1" applyAlignment="1">
      <alignment horizontal="center" vertical="center" wrapText="1"/>
    </xf>
    <xf numFmtId="49" fontId="36" fillId="74" borderId="11" xfId="58940" applyNumberFormat="1" applyFont="1" applyFill="1" applyBorder="1" applyAlignment="1">
      <alignment horizontal="center" vertical="center" wrapText="1"/>
    </xf>
    <xf numFmtId="0" fontId="36" fillId="74" borderId="11" xfId="58940" applyFont="1" applyFill="1" applyBorder="1" applyAlignment="1">
      <alignment horizontal="left" vertical="center" wrapText="1"/>
    </xf>
    <xf numFmtId="3" fontId="36" fillId="74" borderId="11" xfId="58867" applyNumberFormat="1" applyFont="1" applyFill="1" applyBorder="1" applyAlignment="1">
      <alignment horizontal="center" vertical="center" wrapText="1"/>
    </xf>
    <xf numFmtId="3" fontId="46" fillId="74" borderId="15" xfId="58867" applyNumberFormat="1" applyFont="1" applyFill="1" applyBorder="1" applyAlignment="1">
      <alignment horizontal="left" vertical="center" wrapText="1"/>
    </xf>
    <xf numFmtId="3" fontId="46" fillId="74" borderId="15" xfId="58867" applyNumberFormat="1" applyFont="1" applyFill="1" applyBorder="1" applyAlignment="1">
      <alignment horizontal="center" vertical="center" wrapText="1"/>
    </xf>
    <xf numFmtId="3" fontId="36" fillId="74" borderId="31" xfId="58940" applyNumberFormat="1" applyFont="1" applyFill="1" applyBorder="1" applyAlignment="1">
      <alignment horizontal="center" vertical="center"/>
    </xf>
    <xf numFmtId="3" fontId="36" fillId="74" borderId="31" xfId="58940" applyNumberFormat="1" applyFont="1" applyFill="1" applyBorder="1" applyAlignment="1">
      <alignment horizontal="center" vertical="center" wrapText="1"/>
    </xf>
    <xf numFmtId="49" fontId="36" fillId="74" borderId="11" xfId="61302" applyNumberFormat="1" applyFont="1" applyFill="1" applyBorder="1" applyAlignment="1">
      <alignment horizontal="center" vertical="center"/>
    </xf>
    <xf numFmtId="0" fontId="44" fillId="74" borderId="11" xfId="58940" applyFont="1" applyFill="1" applyBorder="1" applyAlignment="1">
      <alignment horizontal="left" vertical="center" wrapText="1"/>
    </xf>
    <xf numFmtId="3" fontId="36" fillId="74" borderId="11" xfId="58867" applyNumberFormat="1" applyFont="1" applyFill="1" applyBorder="1" applyAlignment="1">
      <alignment horizontal="center" vertical="center"/>
    </xf>
    <xf numFmtId="3" fontId="36" fillId="74" borderId="15" xfId="58867" applyNumberFormat="1" applyFont="1" applyFill="1" applyBorder="1" applyAlignment="1">
      <alignment horizontal="left" vertical="center" wrapText="1"/>
    </xf>
    <xf numFmtId="3" fontId="36" fillId="74" borderId="15" xfId="58867" applyNumberFormat="1" applyFont="1" applyFill="1" applyBorder="1" applyAlignment="1">
      <alignment horizontal="center" vertical="center" wrapText="1"/>
    </xf>
    <xf numFmtId="3" fontId="41" fillId="74" borderId="11" xfId="58867" applyNumberFormat="1" applyFont="1" applyFill="1" applyBorder="1" applyAlignment="1">
      <alignment horizontal="center" vertical="center"/>
    </xf>
    <xf numFmtId="3" fontId="41" fillId="74" borderId="0" xfId="58867" applyNumberFormat="1" applyFont="1" applyFill="1" applyAlignment="1">
      <alignment horizontal="right" vertical="center"/>
    </xf>
    <xf numFmtId="3" fontId="41" fillId="74" borderId="11" xfId="58867" applyNumberFormat="1" applyFont="1" applyFill="1" applyBorder="1" applyAlignment="1">
      <alignment horizontal="center" vertical="center" wrapText="1"/>
    </xf>
    <xf numFmtId="3" fontId="44" fillId="74" borderId="0" xfId="58867" applyNumberFormat="1" applyFont="1" applyFill="1" applyAlignment="1">
      <alignment horizontal="left" vertical="center"/>
    </xf>
    <xf numFmtId="3" fontId="44" fillId="74" borderId="0" xfId="58867" applyNumberFormat="1" applyFont="1" applyFill="1" applyAlignment="1">
      <alignment horizontal="right" vertical="center"/>
    </xf>
    <xf numFmtId="0" fontId="48" fillId="0" borderId="0" xfId="59013" applyFont="1" applyFill="1" applyAlignment="1">
      <alignment vertical="center"/>
    </xf>
    <xf numFmtId="0" fontId="121" fillId="0" borderId="0" xfId="59013" applyFont="1" applyFill="1" applyBorder="1" applyAlignment="1">
      <alignment horizontal="center" vertical="center" wrapText="1"/>
    </xf>
    <xf numFmtId="0" fontId="35" fillId="0" borderId="11" xfId="59013" applyFont="1" applyFill="1" applyBorder="1" applyAlignment="1" applyProtection="1">
      <alignment horizontal="center" vertical="center" wrapText="1"/>
      <protection locked="0"/>
    </xf>
    <xf numFmtId="0" fontId="101" fillId="0" borderId="11" xfId="59013" applyFont="1" applyFill="1" applyBorder="1" applyAlignment="1" applyProtection="1">
      <alignment horizontal="center" vertical="center" wrapText="1"/>
      <protection locked="0"/>
    </xf>
    <xf numFmtId="0" fontId="101" fillId="0" borderId="0" xfId="59013" applyFont="1" applyFill="1" applyAlignment="1" applyProtection="1">
      <alignment vertical="center"/>
      <protection locked="0"/>
    </xf>
    <xf numFmtId="0" fontId="125" fillId="0" borderId="11" xfId="59013" applyFont="1" applyFill="1" applyBorder="1" applyAlignment="1" applyProtection="1">
      <alignment horizontal="center" vertical="center" wrapText="1"/>
      <protection locked="0"/>
    </xf>
    <xf numFmtId="3" fontId="101" fillId="0" borderId="11" xfId="59013" applyNumberFormat="1" applyFont="1" applyFill="1" applyBorder="1" applyAlignment="1" applyProtection="1">
      <alignment horizontal="center" vertical="center"/>
      <protection locked="0"/>
    </xf>
    <xf numFmtId="0" fontId="101" fillId="0" borderId="11" xfId="59013" applyFont="1" applyFill="1" applyBorder="1" applyAlignment="1">
      <alignment vertical="center"/>
    </xf>
    <xf numFmtId="0" fontId="101" fillId="0" borderId="11" xfId="59013" applyFont="1" applyBorder="1" applyAlignment="1">
      <alignment horizontal="center" vertical="center"/>
    </xf>
    <xf numFmtId="3" fontId="101" fillId="0" borderId="11" xfId="59013" applyNumberFormat="1" applyFont="1" applyFill="1" applyBorder="1" applyAlignment="1">
      <alignment horizontal="center" vertical="center"/>
    </xf>
    <xf numFmtId="0" fontId="126" fillId="0" borderId="11" xfId="59013" applyFont="1" applyFill="1" applyBorder="1" applyAlignment="1" applyProtection="1">
      <alignment horizontal="center" vertical="center" wrapText="1"/>
      <protection locked="0"/>
    </xf>
    <xf numFmtId="3" fontId="126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21" fillId="0" borderId="0" xfId="59013" applyFont="1" applyFill="1" applyAlignment="1">
      <alignment vertical="center"/>
    </xf>
    <xf numFmtId="0" fontId="101" fillId="0" borderId="0" xfId="59013" applyFont="1" applyFill="1" applyAlignment="1">
      <alignment vertical="center"/>
    </xf>
    <xf numFmtId="0" fontId="100" fillId="0" borderId="0" xfId="59013" applyFont="1" applyFill="1" applyAlignment="1">
      <alignment vertical="center"/>
    </xf>
    <xf numFmtId="0" fontId="44" fillId="74" borderId="11" xfId="58975" applyFont="1" applyFill="1" applyBorder="1" applyAlignment="1">
      <alignment horizontal="left" vertical="center" wrapText="1"/>
    </xf>
    <xf numFmtId="0" fontId="38" fillId="74" borderId="0" xfId="61317" applyFont="1" applyFill="1" applyAlignment="1">
      <alignment vertical="center"/>
    </xf>
    <xf numFmtId="3" fontId="38" fillId="74" borderId="15" xfId="61317" applyNumberFormat="1" applyFont="1" applyFill="1" applyBorder="1" applyAlignment="1">
      <alignment horizontal="center" vertical="center"/>
    </xf>
    <xf numFmtId="2" fontId="109" fillId="74" borderId="17" xfId="61317" applyNumberFormat="1" applyFont="1" applyFill="1" applyBorder="1" applyAlignment="1">
      <alignment vertical="center"/>
    </xf>
    <xf numFmtId="2" fontId="127" fillId="74" borderId="17" xfId="61317" applyNumberFormat="1" applyFont="1" applyFill="1" applyBorder="1" applyAlignment="1">
      <alignment vertical="center"/>
    </xf>
    <xf numFmtId="2" fontId="127" fillId="74" borderId="16" xfId="61317" applyNumberFormat="1" applyFont="1" applyFill="1" applyBorder="1" applyAlignment="1">
      <alignment vertical="center"/>
    </xf>
    <xf numFmtId="3" fontId="38" fillId="74" borderId="17" xfId="61317" applyNumberFormat="1" applyFont="1" applyFill="1" applyBorder="1" applyAlignment="1">
      <alignment horizontal="left" vertical="center"/>
    </xf>
    <xf numFmtId="3" fontId="38" fillId="74" borderId="17" xfId="61317" applyNumberFormat="1" applyFont="1" applyFill="1" applyBorder="1" applyAlignment="1">
      <alignment vertical="center"/>
    </xf>
    <xf numFmtId="3" fontId="38" fillId="74" borderId="16" xfId="61317" applyNumberFormat="1" applyFont="1" applyFill="1" applyBorder="1" applyAlignment="1">
      <alignment vertical="center"/>
    </xf>
    <xf numFmtId="0" fontId="38" fillId="74" borderId="11" xfId="61317" applyFont="1" applyFill="1" applyBorder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horizontal="center" vertical="center" wrapText="1"/>
    </xf>
    <xf numFmtId="49" fontId="38" fillId="74" borderId="14" xfId="61317" applyNumberFormat="1" applyFont="1" applyFill="1" applyBorder="1" applyAlignment="1">
      <alignment horizontal="center" vertical="center" wrapText="1"/>
    </xf>
    <xf numFmtId="0" fontId="114" fillId="74" borderId="11" xfId="61317" applyFont="1" applyFill="1" applyBorder="1" applyAlignment="1">
      <alignment vertical="center"/>
    </xf>
    <xf numFmtId="3" fontId="114" fillId="74" borderId="11" xfId="61317" applyNumberFormat="1" applyFont="1" applyFill="1" applyBorder="1" applyAlignment="1">
      <alignment horizontal="center" vertical="center" wrapText="1"/>
    </xf>
    <xf numFmtId="3" fontId="114" fillId="74" borderId="11" xfId="61317" applyNumberFormat="1" applyFont="1" applyFill="1" applyBorder="1" applyAlignment="1">
      <alignment horizontal="center" vertical="center"/>
    </xf>
    <xf numFmtId="4" fontId="41" fillId="74" borderId="17" xfId="61317" applyNumberFormat="1" applyFont="1" applyFill="1" applyBorder="1" applyAlignment="1">
      <alignment vertical="center" wrapText="1"/>
    </xf>
    <xf numFmtId="3" fontId="38" fillId="74" borderId="11" xfId="61318" applyNumberFormat="1" applyFont="1" applyFill="1" applyBorder="1" applyAlignment="1">
      <alignment horizontal="center" vertical="center" wrapText="1"/>
    </xf>
    <xf numFmtId="0" fontId="38" fillId="74" borderId="11" xfId="61317" applyFont="1" applyFill="1" applyBorder="1" applyAlignment="1">
      <alignment horizontal="center" vertical="center"/>
    </xf>
    <xf numFmtId="49" fontId="44" fillId="74" borderId="11" xfId="58975" applyNumberFormat="1" applyFont="1" applyFill="1" applyBorder="1" applyAlignment="1">
      <alignment horizontal="center" vertical="center"/>
    </xf>
    <xf numFmtId="49" fontId="38" fillId="74" borderId="11" xfId="61317" applyNumberFormat="1" applyFont="1" applyFill="1" applyBorder="1" applyAlignment="1">
      <alignment horizontal="center" vertical="center"/>
    </xf>
    <xf numFmtId="3" fontId="38" fillId="74" borderId="0" xfId="61317" applyNumberFormat="1" applyFont="1" applyFill="1" applyBorder="1" applyAlignment="1">
      <alignment horizontal="left" vertical="center"/>
    </xf>
    <xf numFmtId="49" fontId="38" fillId="74" borderId="0" xfId="61317" applyNumberFormat="1" applyFont="1" applyFill="1" applyBorder="1" applyAlignment="1">
      <alignment horizontal="left" vertical="center"/>
    </xf>
    <xf numFmtId="3" fontId="38" fillId="74" borderId="0" xfId="61317" applyNumberFormat="1" applyFont="1" applyFill="1" applyBorder="1" applyAlignment="1">
      <alignment horizontal="right" vertical="center"/>
    </xf>
    <xf numFmtId="3" fontId="38" fillId="74" borderId="0" xfId="61317" applyNumberFormat="1" applyFont="1" applyFill="1" applyBorder="1" applyAlignment="1">
      <alignment horizontal="center" vertical="center"/>
    </xf>
    <xf numFmtId="3" fontId="38" fillId="74" borderId="0" xfId="61317" applyNumberFormat="1" applyFont="1" applyFill="1" applyBorder="1" applyAlignment="1">
      <alignment vertical="center"/>
    </xf>
    <xf numFmtId="0" fontId="38" fillId="74" borderId="0" xfId="61317" applyFont="1" applyFill="1" applyBorder="1" applyAlignment="1">
      <alignment horizontal="center" vertical="center"/>
    </xf>
    <xf numFmtId="49" fontId="38" fillId="74" borderId="0" xfId="61317" applyNumberFormat="1" applyFont="1" applyFill="1" applyBorder="1" applyAlignment="1">
      <alignment horizontal="center" vertical="center"/>
    </xf>
    <xf numFmtId="0" fontId="38" fillId="74" borderId="0" xfId="61317" applyFont="1" applyFill="1" applyBorder="1" applyAlignment="1">
      <alignment horizontal="right" vertical="center"/>
    </xf>
    <xf numFmtId="0" fontId="38" fillId="74" borderId="0" xfId="61317" applyFont="1" applyFill="1" applyBorder="1" applyAlignment="1">
      <alignment vertical="center"/>
    </xf>
    <xf numFmtId="0" fontId="38" fillId="74" borderId="0" xfId="61317" applyFont="1" applyFill="1" applyAlignment="1">
      <alignment horizontal="center" vertical="center"/>
    </xf>
    <xf numFmtId="49" fontId="38" fillId="74" borderId="0" xfId="61317" applyNumberFormat="1" applyFont="1" applyFill="1" applyAlignment="1">
      <alignment horizontal="center" vertical="center"/>
    </xf>
    <xf numFmtId="3" fontId="38" fillId="74" borderId="0" xfId="61317" applyNumberFormat="1" applyFont="1" applyFill="1" applyAlignment="1">
      <alignment horizontal="center" vertical="center"/>
    </xf>
    <xf numFmtId="3" fontId="38" fillId="74" borderId="0" xfId="61317" applyNumberFormat="1" applyFont="1" applyFill="1" applyAlignment="1">
      <alignment vertical="center"/>
    </xf>
    <xf numFmtId="3" fontId="38" fillId="74" borderId="0" xfId="61317" applyNumberFormat="1" applyFont="1" applyFill="1" applyAlignment="1">
      <alignment horizontal="left" vertical="center"/>
    </xf>
    <xf numFmtId="4" fontId="114" fillId="74" borderId="11" xfId="61317" applyNumberFormat="1" applyFont="1" applyFill="1" applyBorder="1" applyAlignment="1">
      <alignment vertical="center" wrapText="1"/>
    </xf>
    <xf numFmtId="4" fontId="38" fillId="74" borderId="11" xfId="61317" applyNumberFormat="1" applyFont="1" applyFill="1" applyBorder="1" applyAlignment="1">
      <alignment vertical="center" wrapText="1"/>
    </xf>
    <xf numFmtId="3" fontId="38" fillId="74" borderId="11" xfId="61317" applyNumberFormat="1" applyFont="1" applyFill="1" applyBorder="1" applyAlignment="1">
      <alignment horizontal="left" vertical="center"/>
    </xf>
    <xf numFmtId="3" fontId="38" fillId="74" borderId="0" xfId="61317" applyNumberFormat="1" applyFont="1" applyFill="1" applyAlignment="1">
      <alignment horizontal="right" vertical="center"/>
    </xf>
    <xf numFmtId="0" fontId="132" fillId="74" borderId="0" xfId="58923" applyFont="1" applyFill="1" applyAlignment="1">
      <alignment horizontal="center" vertical="center"/>
    </xf>
    <xf numFmtId="0" fontId="132" fillId="74" borderId="0" xfId="58923" applyFont="1" applyFill="1" applyBorder="1" applyAlignment="1">
      <alignment horizontal="left" vertical="center"/>
    </xf>
    <xf numFmtId="0" fontId="133" fillId="74" borderId="0" xfId="58923" applyFont="1" applyFill="1" applyBorder="1" applyAlignment="1">
      <alignment horizontal="center" vertical="center"/>
    </xf>
    <xf numFmtId="0" fontId="90" fillId="74" borderId="0" xfId="58923" applyFont="1" applyFill="1" applyAlignment="1">
      <alignment horizontal="center" vertical="center"/>
    </xf>
    <xf numFmtId="0" fontId="132" fillId="74" borderId="45" xfId="58923" applyFont="1" applyFill="1" applyBorder="1" applyAlignment="1">
      <alignment vertical="center"/>
    </xf>
    <xf numFmtId="0" fontId="100" fillId="74" borderId="35" xfId="58923" applyFont="1" applyFill="1" applyBorder="1" applyAlignment="1">
      <alignment vertical="center"/>
    </xf>
    <xf numFmtId="0" fontId="100" fillId="74" borderId="36" xfId="58923" applyFont="1" applyFill="1" applyBorder="1" applyAlignment="1">
      <alignment vertical="center"/>
    </xf>
    <xf numFmtId="0" fontId="134" fillId="74" borderId="0" xfId="58923" applyFont="1" applyFill="1" applyAlignment="1">
      <alignment horizontal="center" vertical="center"/>
    </xf>
    <xf numFmtId="0" fontId="136" fillId="74" borderId="11" xfId="58923" applyFont="1" applyFill="1" applyBorder="1" applyAlignment="1">
      <alignment horizontal="center" vertical="center" wrapText="1"/>
    </xf>
    <xf numFmtId="0" fontId="140" fillId="74" borderId="11" xfId="58923" applyFont="1" applyFill="1" applyBorder="1" applyAlignment="1">
      <alignment horizontal="center" vertical="center" wrapText="1"/>
    </xf>
    <xf numFmtId="0" fontId="139" fillId="74" borderId="11" xfId="58923" applyFont="1" applyFill="1" applyBorder="1" applyAlignment="1">
      <alignment horizontal="center" vertical="center" wrapText="1"/>
    </xf>
    <xf numFmtId="3" fontId="134" fillId="74" borderId="41" xfId="58923" applyNumberFormat="1" applyFont="1" applyFill="1" applyBorder="1" applyAlignment="1">
      <alignment horizontal="center" vertical="center" wrapText="1"/>
    </xf>
    <xf numFmtId="3" fontId="100" fillId="74" borderId="11" xfId="58923" applyNumberFormat="1" applyFont="1" applyFill="1" applyBorder="1" applyAlignment="1">
      <alignment vertical="center"/>
    </xf>
    <xf numFmtId="3" fontId="141" fillId="74" borderId="14" xfId="58923" applyNumberFormat="1" applyFont="1" applyFill="1" applyBorder="1" applyAlignment="1">
      <alignment horizontal="center" vertical="center" wrapText="1"/>
    </xf>
    <xf numFmtId="3" fontId="142" fillId="74" borderId="11" xfId="58923" applyNumberFormat="1" applyFont="1" applyFill="1" applyBorder="1" applyAlignment="1">
      <alignment horizontal="center" vertical="center" wrapText="1"/>
    </xf>
    <xf numFmtId="3" fontId="141" fillId="74" borderId="11" xfId="58923" applyNumberFormat="1" applyFont="1" applyFill="1" applyBorder="1" applyAlignment="1">
      <alignment horizontal="center" vertical="center" wrapText="1"/>
    </xf>
    <xf numFmtId="3" fontId="141" fillId="74" borderId="40" xfId="58923" applyNumberFormat="1" applyFont="1" applyFill="1" applyBorder="1" applyAlignment="1">
      <alignment horizontal="center" vertical="center"/>
    </xf>
    <xf numFmtId="3" fontId="41" fillId="74" borderId="14" xfId="58923" applyNumberFormat="1" applyFont="1" applyFill="1" applyBorder="1" applyAlignment="1">
      <alignment horizontal="center" vertical="center" wrapText="1"/>
    </xf>
    <xf numFmtId="3" fontId="141" fillId="74" borderId="40" xfId="58923" applyNumberFormat="1" applyFont="1" applyFill="1" applyBorder="1" applyAlignment="1">
      <alignment horizontal="center" vertical="center" wrapText="1"/>
    </xf>
    <xf numFmtId="3" fontId="142" fillId="74" borderId="41" xfId="58923" applyNumberFormat="1" applyFont="1" applyFill="1" applyBorder="1" applyAlignment="1">
      <alignment horizontal="center" vertical="center" wrapText="1"/>
    </xf>
    <xf numFmtId="3" fontId="142" fillId="74" borderId="14" xfId="58923" applyNumberFormat="1" applyFont="1" applyFill="1" applyBorder="1" applyAlignment="1">
      <alignment horizontal="center" vertical="center" wrapText="1"/>
    </xf>
    <xf numFmtId="3" fontId="134" fillId="74" borderId="0" xfId="58923" applyNumberFormat="1" applyFont="1" applyFill="1" applyAlignment="1">
      <alignment horizontal="center" vertical="center"/>
    </xf>
    <xf numFmtId="3" fontId="142" fillId="74" borderId="39" xfId="58923" applyNumberFormat="1" applyFont="1" applyFill="1" applyBorder="1" applyAlignment="1">
      <alignment horizontal="center" vertical="center" wrapText="1"/>
    </xf>
    <xf numFmtId="0" fontId="134" fillId="74" borderId="41" xfId="58923" applyFont="1" applyFill="1" applyBorder="1" applyAlignment="1">
      <alignment horizontal="center" vertical="center"/>
    </xf>
    <xf numFmtId="0" fontId="134" fillId="74" borderId="33" xfId="58923" applyFont="1" applyFill="1" applyBorder="1" applyAlignment="1">
      <alignment horizontal="left" vertical="center" wrapText="1"/>
    </xf>
    <xf numFmtId="0" fontId="134" fillId="74" borderId="11" xfId="58923" applyFont="1" applyFill="1" applyBorder="1" applyAlignment="1">
      <alignment horizontal="left" vertical="center" wrapText="1"/>
    </xf>
    <xf numFmtId="3" fontId="134" fillId="74" borderId="14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/>
    </xf>
    <xf numFmtId="3" fontId="134" fillId="74" borderId="11" xfId="58923" applyNumberFormat="1" applyFont="1" applyFill="1" applyBorder="1" applyAlignment="1">
      <alignment horizontal="center" vertical="center" wrapText="1"/>
    </xf>
    <xf numFmtId="3" fontId="134" fillId="74" borderId="40" xfId="58923" applyNumberFormat="1" applyFont="1" applyFill="1" applyBorder="1" applyAlignment="1">
      <alignment horizontal="center" vertical="center"/>
    </xf>
    <xf numFmtId="3" fontId="48" fillId="74" borderId="14" xfId="58923" applyNumberFormat="1" applyFont="1" applyFill="1" applyBorder="1" applyAlignment="1">
      <alignment horizontal="center" vertical="center" wrapText="1"/>
    </xf>
    <xf numFmtId="3" fontId="134" fillId="74" borderId="40" xfId="58923" applyNumberFormat="1" applyFont="1" applyFill="1" applyBorder="1" applyAlignment="1">
      <alignment horizontal="center" vertical="center" wrapText="1"/>
    </xf>
    <xf numFmtId="3" fontId="134" fillId="74" borderId="13" xfId="58923" applyNumberFormat="1" applyFont="1" applyFill="1" applyBorder="1" applyAlignment="1">
      <alignment horizontal="center" vertical="center" wrapText="1"/>
    </xf>
    <xf numFmtId="0" fontId="90" fillId="74" borderId="0" xfId="58923" applyFont="1" applyFill="1" applyAlignment="1">
      <alignment horizontal="left" vertical="center"/>
    </xf>
    <xf numFmtId="3" fontId="144" fillId="74" borderId="11" xfId="58923" applyNumberFormat="1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/>
    </xf>
    <xf numFmtId="171" fontId="134" fillId="74" borderId="33" xfId="58923" applyNumberFormat="1" applyFont="1" applyFill="1" applyBorder="1" applyAlignment="1">
      <alignment horizontal="left" vertical="center" wrapText="1"/>
    </xf>
    <xf numFmtId="0" fontId="90" fillId="74" borderId="0" xfId="58923" applyFont="1" applyFill="1" applyBorder="1" applyAlignment="1">
      <alignment horizontal="left" vertical="center"/>
    </xf>
    <xf numFmtId="0" fontId="134" fillId="74" borderId="0" xfId="58923" applyFont="1" applyFill="1" applyBorder="1" applyAlignment="1">
      <alignment horizontal="left" vertical="center" wrapText="1"/>
    </xf>
    <xf numFmtId="0" fontId="134" fillId="74" borderId="33" xfId="58923" applyFont="1" applyFill="1" applyBorder="1" applyAlignment="1">
      <alignment horizontal="left" vertical="center"/>
    </xf>
    <xf numFmtId="0" fontId="134" fillId="74" borderId="11" xfId="58923" applyFont="1" applyFill="1" applyBorder="1" applyAlignment="1">
      <alignment horizontal="left" vertical="center"/>
    </xf>
    <xf numFmtId="3" fontId="132" fillId="74" borderId="0" xfId="58923" applyNumberFormat="1" applyFont="1" applyFill="1" applyBorder="1" applyAlignment="1">
      <alignment horizontal="center" vertical="center"/>
    </xf>
    <xf numFmtId="3" fontId="132" fillId="74" borderId="0" xfId="58923" applyNumberFormat="1" applyFont="1" applyFill="1" applyBorder="1" applyAlignment="1">
      <alignment horizontal="right" vertical="center"/>
    </xf>
    <xf numFmtId="3" fontId="90" fillId="74" borderId="0" xfId="58923" applyNumberFormat="1" applyFont="1" applyFill="1" applyBorder="1" applyAlignment="1">
      <alignment horizontal="center" vertical="center"/>
    </xf>
    <xf numFmtId="0" fontId="132" fillId="74" borderId="0" xfId="58923" applyFont="1" applyFill="1" applyBorder="1" applyAlignment="1">
      <alignment horizontal="center" vertical="center"/>
    </xf>
    <xf numFmtId="0" fontId="90" fillId="74" borderId="0" xfId="58923" applyFont="1" applyFill="1" applyBorder="1" applyAlignment="1">
      <alignment horizontal="center" vertical="center"/>
    </xf>
    <xf numFmtId="0" fontId="132" fillId="74" borderId="11" xfId="58923" applyFont="1" applyFill="1" applyBorder="1" applyAlignment="1">
      <alignment horizontal="left" vertical="center"/>
    </xf>
    <xf numFmtId="0" fontId="132" fillId="74" borderId="11" xfId="58923" applyFont="1" applyFill="1" applyBorder="1" applyAlignment="1">
      <alignment horizontal="center" vertical="center"/>
    </xf>
    <xf numFmtId="0" fontId="48" fillId="74" borderId="0" xfId="61317" applyFont="1" applyFill="1" applyAlignment="1">
      <alignment horizontal="center" vertical="center"/>
    </xf>
    <xf numFmtId="0" fontId="100" fillId="74" borderId="14" xfId="61320" applyFont="1" applyFill="1" applyBorder="1" applyAlignment="1">
      <alignment horizontal="left" vertical="center" wrapText="1"/>
    </xf>
    <xf numFmtId="0" fontId="48" fillId="74" borderId="14" xfId="61320" applyFont="1" applyFill="1" applyBorder="1" applyAlignment="1">
      <alignment horizontal="left" vertical="center" wrapText="1"/>
    </xf>
    <xf numFmtId="0" fontId="48" fillId="74" borderId="0" xfId="61317" applyFont="1" applyFill="1" applyAlignment="1">
      <alignment horizontal="left" vertical="center"/>
    </xf>
    <xf numFmtId="0" fontId="38" fillId="0" borderId="14" xfId="61321" applyFont="1" applyFill="1" applyBorder="1" applyAlignment="1">
      <alignment horizontal="left" wrapText="1"/>
    </xf>
    <xf numFmtId="0" fontId="48" fillId="74" borderId="0" xfId="61317" applyFont="1" applyFill="1" applyAlignment="1">
      <alignment horizontal="right" vertical="center"/>
    </xf>
    <xf numFmtId="3" fontId="48" fillId="74" borderId="0" xfId="61317" applyNumberFormat="1" applyFont="1" applyFill="1" applyAlignment="1">
      <alignment horizontal="center" vertical="center"/>
    </xf>
    <xf numFmtId="0" fontId="103" fillId="74" borderId="0" xfId="61320" applyFont="1" applyFill="1" applyAlignment="1">
      <alignment vertical="center"/>
    </xf>
    <xf numFmtId="0" fontId="103" fillId="74" borderId="0" xfId="61320" applyFont="1" applyFill="1" applyAlignment="1">
      <alignment horizontal="center" vertical="center"/>
    </xf>
    <xf numFmtId="3" fontId="103" fillId="74" borderId="0" xfId="61320" applyNumberFormat="1" applyFont="1" applyFill="1" applyAlignment="1">
      <alignment horizontal="center" vertical="center"/>
    </xf>
    <xf numFmtId="0" fontId="103" fillId="74" borderId="38" xfId="61320" applyFont="1" applyFill="1" applyBorder="1" applyAlignment="1">
      <alignment horizontal="center" vertical="center"/>
    </xf>
    <xf numFmtId="3" fontId="103" fillId="74" borderId="38" xfId="61320" applyNumberFormat="1" applyFont="1" applyFill="1" applyBorder="1" applyAlignment="1">
      <alignment horizontal="center" vertical="center"/>
    </xf>
    <xf numFmtId="3" fontId="103" fillId="74" borderId="11" xfId="61320" applyNumberFormat="1" applyFont="1" applyFill="1" applyBorder="1" applyAlignment="1">
      <alignment horizontal="center" vertical="center"/>
    </xf>
    <xf numFmtId="3" fontId="103" fillId="74" borderId="54" xfId="61320" applyNumberFormat="1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horizontal="right" vertical="center"/>
    </xf>
    <xf numFmtId="3" fontId="103" fillId="74" borderId="0" xfId="61320" applyNumberFormat="1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vertical="center"/>
    </xf>
    <xf numFmtId="0" fontId="123" fillId="74" borderId="0" xfId="61320" applyFont="1" applyFill="1" applyBorder="1" applyAlignment="1">
      <alignment vertical="center"/>
    </xf>
    <xf numFmtId="3" fontId="123" fillId="74" borderId="0" xfId="61320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vertical="center"/>
    </xf>
    <xf numFmtId="0" fontId="130" fillId="74" borderId="11" xfId="61317" applyFont="1" applyFill="1" applyBorder="1" applyAlignment="1">
      <alignment horizontal="center" vertical="center" wrapText="1"/>
    </xf>
    <xf numFmtId="3" fontId="48" fillId="74" borderId="11" xfId="61317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left" vertical="center"/>
    </xf>
    <xf numFmtId="0" fontId="100" fillId="74" borderId="35" xfId="58923" applyFont="1" applyFill="1" applyBorder="1" applyAlignment="1">
      <alignment horizontal="left" vertical="center"/>
    </xf>
    <xf numFmtId="3" fontId="114" fillId="74" borderId="33" xfId="58923" applyNumberFormat="1" applyFont="1" applyFill="1" applyBorder="1" applyAlignment="1">
      <alignment horizontal="center" vertical="center" wrapText="1"/>
    </xf>
    <xf numFmtId="3" fontId="117" fillId="74" borderId="11" xfId="58923" applyNumberFormat="1" applyFont="1" applyFill="1" applyBorder="1" applyAlignment="1">
      <alignment vertical="center" wrapText="1"/>
    </xf>
    <xf numFmtId="3" fontId="134" fillId="74" borderId="38" xfId="58923" applyNumberFormat="1" applyFont="1" applyFill="1" applyBorder="1" applyAlignment="1">
      <alignment horizontal="center" vertical="center" wrapText="1"/>
    </xf>
    <xf numFmtId="0" fontId="134" fillId="74" borderId="38" xfId="58923" applyFont="1" applyFill="1" applyBorder="1" applyAlignment="1">
      <alignment horizontal="center" vertical="center"/>
    </xf>
    <xf numFmtId="0" fontId="134" fillId="74" borderId="42" xfId="58923" applyFont="1" applyFill="1" applyBorder="1" applyAlignment="1">
      <alignment horizontal="center" vertical="center"/>
    </xf>
    <xf numFmtId="0" fontId="134" fillId="74" borderId="55" xfId="58923" applyFont="1" applyFill="1" applyBorder="1" applyAlignment="1">
      <alignment horizontal="left" vertical="center" wrapText="1"/>
    </xf>
    <xf numFmtId="0" fontId="134" fillId="74" borderId="53" xfId="58923" applyFont="1" applyFill="1" applyBorder="1" applyAlignment="1">
      <alignment horizontal="left" vertical="center" wrapText="1"/>
    </xf>
    <xf numFmtId="3" fontId="134" fillId="74" borderId="43" xfId="58923" applyNumberFormat="1" applyFont="1" applyFill="1" applyBorder="1" applyAlignment="1">
      <alignment horizontal="center" vertical="center" wrapText="1"/>
    </xf>
    <xf numFmtId="3" fontId="134" fillId="74" borderId="53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/>
    </xf>
    <xf numFmtId="3" fontId="48" fillId="74" borderId="43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 wrapText="1"/>
    </xf>
    <xf numFmtId="3" fontId="135" fillId="74" borderId="39" xfId="58923" applyNumberFormat="1" applyFont="1" applyFill="1" applyBorder="1" applyAlignment="1">
      <alignment horizontal="center" vertical="center" wrapText="1"/>
    </xf>
    <xf numFmtId="3" fontId="135" fillId="74" borderId="40" xfId="58923" applyNumberFormat="1" applyFont="1" applyFill="1" applyBorder="1" applyAlignment="1">
      <alignment horizontal="center" vertical="center" wrapText="1"/>
    </xf>
    <xf numFmtId="3" fontId="134" fillId="74" borderId="42" xfId="58923" applyNumberFormat="1" applyFont="1" applyFill="1" applyBorder="1" applyAlignment="1">
      <alignment horizontal="center" vertical="center" wrapText="1"/>
    </xf>
    <xf numFmtId="3" fontId="134" fillId="74" borderId="56" xfId="58923" applyNumberFormat="1" applyFont="1" applyFill="1" applyBorder="1" applyAlignment="1">
      <alignment horizontal="center" vertical="center" wrapText="1"/>
    </xf>
    <xf numFmtId="3" fontId="135" fillId="74" borderId="44" xfId="58923" applyNumberFormat="1" applyFont="1" applyFill="1" applyBorder="1" applyAlignment="1">
      <alignment horizontal="center" vertical="center" wrapText="1"/>
    </xf>
    <xf numFmtId="3" fontId="100" fillId="74" borderId="40" xfId="61317" applyNumberFormat="1" applyFont="1" applyFill="1" applyBorder="1" applyAlignment="1">
      <alignment horizontal="center" vertical="center" wrapText="1"/>
    </xf>
    <xf numFmtId="0" fontId="100" fillId="74" borderId="40" xfId="61317" applyFont="1" applyFill="1" applyBorder="1" applyAlignment="1">
      <alignment horizontal="center" vertical="center" wrapText="1"/>
    </xf>
    <xf numFmtId="3" fontId="48" fillId="74" borderId="40" xfId="61317" applyNumberFormat="1" applyFont="1" applyFill="1" applyBorder="1" applyAlignment="1">
      <alignment horizontal="center" vertical="center" wrapText="1"/>
    </xf>
    <xf numFmtId="0" fontId="48" fillId="74" borderId="43" xfId="61317" applyFont="1" applyFill="1" applyBorder="1" applyAlignment="1">
      <alignment horizontal="center" vertical="center" wrapText="1"/>
    </xf>
    <xf numFmtId="0" fontId="48" fillId="74" borderId="43" xfId="61320" applyFont="1" applyFill="1" applyBorder="1" applyAlignment="1">
      <alignment horizontal="left" vertical="center" wrapText="1"/>
    </xf>
    <xf numFmtId="3" fontId="103" fillId="74" borderId="11" xfId="61320" applyNumberFormat="1" applyFont="1" applyFill="1" applyBorder="1" applyAlignment="1">
      <alignment horizontal="center" vertical="center" wrapText="1" shrinkToFit="1"/>
    </xf>
    <xf numFmtId="0" fontId="103" fillId="74" borderId="11" xfId="61320" applyFont="1" applyFill="1" applyBorder="1" applyAlignment="1">
      <alignment horizontal="center" vertical="center"/>
    </xf>
    <xf numFmtId="0" fontId="123" fillId="74" borderId="11" xfId="61320" applyFont="1" applyFill="1" applyBorder="1" applyAlignment="1">
      <alignment vertical="center"/>
    </xf>
    <xf numFmtId="3" fontId="123" fillId="74" borderId="11" xfId="61320" applyNumberFormat="1" applyFont="1" applyFill="1" applyBorder="1" applyAlignment="1">
      <alignment horizontal="center" vertical="center"/>
    </xf>
    <xf numFmtId="3" fontId="103" fillId="74" borderId="11" xfId="61319" applyNumberFormat="1" applyFont="1" applyFill="1" applyBorder="1" applyAlignment="1">
      <alignment horizontal="left" vertical="center" wrapText="1"/>
    </xf>
    <xf numFmtId="3" fontId="103" fillId="74" borderId="11" xfId="58975" applyNumberFormat="1" applyFont="1" applyFill="1" applyBorder="1" applyAlignment="1">
      <alignment horizontal="left" vertical="center" wrapText="1"/>
    </xf>
    <xf numFmtId="1" fontId="103" fillId="74" borderId="11" xfId="61319" applyNumberFormat="1" applyFont="1" applyFill="1" applyBorder="1" applyAlignment="1">
      <alignment horizontal="left" vertical="center" wrapText="1"/>
    </xf>
    <xf numFmtId="3" fontId="103" fillId="74" borderId="11" xfId="61320" applyNumberFormat="1" applyFont="1" applyFill="1" applyBorder="1" applyAlignment="1">
      <alignment vertical="center" wrapText="1"/>
    </xf>
    <xf numFmtId="4" fontId="103" fillId="74" borderId="11" xfId="61319" applyNumberFormat="1" applyFont="1" applyFill="1" applyBorder="1" applyAlignment="1">
      <alignment horizontal="left" vertical="center" wrapText="1"/>
    </xf>
    <xf numFmtId="0" fontId="103" fillId="74" borderId="53" xfId="61320" applyFont="1" applyFill="1" applyBorder="1" applyAlignment="1">
      <alignment horizontal="center" vertical="center"/>
    </xf>
    <xf numFmtId="3" fontId="103" fillId="74" borderId="53" xfId="61319" applyNumberFormat="1" applyFont="1" applyFill="1" applyBorder="1" applyAlignment="1">
      <alignment horizontal="left" vertical="center" wrapText="1"/>
    </xf>
    <xf numFmtId="3" fontId="103" fillId="74" borderId="53" xfId="61320" applyNumberFormat="1" applyFont="1" applyFill="1" applyBorder="1" applyAlignment="1">
      <alignment horizontal="center" vertical="center"/>
    </xf>
    <xf numFmtId="3" fontId="123" fillId="74" borderId="15" xfId="61320" applyNumberFormat="1" applyFont="1" applyFill="1" applyBorder="1" applyAlignment="1">
      <alignment horizontal="center" vertical="center"/>
    </xf>
    <xf numFmtId="3" fontId="103" fillId="74" borderId="15" xfId="61320" applyNumberFormat="1" applyFont="1" applyFill="1" applyBorder="1" applyAlignment="1">
      <alignment horizontal="center" vertical="center"/>
    </xf>
    <xf numFmtId="3" fontId="103" fillId="74" borderId="60" xfId="61320" applyNumberFormat="1" applyFont="1" applyFill="1" applyBorder="1" applyAlignment="1">
      <alignment horizontal="center" vertical="center"/>
    </xf>
    <xf numFmtId="3" fontId="123" fillId="74" borderId="62" xfId="61320" applyNumberFormat="1" applyFont="1" applyFill="1" applyBorder="1" applyAlignment="1">
      <alignment horizontal="center" vertical="center"/>
    </xf>
    <xf numFmtId="3" fontId="103" fillId="74" borderId="62" xfId="61320" applyNumberFormat="1" applyFont="1" applyFill="1" applyBorder="1" applyAlignment="1">
      <alignment horizontal="center" vertical="center"/>
    </xf>
    <xf numFmtId="3" fontId="123" fillId="74" borderId="54" xfId="61320" applyNumberFormat="1" applyFont="1" applyFill="1" applyBorder="1" applyAlignment="1">
      <alignment horizontal="center" vertical="center"/>
    </xf>
    <xf numFmtId="3" fontId="103" fillId="74" borderId="63" xfId="61320" applyNumberFormat="1" applyFont="1" applyFill="1" applyBorder="1" applyAlignment="1">
      <alignment horizontal="center" vertical="center"/>
    </xf>
    <xf numFmtId="3" fontId="123" fillId="74" borderId="38" xfId="61320" applyNumberFormat="1" applyFont="1" applyFill="1" applyBorder="1" applyAlignment="1">
      <alignment horizontal="center" vertical="center"/>
    </xf>
    <xf numFmtId="0" fontId="38" fillId="0" borderId="11" xfId="3" applyFont="1" applyFill="1" applyBorder="1" applyAlignment="1">
      <alignment horizontal="left" vertical="center" wrapText="1"/>
    </xf>
    <xf numFmtId="0" fontId="28" fillId="0" borderId="0" xfId="59012"/>
    <xf numFmtId="0" fontId="44" fillId="0" borderId="11" xfId="59012" applyFont="1" applyBorder="1" applyAlignment="1">
      <alignment horizontal="center" vertical="center"/>
    </xf>
    <xf numFmtId="49" fontId="36" fillId="0" borderId="11" xfId="58921" applyNumberFormat="1" applyFont="1" applyBorder="1" applyAlignment="1">
      <alignment horizontal="center" vertical="center" wrapText="1"/>
    </xf>
    <xf numFmtId="0" fontId="46" fillId="0" borderId="11" xfId="58921" applyFont="1" applyBorder="1" applyAlignment="1">
      <alignment horizontal="left" vertical="center" wrapText="1"/>
    </xf>
    <xf numFmtId="0" fontId="36" fillId="0" borderId="11" xfId="58921" applyFont="1" applyBorder="1" applyAlignment="1">
      <alignment horizontal="center" vertical="center" wrapText="1"/>
    </xf>
    <xf numFmtId="49" fontId="36" fillId="0" borderId="11" xfId="58921" applyNumberFormat="1" applyFont="1" applyBorder="1" applyAlignment="1">
      <alignment horizontal="center" vertical="center"/>
    </xf>
    <xf numFmtId="0" fontId="36" fillId="0" borderId="11" xfId="58921" applyFont="1" applyBorder="1" applyAlignment="1">
      <alignment horizontal="left" vertical="center" wrapText="1"/>
    </xf>
    <xf numFmtId="49" fontId="44" fillId="0" borderId="11" xfId="58921" applyNumberFormat="1" applyFont="1" applyBorder="1" applyAlignment="1">
      <alignment horizontal="center" vertical="center" wrapText="1"/>
    </xf>
    <xf numFmtId="0" fontId="44" fillId="0" borderId="11" xfId="58921" applyFont="1" applyBorder="1" applyAlignment="1">
      <alignment horizontal="left" vertical="center" wrapText="1"/>
    </xf>
    <xf numFmtId="0" fontId="44" fillId="0" borderId="11" xfId="4" applyFont="1" applyBorder="1" applyAlignment="1">
      <alignment horizontal="center" vertical="center"/>
    </xf>
    <xf numFmtId="49" fontId="36" fillId="0" borderId="11" xfId="59012" applyNumberFormat="1" applyFont="1" applyBorder="1" applyAlignment="1">
      <alignment horizontal="center" vertical="center" wrapText="1"/>
    </xf>
    <xf numFmtId="0" fontId="46" fillId="0" borderId="11" xfId="59012" applyFont="1" applyBorder="1" applyAlignment="1">
      <alignment horizontal="left" vertical="center" wrapText="1"/>
    </xf>
    <xf numFmtId="49" fontId="44" fillId="0" borderId="11" xfId="58921" applyNumberFormat="1" applyFont="1" applyBorder="1" applyAlignment="1">
      <alignment horizontal="center" vertical="center"/>
    </xf>
    <xf numFmtId="0" fontId="44" fillId="74" borderId="11" xfId="58921" applyFont="1" applyFill="1" applyBorder="1" applyAlignment="1">
      <alignment horizontal="left" vertical="center" wrapText="1"/>
    </xf>
    <xf numFmtId="0" fontId="44" fillId="0" borderId="11" xfId="58975" applyFont="1" applyFill="1" applyBorder="1" applyAlignment="1">
      <alignment horizontal="left" vertical="center" wrapText="1"/>
    </xf>
    <xf numFmtId="49" fontId="36" fillId="0" borderId="11" xfId="59012" applyNumberFormat="1" applyFont="1" applyBorder="1" applyAlignment="1">
      <alignment horizontal="center" vertical="center"/>
    </xf>
    <xf numFmtId="0" fontId="36" fillId="0" borderId="11" xfId="59012" applyFont="1" applyBorder="1" applyAlignment="1">
      <alignment horizontal="left" vertical="center" wrapText="1"/>
    </xf>
    <xf numFmtId="49" fontId="36" fillId="0" borderId="11" xfId="58921" applyNumberFormat="1" applyFont="1" applyBorder="1" applyAlignment="1">
      <alignment horizontal="left" vertical="center" wrapText="1"/>
    </xf>
    <xf numFmtId="49" fontId="48" fillId="0" borderId="11" xfId="58921" applyNumberFormat="1" applyFont="1" applyBorder="1" applyAlignment="1">
      <alignment horizontal="center" vertical="center"/>
    </xf>
    <xf numFmtId="0" fontId="48" fillId="0" borderId="11" xfId="58921" applyFont="1" applyBorder="1" applyAlignment="1">
      <alignment horizontal="left" vertical="center" wrapText="1"/>
    </xf>
    <xf numFmtId="3" fontId="44" fillId="0" borderId="11" xfId="58921" applyNumberFormat="1" applyFont="1" applyBorder="1" applyAlignment="1">
      <alignment horizontal="center" vertical="center"/>
    </xf>
    <xf numFmtId="3" fontId="46" fillId="0" borderId="11" xfId="59012" applyNumberFormat="1" applyFont="1" applyBorder="1" applyAlignment="1">
      <alignment horizontal="left" vertical="center" wrapText="1"/>
    </xf>
    <xf numFmtId="170" fontId="44" fillId="0" borderId="11" xfId="58921" applyNumberFormat="1" applyFont="1" applyBorder="1" applyAlignment="1">
      <alignment horizontal="center" vertical="center"/>
    </xf>
    <xf numFmtId="3" fontId="44" fillId="0" borderId="11" xfId="59012" applyNumberFormat="1" applyFont="1" applyBorder="1" applyAlignment="1">
      <alignment horizontal="left" vertical="center" wrapText="1"/>
    </xf>
    <xf numFmtId="0" fontId="44" fillId="0" borderId="11" xfId="59012" applyFont="1" applyBorder="1" applyAlignment="1">
      <alignment horizontal="left" vertical="center"/>
    </xf>
    <xf numFmtId="3" fontId="28" fillId="0" borderId="0" xfId="59012" applyNumberFormat="1"/>
    <xf numFmtId="3" fontId="103" fillId="0" borderId="31" xfId="0" applyNumberFormat="1" applyFont="1" applyFill="1" applyBorder="1" applyAlignment="1">
      <alignment horizontal="center" vertical="center"/>
    </xf>
    <xf numFmtId="3" fontId="44" fillId="0" borderId="38" xfId="0" applyNumberFormat="1" applyFont="1" applyFill="1" applyBorder="1" applyAlignment="1">
      <alignment horizontal="center" vertical="center"/>
    </xf>
    <xf numFmtId="3" fontId="44" fillId="0" borderId="11" xfId="0" applyNumberFormat="1" applyFont="1" applyFill="1" applyBorder="1" applyAlignment="1">
      <alignment horizontal="center" vertical="center"/>
    </xf>
    <xf numFmtId="3" fontId="36" fillId="0" borderId="11" xfId="58940" applyNumberFormat="1" applyFont="1" applyFill="1" applyBorder="1" applyAlignment="1">
      <alignment horizontal="center" vertical="center" wrapText="1"/>
    </xf>
    <xf numFmtId="3" fontId="36" fillId="0" borderId="11" xfId="58940" applyNumberFormat="1" applyFont="1" applyFill="1" applyBorder="1" applyAlignment="1">
      <alignment horizontal="center" vertical="center"/>
    </xf>
    <xf numFmtId="3" fontId="44" fillId="0" borderId="15" xfId="58940" applyNumberFormat="1" applyFont="1" applyFill="1" applyBorder="1" applyAlignment="1">
      <alignment horizontal="left" vertical="center" wrapText="1"/>
    </xf>
    <xf numFmtId="49" fontId="36" fillId="0" borderId="11" xfId="58940" applyNumberFormat="1" applyFont="1" applyFill="1" applyBorder="1" applyAlignment="1">
      <alignment horizontal="center" vertical="center"/>
    </xf>
    <xf numFmtId="49" fontId="36" fillId="0" borderId="11" xfId="58940" applyNumberFormat="1" applyFont="1" applyFill="1" applyBorder="1" applyAlignment="1">
      <alignment horizontal="center" vertical="center" wrapText="1"/>
    </xf>
    <xf numFmtId="0" fontId="44" fillId="0" borderId="15" xfId="58940" applyFont="1" applyFill="1" applyBorder="1" applyAlignment="1">
      <alignment horizontal="left" vertical="center" wrapText="1"/>
    </xf>
    <xf numFmtId="0" fontId="44" fillId="0" borderId="11" xfId="58940" applyFont="1" applyFill="1" applyBorder="1" applyAlignment="1">
      <alignment horizontal="center" vertical="center" wrapText="1"/>
    </xf>
    <xf numFmtId="0" fontId="41" fillId="0" borderId="15" xfId="58940" applyFont="1" applyFill="1" applyBorder="1" applyAlignment="1">
      <alignment horizontal="left" vertical="center" wrapText="1"/>
    </xf>
    <xf numFmtId="4" fontId="44" fillId="0" borderId="15" xfId="58975" applyNumberFormat="1" applyFont="1" applyFill="1" applyBorder="1" applyAlignment="1">
      <alignment horizontal="left" vertical="center" wrapText="1"/>
    </xf>
    <xf numFmtId="3" fontId="44" fillId="0" borderId="11" xfId="58940" applyNumberFormat="1" applyFont="1" applyFill="1" applyBorder="1" applyAlignment="1">
      <alignment horizontal="center" vertical="center"/>
    </xf>
    <xf numFmtId="170" fontId="44" fillId="0" borderId="11" xfId="58940" applyNumberFormat="1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horizontal="left" vertical="center" wrapText="1"/>
    </xf>
    <xf numFmtId="3" fontId="44" fillId="0" borderId="31" xfId="58940" applyNumberFormat="1" applyFont="1" applyFill="1" applyBorder="1" applyAlignment="1">
      <alignment horizontal="center" vertical="center"/>
    </xf>
    <xf numFmtId="0" fontId="44" fillId="0" borderId="59" xfId="0" applyFont="1" applyFill="1" applyBorder="1" applyAlignment="1">
      <alignment horizontal="center" vertical="center"/>
    </xf>
    <xf numFmtId="0" fontId="44" fillId="0" borderId="53" xfId="0" applyFont="1" applyFill="1" applyBorder="1" applyAlignment="1">
      <alignment horizontal="center" vertical="center"/>
    </xf>
    <xf numFmtId="0" fontId="44" fillId="0" borderId="60" xfId="0" applyFont="1" applyFill="1" applyBorder="1" applyAlignment="1">
      <alignment horizontal="left" vertical="center"/>
    </xf>
    <xf numFmtId="0" fontId="48" fillId="74" borderId="0" xfId="61329" applyFont="1" applyFill="1" applyAlignment="1">
      <alignment horizontal="center" vertical="center"/>
    </xf>
    <xf numFmtId="0" fontId="48" fillId="74" borderId="11" xfId="61329" applyFont="1" applyFill="1" applyBorder="1" applyAlignment="1">
      <alignment horizontal="center" vertical="center" wrapText="1"/>
    </xf>
    <xf numFmtId="0" fontId="100" fillId="74" borderId="11" xfId="61330" applyFont="1" applyFill="1" applyBorder="1" applyAlignment="1">
      <alignment horizontal="left" vertical="center" wrapText="1"/>
    </xf>
    <xf numFmtId="3" fontId="100" fillId="74" borderId="11" xfId="61329" applyNumberFormat="1" applyFont="1" applyFill="1" applyBorder="1" applyAlignment="1">
      <alignment horizontal="center" vertical="center" wrapText="1"/>
    </xf>
    <xf numFmtId="0" fontId="100" fillId="74" borderId="11" xfId="61329" applyFont="1" applyFill="1" applyBorder="1" applyAlignment="1">
      <alignment horizontal="center" vertical="center" wrapText="1"/>
    </xf>
    <xf numFmtId="0" fontId="48" fillId="74" borderId="11" xfId="61330" applyFont="1" applyFill="1" applyBorder="1" applyAlignment="1">
      <alignment horizontal="left" vertical="center" wrapText="1"/>
    </xf>
    <xf numFmtId="3" fontId="48" fillId="74" borderId="11" xfId="61329" applyNumberFormat="1" applyFont="1" applyFill="1" applyBorder="1" applyAlignment="1">
      <alignment horizontal="center" vertical="center" wrapText="1"/>
    </xf>
    <xf numFmtId="0" fontId="48" fillId="74" borderId="0" xfId="61329" applyFont="1" applyFill="1" applyAlignment="1">
      <alignment horizontal="right" vertical="center"/>
    </xf>
    <xf numFmtId="3" fontId="48" fillId="74" borderId="0" xfId="61329" applyNumberFormat="1" applyFont="1" applyFill="1" applyAlignment="1">
      <alignment horizontal="center" vertical="center"/>
    </xf>
    <xf numFmtId="0" fontId="48" fillId="74" borderId="0" xfId="61329" applyFont="1" applyFill="1" applyAlignment="1">
      <alignment horizontal="left" vertical="center"/>
    </xf>
    <xf numFmtId="0" fontId="44" fillId="0" borderId="11" xfId="59012" applyFont="1" applyFill="1" applyBorder="1" applyAlignment="1">
      <alignment horizontal="center" vertical="center"/>
    </xf>
    <xf numFmtId="0" fontId="46" fillId="0" borderId="11" xfId="58940" applyFont="1" applyFill="1" applyBorder="1" applyAlignment="1">
      <alignment horizontal="left" vertical="center" wrapText="1"/>
    </xf>
    <xf numFmtId="0" fontId="36" fillId="0" borderId="11" xfId="58940" applyFont="1" applyFill="1" applyBorder="1" applyAlignment="1">
      <alignment horizontal="center" vertical="center" wrapText="1"/>
    </xf>
    <xf numFmtId="0" fontId="36" fillId="0" borderId="11" xfId="58940" applyFont="1" applyFill="1" applyBorder="1" applyAlignment="1">
      <alignment horizontal="left" vertical="center" wrapText="1"/>
    </xf>
    <xf numFmtId="49" fontId="44" fillId="0" borderId="11" xfId="58940" applyNumberFormat="1" applyFont="1" applyFill="1" applyBorder="1" applyAlignment="1">
      <alignment horizontal="center" vertical="center" wrapText="1"/>
    </xf>
    <xf numFmtId="0" fontId="44" fillId="0" borderId="11" xfId="58940" applyFont="1" applyFill="1" applyBorder="1" applyAlignment="1">
      <alignment horizontal="left" vertical="center" wrapText="1"/>
    </xf>
    <xf numFmtId="49" fontId="36" fillId="0" borderId="11" xfId="59012" applyNumberFormat="1" applyFont="1" applyFill="1" applyBorder="1" applyAlignment="1">
      <alignment horizontal="center" vertical="center" wrapText="1"/>
    </xf>
    <xf numFmtId="0" fontId="46" fillId="0" borderId="11" xfId="59012" applyFont="1" applyFill="1" applyBorder="1" applyAlignment="1">
      <alignment horizontal="left" vertical="center" wrapText="1"/>
    </xf>
    <xf numFmtId="49" fontId="36" fillId="0" borderId="11" xfId="59012" applyNumberFormat="1" applyFont="1" applyFill="1" applyBorder="1" applyAlignment="1">
      <alignment horizontal="center" vertical="center"/>
    </xf>
    <xf numFmtId="0" fontId="36" fillId="0" borderId="11" xfId="59012" applyFont="1" applyFill="1" applyBorder="1" applyAlignment="1">
      <alignment horizontal="left" vertical="center" wrapText="1"/>
    </xf>
    <xf numFmtId="49" fontId="36" fillId="0" borderId="11" xfId="58940" applyNumberFormat="1" applyFont="1" applyFill="1" applyBorder="1" applyAlignment="1">
      <alignment horizontal="left" vertical="center" wrapText="1"/>
    </xf>
    <xf numFmtId="3" fontId="46" fillId="0" borderId="11" xfId="59012" applyNumberFormat="1" applyFont="1" applyFill="1" applyBorder="1" applyAlignment="1">
      <alignment horizontal="left" vertical="center" wrapText="1"/>
    </xf>
    <xf numFmtId="3" fontId="44" fillId="0" borderId="11" xfId="59012" applyNumberFormat="1" applyFont="1" applyFill="1" applyBorder="1" applyAlignment="1">
      <alignment horizontal="left" vertical="center" wrapText="1"/>
    </xf>
    <xf numFmtId="3" fontId="46" fillId="0" borderId="31" xfId="59012" applyNumberFormat="1" applyFont="1" applyFill="1" applyBorder="1" applyAlignment="1">
      <alignment horizontal="left" vertical="center" wrapText="1"/>
    </xf>
    <xf numFmtId="0" fontId="44" fillId="0" borderId="11" xfId="59012" applyFont="1" applyFill="1" applyBorder="1" applyAlignment="1">
      <alignment horizontal="left" vertical="center"/>
    </xf>
    <xf numFmtId="49" fontId="36" fillId="0" borderId="11" xfId="58921" applyNumberFormat="1" applyFont="1" applyFill="1" applyBorder="1" applyAlignment="1">
      <alignment horizontal="center" vertical="center" wrapText="1"/>
    </xf>
    <xf numFmtId="0" fontId="46" fillId="0" borderId="11" xfId="58921" applyFont="1" applyFill="1" applyBorder="1" applyAlignment="1">
      <alignment horizontal="left" vertical="center" wrapText="1"/>
    </xf>
    <xf numFmtId="0" fontId="36" fillId="0" borderId="11" xfId="58921" applyFont="1" applyFill="1" applyBorder="1" applyAlignment="1">
      <alignment horizontal="center" vertical="center" wrapText="1"/>
    </xf>
    <xf numFmtId="49" fontId="36" fillId="0" borderId="11" xfId="58921" applyNumberFormat="1" applyFont="1" applyFill="1" applyBorder="1" applyAlignment="1">
      <alignment horizontal="center" vertical="center"/>
    </xf>
    <xf numFmtId="0" fontId="36" fillId="0" borderId="11" xfId="58921" applyFont="1" applyFill="1" applyBorder="1" applyAlignment="1">
      <alignment horizontal="left" vertical="center" wrapText="1"/>
    </xf>
    <xf numFmtId="49" fontId="44" fillId="0" borderId="11" xfId="58921" applyNumberFormat="1" applyFont="1" applyFill="1" applyBorder="1" applyAlignment="1">
      <alignment horizontal="center" vertical="center" wrapText="1"/>
    </xf>
    <xf numFmtId="49" fontId="44" fillId="0" borderId="11" xfId="58921" applyNumberFormat="1" applyFont="1" applyFill="1" applyBorder="1" applyAlignment="1">
      <alignment horizontal="center" vertical="center"/>
    </xf>
    <xf numFmtId="49" fontId="36" fillId="0" borderId="11" xfId="58921" applyNumberFormat="1" applyFont="1" applyFill="1" applyBorder="1" applyAlignment="1">
      <alignment horizontal="left" vertical="center" wrapText="1"/>
    </xf>
    <xf numFmtId="49" fontId="48" fillId="0" borderId="11" xfId="58921" applyNumberFormat="1" applyFont="1" applyFill="1" applyBorder="1" applyAlignment="1">
      <alignment horizontal="center" vertical="center"/>
    </xf>
    <xf numFmtId="0" fontId="48" fillId="0" borderId="11" xfId="58921" applyFont="1" applyFill="1" applyBorder="1" applyAlignment="1">
      <alignment horizontal="left" vertical="center" wrapText="1"/>
    </xf>
    <xf numFmtId="3" fontId="46" fillId="0" borderId="11" xfId="57801" applyNumberFormat="1" applyFont="1" applyFill="1" applyBorder="1" applyAlignment="1">
      <alignment horizontal="left" vertical="center" wrapText="1"/>
    </xf>
    <xf numFmtId="3" fontId="44" fillId="0" borderId="11" xfId="57801" applyNumberFormat="1" applyFont="1" applyFill="1" applyBorder="1" applyAlignment="1">
      <alignment horizontal="left" vertical="center" wrapText="1"/>
    </xf>
    <xf numFmtId="0" fontId="44" fillId="0" borderId="11" xfId="57801" applyFont="1" applyFill="1" applyBorder="1" applyAlignment="1">
      <alignment horizontal="center" vertical="center"/>
    </xf>
    <xf numFmtId="0" fontId="44" fillId="0" borderId="11" xfId="57801" applyFont="1" applyFill="1" applyBorder="1" applyAlignment="1">
      <alignment horizontal="left" vertical="center"/>
    </xf>
    <xf numFmtId="0" fontId="38" fillId="0" borderId="0" xfId="59012" applyFont="1" applyAlignment="1">
      <alignment horizontal="center" vertical="center"/>
    </xf>
    <xf numFmtId="0" fontId="114" fillId="0" borderId="10" xfId="59012" applyFont="1" applyBorder="1" applyAlignment="1">
      <alignment vertical="center"/>
    </xf>
    <xf numFmtId="0" fontId="38" fillId="0" borderId="0" xfId="59012" applyFont="1" applyAlignment="1">
      <alignment horizontal="center"/>
    </xf>
    <xf numFmtId="0" fontId="38" fillId="0" borderId="0" xfId="59012" applyFont="1"/>
    <xf numFmtId="0" fontId="44" fillId="74" borderId="0" xfId="59012" applyFont="1" applyFill="1" applyAlignment="1" applyProtection="1">
      <alignment horizontal="center" vertical="center"/>
      <protection locked="0"/>
    </xf>
    <xf numFmtId="0" fontId="41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4" fillId="74" borderId="0" xfId="59012" applyFont="1" applyFill="1" applyProtection="1">
      <protection locked="0"/>
    </xf>
    <xf numFmtId="0" fontId="44" fillId="0" borderId="0" xfId="59012" applyFont="1" applyAlignment="1" applyProtection="1">
      <alignment horizontal="center" vertical="center"/>
      <protection locked="0"/>
    </xf>
    <xf numFmtId="0" fontId="44" fillId="74" borderId="11" xfId="59012" applyFont="1" applyFill="1" applyBorder="1" applyAlignment="1" applyProtection="1">
      <alignment horizontal="center" vertical="center" wrapText="1"/>
      <protection locked="0"/>
    </xf>
    <xf numFmtId="0" fontId="44" fillId="0" borderId="11" xfId="59012" applyFont="1" applyBorder="1" applyAlignment="1" applyProtection="1">
      <alignment horizontal="center" vertical="center" wrapText="1"/>
      <protection locked="0"/>
    </xf>
    <xf numFmtId="0" fontId="44" fillId="0" borderId="0" xfId="59012" applyFont="1" applyProtection="1">
      <protection locked="0"/>
    </xf>
    <xf numFmtId="0" fontId="41" fillId="0" borderId="0" xfId="59012" applyFont="1" applyAlignment="1" applyProtection="1">
      <alignment horizontal="center" vertical="center"/>
      <protection locked="0"/>
    </xf>
    <xf numFmtId="3" fontId="41" fillId="75" borderId="11" xfId="59012" applyNumberFormat="1" applyFont="1" applyFill="1" applyBorder="1" applyAlignment="1" applyProtection="1">
      <alignment horizontal="center" vertical="center"/>
      <protection locked="0"/>
    </xf>
    <xf numFmtId="0" fontId="41" fillId="0" borderId="0" xfId="59012" applyFont="1" applyProtection="1">
      <protection locked="0"/>
    </xf>
    <xf numFmtId="0" fontId="44" fillId="74" borderId="11" xfId="59012" applyFont="1" applyFill="1" applyBorder="1" applyAlignment="1" applyProtection="1">
      <alignment vertical="center" wrapText="1"/>
      <protection locked="0"/>
    </xf>
    <xf numFmtId="3" fontId="44" fillId="0" borderId="11" xfId="59012" applyNumberFormat="1" applyFont="1" applyBorder="1" applyAlignment="1" applyProtection="1">
      <alignment vertical="center" wrapText="1"/>
      <protection locked="0"/>
    </xf>
    <xf numFmtId="3" fontId="44" fillId="74" borderId="31" xfId="59012" applyNumberFormat="1" applyFont="1" applyFill="1" applyBorder="1" applyAlignment="1" applyProtection="1">
      <alignment horizontal="center" vertical="center"/>
      <protection locked="0"/>
    </xf>
    <xf numFmtId="3" fontId="44" fillId="74" borderId="11" xfId="59012" applyNumberFormat="1" applyFont="1" applyFill="1" applyBorder="1" applyAlignment="1" applyProtection="1">
      <alignment horizontal="center" vertical="center"/>
      <protection locked="0"/>
    </xf>
    <xf numFmtId="0" fontId="44" fillId="0" borderId="11" xfId="59012" applyFont="1" applyBorder="1" applyAlignment="1" applyProtection="1">
      <alignment horizontal="center"/>
      <protection locked="0"/>
    </xf>
    <xf numFmtId="3" fontId="44" fillId="0" borderId="31" xfId="59012" applyNumberFormat="1" applyFont="1" applyBorder="1" applyAlignment="1" applyProtection="1">
      <alignment horizontal="center" vertical="center"/>
      <protection locked="0"/>
    </xf>
    <xf numFmtId="3" fontId="44" fillId="0" borderId="11" xfId="59012" applyNumberFormat="1" applyFont="1" applyBorder="1" applyAlignment="1" applyProtection="1">
      <alignment horizontal="center"/>
      <protection locked="0"/>
    </xf>
    <xf numFmtId="3" fontId="44" fillId="74" borderId="11" xfId="59012" applyNumberFormat="1" applyFont="1" applyFill="1" applyBorder="1" applyAlignment="1" applyProtection="1">
      <alignment vertical="center"/>
      <protection locked="0"/>
    </xf>
    <xf numFmtId="0" fontId="44" fillId="74" borderId="11" xfId="59012" applyFont="1" applyFill="1" applyBorder="1" applyAlignment="1" applyProtection="1">
      <alignment horizontal="center"/>
      <protection locked="0"/>
    </xf>
    <xf numFmtId="3" fontId="44" fillId="74" borderId="12" xfId="59012" applyNumberFormat="1" applyFont="1" applyFill="1" applyBorder="1" applyAlignment="1" applyProtection="1">
      <alignment horizontal="center" vertical="center"/>
      <protection locked="0"/>
    </xf>
    <xf numFmtId="3" fontId="44" fillId="74" borderId="12" xfId="59012" applyNumberFormat="1" applyFont="1" applyFill="1" applyBorder="1" applyAlignment="1" applyProtection="1">
      <alignment vertical="center"/>
      <protection locked="0"/>
    </xf>
    <xf numFmtId="3" fontId="44" fillId="0" borderId="11" xfId="59012" applyNumberFormat="1" applyFont="1" applyFill="1" applyBorder="1" applyAlignment="1" applyProtection="1">
      <alignment horizontal="center" vertical="center"/>
      <protection locked="0"/>
    </xf>
    <xf numFmtId="3" fontId="44" fillId="74" borderId="31" xfId="59012" applyNumberFormat="1" applyFont="1" applyFill="1" applyBorder="1" applyAlignment="1" applyProtection="1">
      <alignment vertical="center"/>
      <protection locked="0"/>
    </xf>
    <xf numFmtId="3" fontId="44" fillId="0" borderId="12" xfId="59012" applyNumberFormat="1" applyFont="1" applyFill="1" applyBorder="1" applyAlignment="1" applyProtection="1">
      <alignment horizontal="center" vertical="center"/>
      <protection locked="0"/>
    </xf>
    <xf numFmtId="3" fontId="44" fillId="0" borderId="31" xfId="59012" applyNumberFormat="1" applyFont="1" applyFill="1" applyBorder="1" applyAlignment="1" applyProtection="1">
      <alignment horizontal="center" vertical="center"/>
      <protection locked="0"/>
    </xf>
    <xf numFmtId="0" fontId="44" fillId="0" borderId="11" xfId="59012" applyFont="1" applyFill="1" applyBorder="1" applyAlignment="1" applyProtection="1">
      <alignment vertical="center" wrapText="1"/>
      <protection locked="0"/>
    </xf>
    <xf numFmtId="3" fontId="44" fillId="0" borderId="11" xfId="59012" applyNumberFormat="1" applyFont="1" applyBorder="1" applyAlignment="1" applyProtection="1">
      <alignment horizontal="center" vertical="center"/>
      <protection locked="0"/>
    </xf>
    <xf numFmtId="3" fontId="44" fillId="74" borderId="11" xfId="59012" applyNumberFormat="1" applyFont="1" applyFill="1" applyBorder="1" applyAlignment="1" applyProtection="1">
      <alignment vertical="center" wrapText="1"/>
      <protection locked="0"/>
    </xf>
    <xf numFmtId="3" fontId="44" fillId="74" borderId="14" xfId="59012" applyNumberFormat="1" applyFont="1" applyFill="1" applyBorder="1" applyAlignment="1" applyProtection="1">
      <alignment horizontal="center" vertical="center"/>
      <protection locked="0"/>
    </xf>
    <xf numFmtId="3" fontId="44" fillId="74" borderId="14" xfId="59012" applyNumberFormat="1" applyFont="1" applyFill="1" applyBorder="1" applyAlignment="1" applyProtection="1">
      <alignment vertical="center"/>
      <protection locked="0"/>
    </xf>
    <xf numFmtId="0" fontId="44" fillId="0" borderId="11" xfId="59012" applyFont="1" applyFill="1" applyBorder="1" applyAlignment="1" applyProtection="1">
      <alignment horizontal="center"/>
      <protection locked="0"/>
    </xf>
    <xf numFmtId="0" fontId="44" fillId="74" borderId="15" xfId="59012" applyFont="1" applyFill="1" applyBorder="1" applyAlignment="1" applyProtection="1">
      <alignment vertical="center" wrapText="1"/>
      <protection locked="0"/>
    </xf>
    <xf numFmtId="0" fontId="44" fillId="74" borderId="31" xfId="59012" applyFont="1" applyFill="1" applyBorder="1" applyAlignment="1" applyProtection="1">
      <alignment vertical="center" wrapText="1"/>
      <protection locked="0"/>
    </xf>
    <xf numFmtId="3" fontId="41" fillId="75" borderId="31" xfId="59012" applyNumberFormat="1" applyFont="1" applyFill="1" applyBorder="1" applyAlignment="1" applyProtection="1">
      <alignment horizontal="center" vertical="center"/>
      <protection locked="0"/>
    </xf>
    <xf numFmtId="0" fontId="41" fillId="75" borderId="11" xfId="59012" applyFont="1" applyFill="1" applyBorder="1" applyAlignment="1" applyProtection="1">
      <alignment horizontal="center"/>
      <protection locked="0"/>
    </xf>
    <xf numFmtId="3" fontId="41" fillId="79" borderId="11" xfId="59012" applyNumberFormat="1" applyFont="1" applyFill="1" applyBorder="1" applyAlignment="1" applyProtection="1">
      <alignment horizontal="center" vertical="center"/>
      <protection locked="0"/>
    </xf>
    <xf numFmtId="0" fontId="38" fillId="74" borderId="0" xfId="59012" applyFont="1" applyFill="1" applyAlignment="1">
      <alignment horizontal="center" vertical="center"/>
    </xf>
    <xf numFmtId="0" fontId="115" fillId="74" borderId="0" xfId="59012" applyFont="1" applyFill="1"/>
    <xf numFmtId="0" fontId="149" fillId="74" borderId="0" xfId="59012" applyFont="1" applyFill="1"/>
    <xf numFmtId="0" fontId="149" fillId="74" borderId="0" xfId="59012" applyFont="1" applyFill="1" applyAlignment="1">
      <alignment horizontal="center"/>
    </xf>
    <xf numFmtId="0" fontId="38" fillId="74" borderId="0" xfId="59012" applyFont="1" applyFill="1" applyAlignment="1">
      <alignment horizontal="center"/>
    </xf>
    <xf numFmtId="0" fontId="38" fillId="74" borderId="0" xfId="59012" applyFont="1" applyFill="1"/>
    <xf numFmtId="0" fontId="149" fillId="0" borderId="0" xfId="59012" applyFont="1"/>
    <xf numFmtId="0" fontId="114" fillId="74" borderId="0" xfId="59012" applyFont="1" applyFill="1"/>
    <xf numFmtId="3" fontId="117" fillId="0" borderId="39" xfId="0" applyNumberFormat="1" applyFont="1" applyFill="1" applyBorder="1" applyAlignment="1">
      <alignment horizontal="center" vertical="center"/>
    </xf>
    <xf numFmtId="3" fontId="117" fillId="0" borderId="38" xfId="0" applyNumberFormat="1" applyFont="1" applyFill="1" applyBorder="1" applyAlignment="1">
      <alignment horizontal="center" vertical="center"/>
    </xf>
    <xf numFmtId="3" fontId="36" fillId="0" borderId="38" xfId="0" applyNumberFormat="1" applyFont="1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3" fontId="36" fillId="0" borderId="53" xfId="0" applyNumberFormat="1" applyFont="1" applyFill="1" applyBorder="1" applyAlignment="1">
      <alignment horizontal="center" vertical="center"/>
    </xf>
    <xf numFmtId="3" fontId="36" fillId="0" borderId="70" xfId="0" applyNumberFormat="1" applyFont="1" applyFill="1" applyBorder="1" applyAlignment="1">
      <alignment horizontal="center" vertical="center"/>
    </xf>
    <xf numFmtId="3" fontId="105" fillId="0" borderId="0" xfId="61314" applyNumberFormat="1" applyFont="1"/>
    <xf numFmtId="0" fontId="107" fillId="0" borderId="0" xfId="0" applyFont="1" applyFill="1"/>
    <xf numFmtId="0" fontId="109" fillId="0" borderId="0" xfId="0" applyFont="1" applyFill="1" applyAlignment="1">
      <alignment horizontal="center" vertical="center"/>
    </xf>
    <xf numFmtId="0" fontId="109" fillId="0" borderId="0" xfId="0" applyFont="1" applyFill="1" applyAlignment="1">
      <alignment horizontal="left" vertical="center"/>
    </xf>
    <xf numFmtId="0" fontId="112" fillId="0" borderId="0" xfId="0" applyFont="1" applyFill="1"/>
    <xf numFmtId="0" fontId="109" fillId="0" borderId="11" xfId="0" applyFont="1" applyFill="1" applyBorder="1" applyAlignment="1">
      <alignment horizontal="center" vertical="center" wrapText="1"/>
    </xf>
    <xf numFmtId="49" fontId="107" fillId="0" borderId="11" xfId="3" applyNumberFormat="1" applyFont="1" applyFill="1" applyBorder="1" applyAlignment="1">
      <alignment horizontal="center" vertical="center" wrapText="1"/>
    </xf>
    <xf numFmtId="0" fontId="151" fillId="0" borderId="11" xfId="3" applyFont="1" applyFill="1" applyBorder="1" applyAlignment="1">
      <alignment horizontal="left" vertical="center" wrapText="1"/>
    </xf>
    <xf numFmtId="3" fontId="107" fillId="0" borderId="11" xfId="0" applyNumberFormat="1" applyFont="1" applyFill="1" applyBorder="1" applyAlignment="1">
      <alignment horizontal="center" vertical="center"/>
    </xf>
    <xf numFmtId="2" fontId="107" fillId="0" borderId="0" xfId="0" applyNumberFormat="1" applyFont="1" applyFill="1"/>
    <xf numFmtId="0" fontId="107" fillId="0" borderId="11" xfId="3" applyFont="1" applyFill="1" applyBorder="1" applyAlignment="1">
      <alignment horizontal="center" vertical="center" wrapText="1"/>
    </xf>
    <xf numFmtId="0" fontId="107" fillId="0" borderId="11" xfId="3" applyFont="1" applyFill="1" applyBorder="1" applyAlignment="1">
      <alignment horizontal="left" vertical="center" wrapText="1"/>
    </xf>
    <xf numFmtId="49" fontId="109" fillId="0" borderId="11" xfId="3" applyNumberFormat="1" applyFont="1" applyFill="1" applyBorder="1" applyAlignment="1">
      <alignment horizontal="center" vertical="center" wrapText="1"/>
    </xf>
    <xf numFmtId="49" fontId="107" fillId="0" borderId="11" xfId="0" applyNumberFormat="1" applyFont="1" applyFill="1" applyBorder="1" applyAlignment="1">
      <alignment horizontal="center" vertical="center" wrapText="1"/>
    </xf>
    <xf numFmtId="0" fontId="151" fillId="0" borderId="11" xfId="0" applyFont="1" applyFill="1" applyBorder="1" applyAlignment="1">
      <alignment horizontal="left" vertical="center" wrapText="1"/>
    </xf>
    <xf numFmtId="49" fontId="109" fillId="0" borderId="11" xfId="3" applyNumberFormat="1" applyFont="1" applyFill="1" applyBorder="1" applyAlignment="1">
      <alignment horizontal="center" vertical="center"/>
    </xf>
    <xf numFmtId="0" fontId="109" fillId="0" borderId="11" xfId="58975" applyFont="1" applyFill="1" applyBorder="1" applyAlignment="1">
      <alignment horizontal="left" vertical="center" wrapText="1"/>
    </xf>
    <xf numFmtId="49" fontId="107" fillId="0" borderId="11" xfId="0" applyNumberFormat="1" applyFont="1" applyFill="1" applyBorder="1" applyAlignment="1">
      <alignment horizontal="center" vertical="center"/>
    </xf>
    <xf numFmtId="0" fontId="107" fillId="0" borderId="11" xfId="0" applyFont="1" applyFill="1" applyBorder="1" applyAlignment="1">
      <alignment horizontal="left" vertical="center" wrapText="1"/>
    </xf>
    <xf numFmtId="49" fontId="107" fillId="0" borderId="11" xfId="3" applyNumberFormat="1" applyFont="1" applyFill="1" applyBorder="1" applyAlignment="1">
      <alignment horizontal="left" vertical="center" wrapText="1"/>
    </xf>
    <xf numFmtId="0" fontId="109" fillId="0" borderId="11" xfId="58921" applyFont="1" applyFill="1" applyBorder="1" applyAlignment="1">
      <alignment horizontal="left" vertical="center" wrapText="1"/>
    </xf>
    <xf numFmtId="3" fontId="109" fillId="0" borderId="11" xfId="58921" applyNumberFormat="1" applyFont="1" applyFill="1" applyBorder="1" applyAlignment="1">
      <alignment horizontal="center" vertical="center"/>
    </xf>
    <xf numFmtId="3" fontId="151" fillId="0" borderId="11" xfId="0" applyNumberFormat="1" applyFont="1" applyFill="1" applyBorder="1" applyAlignment="1">
      <alignment horizontal="left" vertical="center" wrapText="1"/>
    </xf>
    <xf numFmtId="170" fontId="109" fillId="0" borderId="11" xfId="58921" applyNumberFormat="1" applyFont="1" applyFill="1" applyBorder="1" applyAlignment="1">
      <alignment horizontal="center" vertical="center"/>
    </xf>
    <xf numFmtId="3" fontId="109" fillId="0" borderId="11" xfId="0" applyNumberFormat="1" applyFont="1" applyFill="1" applyBorder="1" applyAlignment="1">
      <alignment horizontal="left" vertical="center" wrapText="1"/>
    </xf>
    <xf numFmtId="3" fontId="109" fillId="0" borderId="31" xfId="58921" applyNumberFormat="1" applyFont="1" applyFill="1" applyBorder="1" applyAlignment="1">
      <alignment horizontal="center" vertical="center"/>
    </xf>
    <xf numFmtId="3" fontId="151" fillId="0" borderId="31" xfId="0" applyNumberFormat="1" applyFont="1" applyFill="1" applyBorder="1" applyAlignment="1">
      <alignment horizontal="left" vertical="center" wrapText="1"/>
    </xf>
    <xf numFmtId="0" fontId="109" fillId="0" borderId="11" xfId="0" applyFont="1" applyFill="1" applyBorder="1" applyAlignment="1">
      <alignment horizontal="left" vertical="center"/>
    </xf>
    <xf numFmtId="0" fontId="38" fillId="74" borderId="11" xfId="61317" applyFont="1" applyFill="1" applyBorder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152" fillId="74" borderId="0" xfId="61317" applyNumberFormat="1" applyFont="1" applyFill="1" applyAlignment="1">
      <alignment horizontal="center" vertical="center"/>
    </xf>
    <xf numFmtId="0" fontId="43" fillId="0" borderId="11" xfId="61314" applyFont="1" applyBorder="1" applyAlignment="1">
      <alignment horizontal="left" vertical="center" wrapText="1"/>
    </xf>
    <xf numFmtId="3" fontId="43" fillId="0" borderId="11" xfId="61314" applyNumberFormat="1" applyFont="1" applyBorder="1" applyAlignment="1">
      <alignment horizontal="center" vertical="center"/>
    </xf>
    <xf numFmtId="3" fontId="44" fillId="74" borderId="11" xfId="58867" applyNumberFormat="1" applyFont="1" applyFill="1" applyBorder="1" applyAlignment="1">
      <alignment horizontal="center" vertical="center"/>
    </xf>
    <xf numFmtId="3" fontId="44" fillId="74" borderId="11" xfId="59591" applyNumberFormat="1" applyFont="1" applyFill="1" applyBorder="1" applyAlignment="1">
      <alignment horizontal="center" vertical="center" wrapText="1"/>
    </xf>
    <xf numFmtId="3" fontId="44" fillId="74" borderId="68" xfId="59591" applyNumberFormat="1" applyFont="1" applyFill="1" applyBorder="1" applyAlignment="1">
      <alignment horizontal="center" vertical="center" wrapText="1"/>
    </xf>
    <xf numFmtId="3" fontId="36" fillId="74" borderId="68" xfId="58940" applyNumberFormat="1" applyFont="1" applyFill="1" applyBorder="1" applyAlignment="1">
      <alignment horizontal="left" vertical="center" wrapText="1"/>
    </xf>
    <xf numFmtId="3" fontId="36" fillId="74" borderId="68" xfId="58940" applyNumberFormat="1" applyFont="1" applyFill="1" applyBorder="1" applyAlignment="1">
      <alignment horizontal="center" vertical="center" wrapText="1"/>
    </xf>
    <xf numFmtId="3" fontId="46" fillId="74" borderId="68" xfId="58940" applyNumberFormat="1" applyFont="1" applyFill="1" applyBorder="1" applyAlignment="1">
      <alignment horizontal="left" vertical="center" wrapText="1"/>
    </xf>
    <xf numFmtId="3" fontId="46" fillId="74" borderId="68" xfId="58940" applyNumberFormat="1" applyFont="1" applyFill="1" applyBorder="1" applyAlignment="1">
      <alignment horizontal="center" vertical="center" wrapText="1"/>
    </xf>
    <xf numFmtId="3" fontId="44" fillId="74" borderId="72" xfId="58867" applyNumberFormat="1" applyFont="1" applyFill="1" applyBorder="1" applyAlignment="1">
      <alignment horizontal="center" vertical="center"/>
    </xf>
    <xf numFmtId="3" fontId="41" fillId="74" borderId="72" xfId="58867" applyNumberFormat="1" applyFont="1" applyFill="1" applyBorder="1" applyAlignment="1">
      <alignment horizontal="center" vertical="center"/>
    </xf>
    <xf numFmtId="3" fontId="100" fillId="74" borderId="72" xfId="58940" applyNumberFormat="1" applyFont="1" applyFill="1" applyBorder="1" applyAlignment="1">
      <alignment horizontal="center" vertical="center"/>
    </xf>
    <xf numFmtId="3" fontId="117" fillId="74" borderId="71" xfId="58867" applyNumberFormat="1" applyFont="1" applyFill="1" applyBorder="1" applyAlignment="1" applyProtection="1">
      <alignment horizontal="left" vertical="center" wrapText="1"/>
      <protection locked="0"/>
    </xf>
    <xf numFmtId="3" fontId="41" fillId="74" borderId="71" xfId="58867" applyNumberFormat="1" applyFont="1" applyFill="1" applyBorder="1" applyAlignment="1">
      <alignment vertical="center" wrapText="1"/>
    </xf>
    <xf numFmtId="3" fontId="103" fillId="0" borderId="72" xfId="58940" applyNumberFormat="1" applyFont="1" applyFill="1" applyBorder="1" applyAlignment="1">
      <alignment horizontal="center" vertical="center" wrapText="1"/>
    </xf>
    <xf numFmtId="3" fontId="103" fillId="0" borderId="39" xfId="58940" applyNumberFormat="1" applyFont="1" applyFill="1" applyBorder="1" applyAlignment="1">
      <alignment horizontal="center" vertical="center" wrapText="1"/>
    </xf>
    <xf numFmtId="3" fontId="46" fillId="0" borderId="39" xfId="58940" applyNumberFormat="1" applyFont="1" applyFill="1" applyBorder="1" applyAlignment="1">
      <alignment horizontal="left" vertical="center" wrapText="1"/>
    </xf>
    <xf numFmtId="3" fontId="36" fillId="0" borderId="72" xfId="0" applyNumberFormat="1" applyFont="1" applyFill="1" applyBorder="1" applyAlignment="1">
      <alignment horizontal="center" vertical="center"/>
    </xf>
    <xf numFmtId="3" fontId="36" fillId="0" borderId="39" xfId="58940" applyNumberFormat="1" applyFont="1" applyFill="1" applyBorder="1" applyAlignment="1">
      <alignment horizontal="left" vertical="center" wrapText="1"/>
    </xf>
    <xf numFmtId="3" fontId="44" fillId="0" borderId="39" xfId="58940" applyNumberFormat="1" applyFont="1" applyFill="1" applyBorder="1" applyAlignment="1">
      <alignment horizontal="left" vertical="center" wrapText="1"/>
    </xf>
    <xf numFmtId="0" fontId="46" fillId="0" borderId="39" xfId="58940" applyFont="1" applyFill="1" applyBorder="1" applyAlignment="1">
      <alignment horizontal="left" vertical="center" wrapText="1"/>
    </xf>
    <xf numFmtId="0" fontId="36" fillId="0" borderId="39" xfId="58940" applyFont="1" applyFill="1" applyBorder="1" applyAlignment="1">
      <alignment horizontal="left" vertical="center" wrapText="1"/>
    </xf>
    <xf numFmtId="3" fontId="46" fillId="0" borderId="39" xfId="0" applyNumberFormat="1" applyFont="1" applyFill="1" applyBorder="1" applyAlignment="1">
      <alignment horizontal="left" vertical="center" wrapText="1"/>
    </xf>
    <xf numFmtId="0" fontId="44" fillId="0" borderId="39" xfId="58940" applyFont="1" applyFill="1" applyBorder="1" applyAlignment="1">
      <alignment horizontal="left" vertical="center" wrapText="1"/>
    </xf>
    <xf numFmtId="0" fontId="41" fillId="0" borderId="39" xfId="58940" applyFont="1" applyFill="1" applyBorder="1" applyAlignment="1">
      <alignment horizontal="left" vertical="center" wrapText="1"/>
    </xf>
    <xf numFmtId="4" fontId="44" fillId="0" borderId="39" xfId="58975" applyNumberFormat="1" applyFont="1" applyFill="1" applyBorder="1" applyAlignment="1">
      <alignment horizontal="left" vertical="center" wrapText="1"/>
    </xf>
    <xf numFmtId="3" fontId="36" fillId="0" borderId="39" xfId="0" applyNumberFormat="1" applyFont="1" applyFill="1" applyBorder="1" applyAlignment="1">
      <alignment horizontal="left" vertical="center" wrapText="1"/>
    </xf>
    <xf numFmtId="3" fontId="44" fillId="0" borderId="39" xfId="0" applyNumberFormat="1" applyFont="1" applyFill="1" applyBorder="1" applyAlignment="1">
      <alignment horizontal="left" vertical="center" wrapText="1"/>
    </xf>
    <xf numFmtId="0" fontId="44" fillId="0" borderId="69" xfId="0" applyFont="1" applyFill="1" applyBorder="1" applyAlignment="1">
      <alignment horizontal="left" vertical="center"/>
    </xf>
    <xf numFmtId="3" fontId="44" fillId="0" borderId="59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117" fillId="0" borderId="33" xfId="0" applyNumberFormat="1" applyFont="1" applyFill="1" applyBorder="1" applyAlignment="1">
      <alignment horizontal="center" vertical="center"/>
    </xf>
    <xf numFmtId="3" fontId="117" fillId="0" borderId="14" xfId="0" applyNumberFormat="1" applyFont="1" applyFill="1" applyBorder="1" applyAlignment="1">
      <alignment horizontal="center" vertical="center"/>
    </xf>
    <xf numFmtId="3" fontId="41" fillId="0" borderId="41" xfId="0" applyNumberFormat="1" applyFont="1" applyFill="1" applyBorder="1" applyAlignment="1">
      <alignment horizontal="center" vertical="center"/>
    </xf>
    <xf numFmtId="3" fontId="41" fillId="0" borderId="40" xfId="0" applyNumberFormat="1" applyFont="1" applyFill="1" applyBorder="1" applyAlignment="1">
      <alignment horizontal="center" vertical="center"/>
    </xf>
    <xf numFmtId="3" fontId="117" fillId="0" borderId="40" xfId="0" applyNumberFormat="1" applyFont="1" applyFill="1" applyBorder="1" applyAlignment="1">
      <alignment horizontal="center" vertical="center"/>
    </xf>
    <xf numFmtId="3" fontId="44" fillId="0" borderId="39" xfId="0" applyNumberFormat="1" applyFont="1" applyFill="1" applyBorder="1" applyAlignment="1">
      <alignment horizontal="center" vertical="center"/>
    </xf>
    <xf numFmtId="3" fontId="36" fillId="0" borderId="39" xfId="0" applyNumberFormat="1" applyFont="1" applyFill="1" applyBorder="1" applyAlignment="1">
      <alignment horizontal="center" vertical="center"/>
    </xf>
    <xf numFmtId="3" fontId="117" fillId="0" borderId="72" xfId="0" applyNumberFormat="1" applyFont="1" applyFill="1" applyBorder="1" applyAlignment="1">
      <alignment horizontal="center" vertical="center"/>
    </xf>
    <xf numFmtId="3" fontId="41" fillId="0" borderId="38" xfId="0" applyNumberFormat="1" applyFont="1" applyFill="1" applyBorder="1" applyAlignment="1">
      <alignment horizontal="center" vertical="center"/>
    </xf>
    <xf numFmtId="3" fontId="41" fillId="0" borderId="39" xfId="0" applyNumberFormat="1" applyFont="1" applyFill="1" applyBorder="1" applyAlignment="1">
      <alignment horizontal="center" vertical="center"/>
    </xf>
    <xf numFmtId="3" fontId="44" fillId="0" borderId="38" xfId="58940" applyNumberFormat="1" applyFont="1" applyFill="1" applyBorder="1" applyAlignment="1">
      <alignment horizontal="center" vertical="center"/>
    </xf>
    <xf numFmtId="3" fontId="36" fillId="0" borderId="69" xfId="0" applyNumberFormat="1" applyFont="1" applyFill="1" applyBorder="1" applyAlignment="1">
      <alignment horizontal="center" vertical="center"/>
    </xf>
    <xf numFmtId="3" fontId="103" fillId="0" borderId="59" xfId="58940" applyNumberFormat="1" applyFont="1" applyFill="1" applyBorder="1" applyAlignment="1">
      <alignment horizontal="center" vertical="center" wrapText="1"/>
    </xf>
    <xf numFmtId="3" fontId="103" fillId="0" borderId="60" xfId="5894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center"/>
    </xf>
    <xf numFmtId="0" fontId="103" fillId="0" borderId="0" xfId="0" applyFont="1" applyFill="1" applyBorder="1" applyAlignment="1">
      <alignment horizontal="center" vertical="center"/>
    </xf>
    <xf numFmtId="3" fontId="103" fillId="0" borderId="59" xfId="0" applyNumberFormat="1" applyFont="1" applyFill="1" applyBorder="1" applyAlignment="1">
      <alignment horizontal="center" vertical="center" wrapText="1"/>
    </xf>
    <xf numFmtId="3" fontId="103" fillId="0" borderId="69" xfId="0" applyNumberFormat="1" applyFont="1" applyFill="1" applyBorder="1" applyAlignment="1">
      <alignment horizontal="center" vertical="center" wrapText="1"/>
    </xf>
    <xf numFmtId="3" fontId="103" fillId="0" borderId="70" xfId="0" applyNumberFormat="1" applyFont="1" applyFill="1" applyBorder="1" applyAlignment="1">
      <alignment horizontal="center" vertical="center" wrapText="1"/>
    </xf>
    <xf numFmtId="3" fontId="41" fillId="0" borderId="13" xfId="0" applyNumberFormat="1" applyFont="1" applyFill="1" applyBorder="1" applyAlignment="1">
      <alignment horizontal="center" vertical="center"/>
    </xf>
    <xf numFmtId="3" fontId="41" fillId="0" borderId="33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horizontal="center" vertical="center"/>
    </xf>
    <xf numFmtId="3" fontId="44" fillId="0" borderId="72" xfId="0" applyNumberFormat="1" applyFont="1" applyFill="1" applyBorder="1" applyAlignment="1">
      <alignment horizontal="center" vertical="center"/>
    </xf>
    <xf numFmtId="3" fontId="41" fillId="0" borderId="71" xfId="0" applyNumberFormat="1" applyFont="1" applyFill="1" applyBorder="1" applyAlignment="1">
      <alignment horizontal="center" vertical="center"/>
    </xf>
    <xf numFmtId="3" fontId="41" fillId="0" borderId="75" xfId="0" applyNumberFormat="1" applyFont="1" applyFill="1" applyBorder="1" applyAlignment="1">
      <alignment horizontal="center" vertical="center"/>
    </xf>
    <xf numFmtId="3" fontId="41" fillId="0" borderId="72" xfId="0" applyNumberFormat="1" applyFont="1" applyFill="1" applyBorder="1" applyAlignment="1">
      <alignment horizontal="center" vertical="center"/>
    </xf>
    <xf numFmtId="3" fontId="44" fillId="0" borderId="60" xfId="0" applyNumberFormat="1" applyFont="1" applyFill="1" applyBorder="1" applyAlignment="1">
      <alignment horizontal="center" vertical="center"/>
    </xf>
    <xf numFmtId="3" fontId="44" fillId="0" borderId="69" xfId="0" applyNumberFormat="1" applyFont="1" applyFill="1" applyBorder="1" applyAlignment="1">
      <alignment horizontal="center" vertical="center"/>
    </xf>
    <xf numFmtId="3" fontId="44" fillId="0" borderId="70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Alignment="1">
      <alignment horizontal="left" vertical="center"/>
    </xf>
    <xf numFmtId="49" fontId="44" fillId="0" borderId="11" xfId="0" applyNumberFormat="1" applyFont="1" applyFill="1" applyBorder="1" applyAlignment="1">
      <alignment horizontal="center" vertical="center"/>
    </xf>
    <xf numFmtId="3" fontId="44" fillId="0" borderId="68" xfId="58940" applyNumberFormat="1" applyFont="1" applyFill="1" applyBorder="1" applyAlignment="1">
      <alignment horizontal="left" vertical="center" wrapText="1"/>
    </xf>
    <xf numFmtId="3" fontId="44" fillId="0" borderId="68" xfId="0" applyNumberFormat="1" applyFont="1" applyFill="1" applyBorder="1" applyAlignment="1">
      <alignment horizontal="left" vertical="center" wrapText="1"/>
    </xf>
    <xf numFmtId="3" fontId="41" fillId="0" borderId="11" xfId="0" applyNumberFormat="1" applyFont="1" applyFill="1" applyBorder="1" applyAlignment="1">
      <alignment horizontal="center" vertical="center"/>
    </xf>
    <xf numFmtId="3" fontId="44" fillId="0" borderId="11" xfId="58940" applyNumberFormat="1" applyFont="1" applyFill="1" applyBorder="1" applyAlignment="1">
      <alignment horizontal="center" vertical="center" wrapText="1"/>
    </xf>
    <xf numFmtId="3" fontId="44" fillId="0" borderId="11" xfId="0" applyNumberFormat="1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/>
    </xf>
    <xf numFmtId="3" fontId="48" fillId="0" borderId="0" xfId="0" applyNumberFormat="1" applyFont="1" applyFill="1" applyAlignment="1">
      <alignment horizontal="center"/>
    </xf>
    <xf numFmtId="3" fontId="44" fillId="0" borderId="38" xfId="58940" applyNumberFormat="1" applyFont="1" applyFill="1" applyBorder="1" applyAlignment="1">
      <alignment horizontal="center" vertical="center" wrapText="1"/>
    </xf>
    <xf numFmtId="3" fontId="44" fillId="0" borderId="39" xfId="58940" applyNumberFormat="1" applyFont="1" applyFill="1" applyBorder="1" applyAlignment="1">
      <alignment horizontal="center" vertical="center" wrapText="1"/>
    </xf>
    <xf numFmtId="3" fontId="44" fillId="0" borderId="72" xfId="58940" applyNumberFormat="1" applyFont="1" applyFill="1" applyBorder="1" applyAlignment="1">
      <alignment horizontal="center" vertical="center" wrapText="1"/>
    </xf>
    <xf numFmtId="3" fontId="44" fillId="0" borderId="39" xfId="0" applyNumberFormat="1" applyFont="1" applyFill="1" applyBorder="1" applyAlignment="1">
      <alignment horizontal="center" vertical="center" wrapText="1"/>
    </xf>
    <xf numFmtId="3" fontId="44" fillId="0" borderId="72" xfId="0" applyNumberFormat="1" applyFont="1" applyFill="1" applyBorder="1" applyAlignment="1">
      <alignment horizontal="center" vertical="center" wrapText="1"/>
    </xf>
    <xf numFmtId="0" fontId="44" fillId="0" borderId="59" xfId="0" applyFont="1" applyFill="1" applyBorder="1" applyAlignment="1">
      <alignment horizontal="center" vertical="center" wrapText="1"/>
    </xf>
    <xf numFmtId="0" fontId="44" fillId="0" borderId="53" xfId="0" applyFont="1" applyFill="1" applyBorder="1" applyAlignment="1">
      <alignment horizontal="center" vertical="center" wrapText="1"/>
    </xf>
    <xf numFmtId="0" fontId="44" fillId="0" borderId="60" xfId="0" applyFont="1" applyFill="1" applyBorder="1" applyAlignment="1">
      <alignment horizontal="center" vertical="center" wrapText="1"/>
    </xf>
    <xf numFmtId="3" fontId="44" fillId="0" borderId="59" xfId="58940" applyNumberFormat="1" applyFont="1" applyFill="1" applyBorder="1" applyAlignment="1">
      <alignment horizontal="center" vertical="center" wrapText="1"/>
    </xf>
    <xf numFmtId="3" fontId="44" fillId="0" borderId="69" xfId="58940" applyNumberFormat="1" applyFont="1" applyFill="1" applyBorder="1" applyAlignment="1">
      <alignment horizontal="center" vertical="center" wrapText="1"/>
    </xf>
    <xf numFmtId="3" fontId="44" fillId="0" borderId="70" xfId="58940" applyNumberFormat="1" applyFont="1" applyFill="1" applyBorder="1" applyAlignment="1">
      <alignment horizontal="center" vertical="center" wrapText="1"/>
    </xf>
    <xf numFmtId="3" fontId="44" fillId="0" borderId="69" xfId="0" applyNumberFormat="1" applyFont="1" applyFill="1" applyBorder="1" applyAlignment="1">
      <alignment horizontal="center" vertical="center" wrapText="1"/>
    </xf>
    <xf numFmtId="3" fontId="44" fillId="0" borderId="70" xfId="0" applyNumberFormat="1" applyFont="1" applyFill="1" applyBorder="1" applyAlignment="1">
      <alignment horizontal="center" vertical="center" wrapText="1"/>
    </xf>
    <xf numFmtId="3" fontId="114" fillId="0" borderId="41" xfId="58940" applyNumberFormat="1" applyFont="1" applyFill="1" applyBorder="1" applyAlignment="1">
      <alignment horizontal="center" vertical="center" wrapText="1"/>
    </xf>
    <xf numFmtId="3" fontId="114" fillId="0" borderId="40" xfId="58940" applyNumberFormat="1" applyFont="1" applyFill="1" applyBorder="1" applyAlignment="1">
      <alignment horizontal="center" vertical="center" wrapText="1"/>
    </xf>
    <xf numFmtId="3" fontId="114" fillId="0" borderId="33" xfId="58940" applyNumberFormat="1" applyFont="1" applyFill="1" applyBorder="1" applyAlignment="1">
      <alignment horizontal="center" vertical="center" wrapText="1"/>
    </xf>
    <xf numFmtId="3" fontId="38" fillId="0" borderId="39" xfId="58940" applyNumberFormat="1" applyFont="1" applyFill="1" applyBorder="1" applyAlignment="1">
      <alignment horizontal="center" vertical="center" wrapText="1"/>
    </xf>
    <xf numFmtId="3" fontId="38" fillId="0" borderId="72" xfId="58940" applyNumberFormat="1" applyFont="1" applyFill="1" applyBorder="1" applyAlignment="1">
      <alignment horizontal="center" vertical="center" wrapText="1"/>
    </xf>
    <xf numFmtId="3" fontId="38" fillId="0" borderId="39" xfId="0" applyNumberFormat="1" applyFont="1" applyFill="1" applyBorder="1" applyAlignment="1">
      <alignment horizontal="center" vertical="center" wrapText="1"/>
    </xf>
    <xf numFmtId="3" fontId="38" fillId="0" borderId="72" xfId="0" applyNumberFormat="1" applyFont="1" applyFill="1" applyBorder="1" applyAlignment="1">
      <alignment horizontal="center" vertical="center" wrapText="1"/>
    </xf>
    <xf numFmtId="3" fontId="100" fillId="0" borderId="54" xfId="0" applyNumberFormat="1" applyFont="1" applyFill="1" applyBorder="1" applyAlignment="1">
      <alignment horizontal="center"/>
    </xf>
    <xf numFmtId="3" fontId="100" fillId="0" borderId="15" xfId="0" applyNumberFormat="1" applyFont="1" applyFill="1" applyBorder="1" applyAlignment="1">
      <alignment horizontal="center"/>
    </xf>
    <xf numFmtId="3" fontId="100" fillId="0" borderId="38" xfId="0" applyNumberFormat="1" applyFont="1" applyFill="1" applyBorder="1" applyAlignment="1">
      <alignment horizontal="center"/>
    </xf>
    <xf numFmtId="3" fontId="100" fillId="0" borderId="39" xfId="0" applyNumberFormat="1" applyFont="1" applyFill="1" applyBorder="1" applyAlignment="1">
      <alignment horizontal="center"/>
    </xf>
    <xf numFmtId="3" fontId="100" fillId="0" borderId="72" xfId="0" applyNumberFormat="1" applyFont="1" applyFill="1" applyBorder="1" applyAlignment="1">
      <alignment horizontal="center"/>
    </xf>
    <xf numFmtId="3" fontId="100" fillId="0" borderId="75" xfId="0" applyNumberFormat="1" applyFont="1" applyFill="1" applyBorder="1" applyAlignment="1">
      <alignment horizontal="center"/>
    </xf>
    <xf numFmtId="0" fontId="100" fillId="0" borderId="0" xfId="0" applyFont="1" applyFill="1"/>
    <xf numFmtId="3" fontId="48" fillId="0" borderId="11" xfId="58940" applyNumberFormat="1" applyFont="1" applyFill="1" applyBorder="1" applyAlignment="1">
      <alignment horizontal="center" vertical="center" wrapText="1"/>
    </xf>
    <xf numFmtId="3" fontId="104" fillId="0" borderId="15" xfId="58940" applyNumberFormat="1" applyFont="1" applyFill="1" applyBorder="1" applyAlignment="1">
      <alignment horizontal="left" vertical="center" wrapText="1"/>
    </xf>
    <xf numFmtId="3" fontId="36" fillId="0" borderId="41" xfId="0" applyNumberFormat="1" applyFont="1" applyFill="1" applyBorder="1" applyAlignment="1">
      <alignment horizontal="center"/>
    </xf>
    <xf numFmtId="3" fontId="48" fillId="0" borderId="39" xfId="0" applyNumberFormat="1" applyFont="1" applyFill="1" applyBorder="1" applyAlignment="1">
      <alignment horizontal="center"/>
    </xf>
    <xf numFmtId="3" fontId="48" fillId="0" borderId="72" xfId="0" applyNumberFormat="1" applyFont="1" applyFill="1" applyBorder="1" applyAlignment="1">
      <alignment horizontal="center"/>
    </xf>
    <xf numFmtId="4" fontId="38" fillId="0" borderId="72" xfId="58940" applyNumberFormat="1" applyFont="1" applyFill="1" applyBorder="1" applyAlignment="1">
      <alignment horizontal="center" vertical="center"/>
    </xf>
    <xf numFmtId="3" fontId="36" fillId="0" borderId="38" xfId="0" applyNumberFormat="1" applyFont="1" applyFill="1" applyBorder="1" applyAlignment="1">
      <alignment horizontal="center"/>
    </xf>
    <xf numFmtId="3" fontId="48" fillId="0" borderId="11" xfId="58940" applyNumberFormat="1" applyFont="1" applyFill="1" applyBorder="1" applyAlignment="1">
      <alignment horizontal="center" vertical="center"/>
    </xf>
    <xf numFmtId="3" fontId="48" fillId="0" borderId="15" xfId="58940" applyNumberFormat="1" applyFont="1" applyFill="1" applyBorder="1" applyAlignment="1">
      <alignment horizontal="left" vertical="center" wrapText="1"/>
    </xf>
    <xf numFmtId="3" fontId="38" fillId="0" borderId="72" xfId="58940" applyNumberFormat="1" applyFont="1" applyFill="1" applyBorder="1" applyAlignment="1">
      <alignment horizontal="center" vertical="center"/>
    </xf>
    <xf numFmtId="3" fontId="38" fillId="0" borderId="15" xfId="58940" applyNumberFormat="1" applyFont="1" applyFill="1" applyBorder="1" applyAlignment="1">
      <alignment horizontal="left" vertical="center" wrapText="1"/>
    </xf>
    <xf numFmtId="49" fontId="48" fillId="0" borderId="11" xfId="58940" applyNumberFormat="1" applyFont="1" applyFill="1" applyBorder="1" applyAlignment="1">
      <alignment horizontal="center" vertical="center"/>
    </xf>
    <xf numFmtId="0" fontId="104" fillId="0" borderId="15" xfId="58940" applyFont="1" applyFill="1" applyBorder="1" applyAlignment="1">
      <alignment horizontal="left" vertical="center" wrapText="1"/>
    </xf>
    <xf numFmtId="49" fontId="48" fillId="0" borderId="11" xfId="58940" applyNumberFormat="1" applyFont="1" applyFill="1" applyBorder="1" applyAlignment="1">
      <alignment horizontal="center" vertical="center" wrapText="1"/>
    </xf>
    <xf numFmtId="0" fontId="48" fillId="0" borderId="15" xfId="58940" applyFont="1" applyFill="1" applyBorder="1" applyAlignment="1">
      <alignment horizontal="left" vertical="center" wrapText="1"/>
    </xf>
    <xf numFmtId="3" fontId="48" fillId="0" borderId="11" xfId="0" applyNumberFormat="1" applyFont="1" applyFill="1" applyBorder="1" applyAlignment="1">
      <alignment horizontal="center" vertical="center" wrapText="1"/>
    </xf>
    <xf numFmtId="3" fontId="104" fillId="0" borderId="15" xfId="0" applyNumberFormat="1" applyFont="1" applyFill="1" applyBorder="1" applyAlignment="1">
      <alignment horizontal="left" vertical="center" wrapText="1"/>
    </xf>
    <xf numFmtId="3" fontId="48" fillId="0" borderId="38" xfId="0" applyNumberFormat="1" applyFont="1" applyFill="1" applyBorder="1" applyAlignment="1">
      <alignment horizontal="center"/>
    </xf>
    <xf numFmtId="0" fontId="38" fillId="0" borderId="15" xfId="58940" applyFont="1" applyFill="1" applyBorder="1" applyAlignment="1">
      <alignment horizontal="left" vertical="center" wrapText="1"/>
    </xf>
    <xf numFmtId="0" fontId="38" fillId="0" borderId="11" xfId="58940" applyFont="1" applyFill="1" applyBorder="1" applyAlignment="1">
      <alignment horizontal="center" vertical="center" wrapText="1"/>
    </xf>
    <xf numFmtId="0" fontId="114" fillId="0" borderId="15" xfId="58940" applyFont="1" applyFill="1" applyBorder="1" applyAlignment="1">
      <alignment horizontal="left" vertical="center" wrapText="1"/>
    </xf>
    <xf numFmtId="4" fontId="38" fillId="0" borderId="15" xfId="58975" applyNumberFormat="1" applyFont="1" applyFill="1" applyBorder="1" applyAlignment="1">
      <alignment horizontal="left" vertical="center" wrapText="1"/>
    </xf>
    <xf numFmtId="49" fontId="48" fillId="0" borderId="11" xfId="0" applyNumberFormat="1" applyFont="1" applyFill="1" applyBorder="1" applyAlignment="1">
      <alignment horizontal="center" vertical="center"/>
    </xf>
    <xf numFmtId="3" fontId="48" fillId="0" borderId="11" xfId="0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left" vertical="center" wrapText="1"/>
    </xf>
    <xf numFmtId="172" fontId="38" fillId="0" borderId="72" xfId="58940" applyNumberFormat="1" applyFont="1" applyFill="1" applyBorder="1" applyAlignment="1">
      <alignment horizontal="center" vertical="center"/>
    </xf>
    <xf numFmtId="3" fontId="38" fillId="0" borderId="11" xfId="58940" applyNumberFormat="1" applyFont="1" applyFill="1" applyBorder="1" applyAlignment="1">
      <alignment horizontal="center" vertical="center"/>
    </xf>
    <xf numFmtId="170" fontId="38" fillId="0" borderId="11" xfId="58940" applyNumberFormat="1" applyFont="1" applyFill="1" applyBorder="1" applyAlignment="1">
      <alignment horizontal="center" vertical="center"/>
    </xf>
    <xf numFmtId="3" fontId="38" fillId="0" borderId="15" xfId="0" applyNumberFormat="1" applyFont="1" applyFill="1" applyBorder="1" applyAlignment="1">
      <alignment horizontal="left" vertical="center" wrapText="1"/>
    </xf>
    <xf numFmtId="0" fontId="38" fillId="0" borderId="59" xfId="0" applyFont="1" applyFill="1" applyBorder="1" applyAlignment="1">
      <alignment horizontal="center" vertical="center"/>
    </xf>
    <xf numFmtId="0" fontId="38" fillId="0" borderId="53" xfId="0" applyFont="1" applyFill="1" applyBorder="1" applyAlignment="1">
      <alignment horizontal="center" vertical="center"/>
    </xf>
    <xf numFmtId="0" fontId="38" fillId="0" borderId="60" xfId="0" applyFont="1" applyFill="1" applyBorder="1" applyAlignment="1">
      <alignment horizontal="left" vertical="center"/>
    </xf>
    <xf numFmtId="3" fontId="48" fillId="0" borderId="59" xfId="0" applyNumberFormat="1" applyFont="1" applyFill="1" applyBorder="1" applyAlignment="1">
      <alignment horizontal="center"/>
    </xf>
    <xf numFmtId="3" fontId="48" fillId="0" borderId="69" xfId="0" applyNumberFormat="1" applyFont="1" applyFill="1" applyBorder="1" applyAlignment="1">
      <alignment horizontal="center"/>
    </xf>
    <xf numFmtId="3" fontId="48" fillId="0" borderId="70" xfId="0" applyNumberFormat="1" applyFont="1" applyFill="1" applyBorder="1" applyAlignment="1">
      <alignment horizontal="center"/>
    </xf>
    <xf numFmtId="4" fontId="38" fillId="0" borderId="70" xfId="58940" applyNumberFormat="1" applyFont="1" applyFill="1" applyBorder="1" applyAlignment="1">
      <alignment horizontal="center" vertical="center"/>
    </xf>
    <xf numFmtId="3" fontId="117" fillId="0" borderId="41" xfId="0" applyNumberFormat="1" applyFont="1" applyFill="1" applyBorder="1" applyAlignment="1">
      <alignment horizontal="center" vertical="center"/>
    </xf>
    <xf numFmtId="3" fontId="44" fillId="0" borderId="39" xfId="58940" applyNumberFormat="1" applyFont="1" applyFill="1" applyBorder="1" applyAlignment="1">
      <alignment horizontal="center" vertical="center"/>
    </xf>
    <xf numFmtId="3" fontId="44" fillId="0" borderId="69" xfId="58940" applyNumberFormat="1" applyFont="1" applyFill="1" applyBorder="1" applyAlignment="1">
      <alignment horizontal="center" vertical="center"/>
    </xf>
    <xf numFmtId="3" fontId="48" fillId="0" borderId="54" xfId="0" applyNumberFormat="1" applyFont="1" applyFill="1" applyBorder="1" applyAlignment="1">
      <alignment horizontal="center" vertical="center"/>
    </xf>
    <xf numFmtId="3" fontId="48" fillId="0" borderId="39" xfId="0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/>
    </xf>
    <xf numFmtId="0" fontId="48" fillId="74" borderId="11" xfId="61329" applyFont="1" applyFill="1" applyBorder="1" applyAlignment="1">
      <alignment horizontal="center" vertical="center" wrapText="1"/>
    </xf>
    <xf numFmtId="0" fontId="107" fillId="0" borderId="11" xfId="0" applyFont="1" applyFill="1" applyBorder="1" applyAlignment="1">
      <alignment horizontal="center" vertical="center" wrapText="1"/>
    </xf>
    <xf numFmtId="3" fontId="44" fillId="0" borderId="31" xfId="58921" applyNumberFormat="1" applyFont="1" applyBorder="1" applyAlignment="1">
      <alignment horizontal="center" vertical="center"/>
    </xf>
    <xf numFmtId="3" fontId="46" fillId="0" borderId="31" xfId="59012" applyNumberFormat="1" applyFont="1" applyBorder="1" applyAlignment="1">
      <alignment horizontal="left" vertical="center" wrapText="1"/>
    </xf>
    <xf numFmtId="3" fontId="112" fillId="0" borderId="0" xfId="0" applyNumberFormat="1" applyFont="1" applyFill="1"/>
    <xf numFmtId="3" fontId="46" fillId="0" borderId="31" xfId="57801" applyNumberFormat="1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0" fontId="103" fillId="0" borderId="31" xfId="0" applyFont="1" applyFill="1" applyBorder="1" applyAlignment="1">
      <alignment horizontal="center" vertical="center"/>
    </xf>
    <xf numFmtId="49" fontId="48" fillId="0" borderId="11" xfId="3" applyNumberFormat="1" applyFont="1" applyFill="1" applyBorder="1" applyAlignment="1">
      <alignment horizontal="center" vertical="center" wrapText="1"/>
    </xf>
    <xf numFmtId="2" fontId="48" fillId="0" borderId="0" xfId="0" applyNumberFormat="1" applyFont="1" applyFill="1"/>
    <xf numFmtId="0" fontId="48" fillId="0" borderId="11" xfId="3" applyFont="1" applyFill="1" applyBorder="1" applyAlignment="1">
      <alignment horizontal="center" vertical="center" wrapText="1"/>
    </xf>
    <xf numFmtId="49" fontId="48" fillId="0" borderId="11" xfId="3" applyNumberFormat="1" applyFont="1" applyFill="1" applyBorder="1" applyAlignment="1">
      <alignment horizontal="center" vertical="center"/>
    </xf>
    <xf numFmtId="49" fontId="38" fillId="0" borderId="11" xfId="3" applyNumberFormat="1" applyFont="1" applyFill="1" applyBorder="1" applyAlignment="1">
      <alignment horizontal="center" vertical="center" wrapText="1"/>
    </xf>
    <xf numFmtId="49" fontId="48" fillId="0" borderId="11" xfId="0" applyNumberFormat="1" applyFont="1" applyFill="1" applyBorder="1" applyAlignment="1">
      <alignment horizontal="center" vertical="center" wrapText="1"/>
    </xf>
    <xf numFmtId="0" fontId="104" fillId="0" borderId="11" xfId="0" applyFont="1" applyFill="1" applyBorder="1" applyAlignment="1">
      <alignment horizontal="left" vertical="center" wrapText="1"/>
    </xf>
    <xf numFmtId="49" fontId="44" fillId="0" borderId="11" xfId="3" applyNumberFormat="1" applyFont="1" applyFill="1" applyBorder="1" applyAlignment="1">
      <alignment horizontal="center" vertical="center"/>
    </xf>
    <xf numFmtId="0" fontId="36" fillId="0" borderId="11" xfId="3" applyFont="1" applyFill="1" applyBorder="1" applyAlignment="1">
      <alignment horizontal="left" vertical="center" wrapText="1"/>
    </xf>
    <xf numFmtId="0" fontId="48" fillId="0" borderId="11" xfId="0" applyFont="1" applyFill="1" applyBorder="1" applyAlignment="1">
      <alignment horizontal="left" vertical="center" wrapText="1"/>
    </xf>
    <xf numFmtId="49" fontId="48" fillId="0" borderId="11" xfId="3" applyNumberFormat="1" applyFont="1" applyFill="1" applyBorder="1" applyAlignment="1">
      <alignment horizontal="left" vertical="center" wrapText="1"/>
    </xf>
    <xf numFmtId="0" fontId="48" fillId="0" borderId="0" xfId="0" applyFont="1" applyFill="1" applyAlignment="1">
      <alignment vertical="center" wrapText="1"/>
    </xf>
    <xf numFmtId="0" fontId="39" fillId="0" borderId="64" xfId="0" applyFont="1" applyFill="1" applyBorder="1" applyAlignment="1">
      <alignment horizontal="center" vertical="center" wrapText="1"/>
    </xf>
    <xf numFmtId="4" fontId="109" fillId="0" borderId="11" xfId="61361" applyNumberFormat="1" applyFont="1" applyFill="1" applyBorder="1" applyAlignment="1">
      <alignment vertical="center" wrapText="1"/>
    </xf>
    <xf numFmtId="49" fontId="107" fillId="74" borderId="11" xfId="3" applyNumberFormat="1" applyFont="1" applyFill="1" applyBorder="1" applyAlignment="1">
      <alignment horizontal="center" vertical="center" wrapText="1"/>
    </xf>
    <xf numFmtId="0" fontId="109" fillId="74" borderId="11" xfId="3" applyFont="1" applyFill="1" applyBorder="1" applyAlignment="1">
      <alignment horizontal="left" vertical="center" wrapText="1"/>
    </xf>
    <xf numFmtId="4" fontId="109" fillId="0" borderId="11" xfId="61361" applyNumberFormat="1" applyFont="1" applyFill="1" applyBorder="1" applyAlignment="1">
      <alignment horizontal="left" vertical="center" wrapText="1"/>
    </xf>
    <xf numFmtId="0" fontId="36" fillId="0" borderId="0" xfId="0" applyFont="1" applyFill="1" applyAlignment="1">
      <alignment horizontal="right" vertical="center"/>
    </xf>
    <xf numFmtId="0" fontId="44" fillId="0" borderId="53" xfId="0" quotePrefix="1" applyFont="1" applyFill="1" applyBorder="1" applyAlignment="1">
      <alignment horizontal="center" vertical="center"/>
    </xf>
    <xf numFmtId="3" fontId="40" fillId="0" borderId="11" xfId="0" applyNumberFormat="1" applyFont="1" applyFill="1" applyBorder="1" applyAlignment="1">
      <alignment horizontal="center" vertical="center" wrapText="1"/>
    </xf>
    <xf numFmtId="3" fontId="44" fillId="74" borderId="11" xfId="58867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43" fillId="0" borderId="0" xfId="0" applyFont="1" applyFill="1"/>
    <xf numFmtId="3" fontId="14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0" applyFont="1" applyFill="1" applyBorder="1" applyAlignment="1" applyProtection="1">
      <alignment horizontal="center" vertical="center"/>
      <protection locked="0"/>
    </xf>
    <xf numFmtId="49" fontId="40" fillId="0" borderId="11" xfId="3" applyNumberFormat="1" applyFont="1" applyFill="1" applyBorder="1" applyAlignment="1">
      <alignment horizontal="center" vertical="center"/>
    </xf>
    <xf numFmtId="0" fontId="40" fillId="0" borderId="11" xfId="0" applyFont="1" applyFill="1" applyBorder="1" applyAlignment="1" applyProtection="1">
      <alignment vertical="center" wrapText="1"/>
      <protection locked="0"/>
    </xf>
    <xf numFmtId="3" fontId="43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03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1" xfId="3" applyNumberFormat="1" applyFont="1" applyFill="1" applyBorder="1" applyAlignment="1">
      <alignment horizontal="center" vertical="center" wrapText="1"/>
    </xf>
    <xf numFmtId="0" fontId="40" fillId="0" borderId="11" xfId="0" applyFont="1" applyFill="1" applyBorder="1" applyAlignment="1" applyProtection="1">
      <alignment vertical="center"/>
      <protection locked="0"/>
    </xf>
    <xf numFmtId="3" fontId="40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03" fillId="0" borderId="11" xfId="3" applyNumberFormat="1" applyFont="1" applyFill="1" applyBorder="1" applyAlignment="1">
      <alignment horizontal="center" vertical="center" wrapText="1"/>
    </xf>
    <xf numFmtId="0" fontId="40" fillId="0" borderId="11" xfId="3" applyFont="1" applyFill="1" applyBorder="1" applyAlignment="1">
      <alignment horizontal="center" vertical="center" wrapText="1"/>
    </xf>
    <xf numFmtId="0" fontId="43" fillId="0" borderId="11" xfId="0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 applyProtection="1">
      <alignment vertical="center"/>
      <protection locked="0"/>
    </xf>
    <xf numFmtId="0" fontId="43" fillId="0" borderId="11" xfId="0" applyFont="1" applyFill="1" applyBorder="1" applyAlignment="1" applyProtection="1">
      <alignment vertical="center" wrapText="1"/>
      <protection locked="0"/>
    </xf>
    <xf numFmtId="4" fontId="44" fillId="74" borderId="11" xfId="58867" applyNumberFormat="1" applyFont="1" applyFill="1" applyBorder="1" applyAlignment="1">
      <alignment horizontal="right" vertical="center"/>
    </xf>
    <xf numFmtId="0" fontId="114" fillId="0" borderId="10" xfId="59012" applyFont="1" applyBorder="1" applyAlignment="1">
      <alignment horizontal="center" vertical="center" wrapText="1"/>
    </xf>
    <xf numFmtId="3" fontId="123" fillId="74" borderId="72" xfId="61320" applyNumberFormat="1" applyFont="1" applyFill="1" applyBorder="1" applyAlignment="1">
      <alignment horizontal="center" vertical="center"/>
    </xf>
    <xf numFmtId="3" fontId="103" fillId="74" borderId="72" xfId="61320" applyNumberFormat="1" applyFont="1" applyFill="1" applyBorder="1" applyAlignment="1">
      <alignment horizontal="center" vertical="center"/>
    </xf>
    <xf numFmtId="3" fontId="103" fillId="74" borderId="48" xfId="0" applyNumberFormat="1" applyFont="1" applyFill="1" applyBorder="1" applyAlignment="1">
      <alignment horizontal="center" vertical="center" wrapText="1"/>
    </xf>
    <xf numFmtId="3" fontId="103" fillId="74" borderId="50" xfId="0" applyNumberFormat="1" applyFont="1" applyFill="1" applyBorder="1" applyAlignment="1">
      <alignment horizontal="center" vertical="center" wrapText="1"/>
    </xf>
    <xf numFmtId="3" fontId="123" fillId="74" borderId="39" xfId="61320" applyNumberFormat="1" applyFont="1" applyFill="1" applyBorder="1" applyAlignment="1">
      <alignment horizontal="center" vertical="center"/>
    </xf>
    <xf numFmtId="3" fontId="103" fillId="74" borderId="39" xfId="61320" applyNumberFormat="1" applyFont="1" applyFill="1" applyBorder="1" applyAlignment="1">
      <alignment horizontal="center" vertical="center"/>
    </xf>
    <xf numFmtId="3" fontId="103" fillId="74" borderId="59" xfId="61320" applyNumberFormat="1" applyFont="1" applyFill="1" applyBorder="1" applyAlignment="1">
      <alignment horizontal="center" vertical="center"/>
    </xf>
    <xf numFmtId="3" fontId="103" fillId="74" borderId="69" xfId="61320" applyNumberFormat="1" applyFont="1" applyFill="1" applyBorder="1" applyAlignment="1">
      <alignment horizontal="center" vertical="center"/>
    </xf>
    <xf numFmtId="0" fontId="109" fillId="0" borderId="31" xfId="0" applyFont="1" applyFill="1" applyBorder="1" applyAlignment="1">
      <alignment horizontal="center" vertical="center"/>
    </xf>
    <xf numFmtId="0" fontId="107" fillId="0" borderId="11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/>
    </xf>
    <xf numFmtId="0" fontId="103" fillId="0" borderId="11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41" fillId="74" borderId="15" xfId="59012" applyFont="1" applyFill="1" applyBorder="1" applyAlignment="1" applyProtection="1">
      <alignment horizontal="center" vertical="center" wrapText="1"/>
      <protection locked="0"/>
    </xf>
    <xf numFmtId="0" fontId="41" fillId="74" borderId="11" xfId="59012" applyFont="1" applyFill="1" applyBorder="1" applyAlignment="1" applyProtection="1">
      <alignment horizontal="center" vertical="center" wrapText="1"/>
      <protection locked="0"/>
    </xf>
    <xf numFmtId="0" fontId="107" fillId="0" borderId="0" xfId="61366" applyFont="1" applyFill="1" applyAlignment="1">
      <alignment vertical="center" wrapText="1"/>
    </xf>
    <xf numFmtId="0" fontId="107" fillId="0" borderId="11" xfId="61366" applyFont="1" applyFill="1" applyBorder="1" applyAlignment="1">
      <alignment horizontal="center" vertical="center" wrapText="1"/>
    </xf>
    <xf numFmtId="0" fontId="107" fillId="0" borderId="64" xfId="61366" applyFont="1" applyFill="1" applyBorder="1" applyAlignment="1">
      <alignment horizontal="center" vertical="center" wrapText="1"/>
    </xf>
    <xf numFmtId="0" fontId="107" fillId="0" borderId="31" xfId="61366" applyFont="1" applyFill="1" applyBorder="1" applyAlignment="1">
      <alignment horizontal="center" vertical="center" wrapText="1"/>
    </xf>
    <xf numFmtId="3" fontId="112" fillId="0" borderId="11" xfId="61366" applyNumberFormat="1" applyFont="1" applyFill="1" applyBorder="1" applyAlignment="1">
      <alignment horizontal="center" vertical="center" wrapText="1"/>
    </xf>
    <xf numFmtId="4" fontId="107" fillId="0" borderId="0" xfId="0" applyNumberFormat="1" applyFont="1" applyFill="1"/>
    <xf numFmtId="0" fontId="107" fillId="0" borderId="0" xfId="57801" applyFont="1" applyFill="1"/>
    <xf numFmtId="0" fontId="103" fillId="0" borderId="11" xfId="58585" applyFont="1" applyFill="1" applyBorder="1" applyAlignment="1">
      <alignment horizontal="center" vertical="center" wrapText="1"/>
    </xf>
    <xf numFmtId="0" fontId="40" fillId="0" borderId="11" xfId="57801" applyFont="1" applyFill="1" applyBorder="1" applyAlignment="1">
      <alignment horizontal="center" wrapText="1"/>
    </xf>
    <xf numFmtId="0" fontId="40" fillId="0" borderId="11" xfId="57801" applyFont="1" applyFill="1" applyBorder="1" applyAlignment="1">
      <alignment horizontal="center" vertical="center" wrapText="1"/>
    </xf>
    <xf numFmtId="0" fontId="40" fillId="0" borderId="0" xfId="57801" applyFont="1" applyFill="1"/>
    <xf numFmtId="3" fontId="112" fillId="0" borderId="11" xfId="57801" applyNumberFormat="1" applyFont="1" applyFill="1" applyBorder="1" applyAlignment="1">
      <alignment horizontal="center" vertical="center" wrapText="1"/>
    </xf>
    <xf numFmtId="0" fontId="44" fillId="0" borderId="11" xfId="58585" applyFont="1" applyFill="1" applyBorder="1" applyAlignment="1">
      <alignment horizontal="center" vertical="center"/>
    </xf>
    <xf numFmtId="49" fontId="36" fillId="0" borderId="11" xfId="3" applyNumberFormat="1" applyFont="1" applyFill="1" applyBorder="1" applyAlignment="1">
      <alignment horizontal="center" vertical="center" wrapText="1"/>
    </xf>
    <xf numFmtId="0" fontId="46" fillId="0" borderId="11" xfId="3" applyFont="1" applyFill="1" applyBorder="1" applyAlignment="1">
      <alignment horizontal="left" vertical="center" wrapText="1"/>
    </xf>
    <xf numFmtId="3" fontId="107" fillId="0" borderId="11" xfId="57801" applyNumberFormat="1" applyFont="1" applyFill="1" applyBorder="1" applyAlignment="1">
      <alignment horizontal="center" vertical="center" wrapText="1"/>
    </xf>
    <xf numFmtId="0" fontId="36" fillId="0" borderId="11" xfId="3" applyFont="1" applyFill="1" applyBorder="1" applyAlignment="1">
      <alignment horizontal="center" vertical="center" wrapText="1"/>
    </xf>
    <xf numFmtId="49" fontId="36" fillId="0" borderId="11" xfId="3" applyNumberFormat="1" applyFont="1" applyFill="1" applyBorder="1" applyAlignment="1">
      <alignment horizontal="center" vertical="center"/>
    </xf>
    <xf numFmtId="49" fontId="44" fillId="0" borderId="11" xfId="3" applyNumberFormat="1" applyFont="1" applyFill="1" applyBorder="1" applyAlignment="1">
      <alignment horizontal="center" vertical="center" wrapText="1"/>
    </xf>
    <xf numFmtId="49" fontId="36" fillId="0" borderId="11" xfId="58585" applyNumberFormat="1" applyFont="1" applyFill="1" applyBorder="1" applyAlignment="1">
      <alignment horizontal="center" vertical="center" wrapText="1"/>
    </xf>
    <xf numFmtId="0" fontId="46" fillId="0" borderId="11" xfId="58585" applyFont="1" applyFill="1" applyBorder="1" applyAlignment="1">
      <alignment horizontal="left" vertical="center" wrapText="1"/>
    </xf>
    <xf numFmtId="49" fontId="36" fillId="0" borderId="11" xfId="58585" applyNumberFormat="1" applyFont="1" applyFill="1" applyBorder="1" applyAlignment="1">
      <alignment horizontal="center" vertical="center"/>
    </xf>
    <xf numFmtId="0" fontId="36" fillId="0" borderId="11" xfId="58585" applyFont="1" applyFill="1" applyBorder="1" applyAlignment="1">
      <alignment horizontal="left" vertical="center" wrapText="1"/>
    </xf>
    <xf numFmtId="49" fontId="36" fillId="0" borderId="11" xfId="3" applyNumberFormat="1" applyFont="1" applyFill="1" applyBorder="1" applyAlignment="1">
      <alignment horizontal="left" vertical="center" wrapText="1"/>
    </xf>
    <xf numFmtId="0" fontId="44" fillId="0" borderId="0" xfId="58585" applyFont="1" applyFill="1" applyAlignment="1">
      <alignment horizontal="left" vertical="center"/>
    </xf>
    <xf numFmtId="0" fontId="102" fillId="0" borderId="0" xfId="61366" applyFont="1" applyFill="1" applyAlignment="1">
      <alignment vertical="center" wrapText="1"/>
    </xf>
    <xf numFmtId="0" fontId="48" fillId="0" borderId="11" xfId="61366" applyFont="1" applyFill="1" applyBorder="1" applyAlignment="1">
      <alignment horizontal="center" vertical="center" wrapText="1"/>
    </xf>
    <xf numFmtId="0" fontId="40" fillId="0" borderId="64" xfId="61366" applyFont="1" applyFill="1" applyBorder="1" applyAlignment="1">
      <alignment horizontal="center" vertical="center" wrapText="1"/>
    </xf>
    <xf numFmtId="0" fontId="40" fillId="0" borderId="31" xfId="61366" applyFont="1" applyFill="1" applyBorder="1" applyAlignment="1">
      <alignment horizontal="center" vertical="center" wrapText="1"/>
    </xf>
    <xf numFmtId="0" fontId="40" fillId="0" borderId="11" xfId="61366" applyFont="1" applyFill="1" applyBorder="1" applyAlignment="1">
      <alignment horizontal="center" vertical="center" wrapText="1"/>
    </xf>
    <xf numFmtId="3" fontId="100" fillId="0" borderId="11" xfId="61366" applyNumberFormat="1" applyFont="1" applyFill="1" applyBorder="1" applyAlignment="1">
      <alignment horizontal="center" vertical="center" wrapText="1"/>
    </xf>
    <xf numFmtId="3" fontId="38" fillId="74" borderId="11" xfId="60150" applyNumberFormat="1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left" vertical="center" wrapText="1"/>
    </xf>
    <xf numFmtId="0" fontId="38" fillId="74" borderId="11" xfId="60150" applyFont="1" applyFill="1" applyBorder="1" applyAlignment="1">
      <alignment horizontal="center" vertical="center"/>
    </xf>
    <xf numFmtId="0" fontId="38" fillId="74" borderId="0" xfId="60150" applyFont="1" applyFill="1"/>
    <xf numFmtId="3" fontId="114" fillId="74" borderId="11" xfId="60150" applyNumberFormat="1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right" vertical="center" wrapText="1"/>
    </xf>
    <xf numFmtId="0" fontId="114" fillId="74" borderId="11" xfId="60150" applyFont="1" applyFill="1" applyBorder="1" applyAlignment="1">
      <alignment horizontal="left" vertical="center" wrapText="1"/>
    </xf>
    <xf numFmtId="0" fontId="38" fillId="74" borderId="31" xfId="60150" applyFont="1" applyFill="1" applyBorder="1" applyAlignment="1">
      <alignment horizontal="center" vertical="center"/>
    </xf>
    <xf numFmtId="3" fontId="38" fillId="74" borderId="31" xfId="60150" applyNumberFormat="1" applyFont="1" applyFill="1" applyBorder="1" applyAlignment="1">
      <alignment horizontal="center" vertical="center"/>
    </xf>
    <xf numFmtId="0" fontId="114" fillId="74" borderId="11" xfId="60150" applyFont="1" applyFill="1" applyBorder="1" applyAlignment="1">
      <alignment horizontal="center" vertical="center"/>
    </xf>
    <xf numFmtId="0" fontId="114" fillId="74" borderId="0" xfId="60150" applyFont="1" applyFill="1"/>
    <xf numFmtId="0" fontId="38" fillId="74" borderId="31" xfId="60150" applyFont="1" applyFill="1" applyBorder="1" applyAlignment="1">
      <alignment horizontal="center" vertical="center" wrapText="1"/>
    </xf>
    <xf numFmtId="1" fontId="38" fillId="74" borderId="31" xfId="60150" applyNumberFormat="1" applyFont="1" applyFill="1" applyBorder="1" applyAlignment="1">
      <alignment horizontal="center" vertical="center"/>
    </xf>
    <xf numFmtId="3" fontId="38" fillId="74" borderId="0" xfId="60150" applyNumberFormat="1" applyFont="1" applyFill="1" applyAlignment="1">
      <alignment horizontal="center" vertical="center"/>
    </xf>
    <xf numFmtId="3" fontId="44" fillId="74" borderId="11" xfId="60150" applyNumberFormat="1" applyFont="1" applyFill="1" applyBorder="1" applyAlignment="1">
      <alignment horizontal="center" vertical="center" wrapText="1"/>
    </xf>
    <xf numFmtId="49" fontId="44" fillId="74" borderId="31" xfId="58975" applyNumberFormat="1" applyFont="1" applyFill="1" applyBorder="1" applyAlignment="1">
      <alignment horizontal="center" vertical="center"/>
    </xf>
    <xf numFmtId="49" fontId="44" fillId="74" borderId="11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justify" vertical="center" wrapText="1"/>
    </xf>
    <xf numFmtId="0" fontId="114" fillId="74" borderId="11" xfId="60150" applyFont="1" applyFill="1" applyBorder="1" applyAlignment="1">
      <alignment horizontal="center" vertical="center" wrapText="1"/>
    </xf>
    <xf numFmtId="1" fontId="38" fillId="74" borderId="11" xfId="60150" applyNumberFormat="1" applyFont="1" applyFill="1" applyBorder="1" applyAlignment="1">
      <alignment horizontal="center" vertical="center"/>
    </xf>
    <xf numFmtId="49" fontId="41" fillId="74" borderId="11" xfId="58975" applyNumberFormat="1" applyFont="1" applyFill="1" applyBorder="1" applyAlignment="1">
      <alignment horizontal="center" vertical="center" wrapText="1"/>
    </xf>
    <xf numFmtId="3" fontId="38" fillId="74" borderId="31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 applyProtection="1">
      <alignment horizontal="center" vertical="center" wrapText="1"/>
      <protection locked="0"/>
    </xf>
    <xf numFmtId="49" fontId="41" fillId="74" borderId="11" xfId="58921" applyNumberFormat="1" applyFont="1" applyFill="1" applyBorder="1" applyAlignment="1">
      <alignment horizontal="center" vertical="center"/>
    </xf>
    <xf numFmtId="0" fontId="114" fillId="74" borderId="11" xfId="60170" applyFont="1" applyFill="1" applyBorder="1" applyAlignment="1">
      <alignment horizontal="left" vertical="center" wrapText="1"/>
    </xf>
    <xf numFmtId="0" fontId="114" fillId="74" borderId="15" xfId="60150" applyFont="1" applyFill="1" applyBorder="1" applyAlignment="1">
      <alignment horizontal="center" vertical="center" wrapText="1"/>
    </xf>
    <xf numFmtId="0" fontId="114" fillId="74" borderId="71" xfId="60150" applyFont="1" applyFill="1" applyBorder="1" applyAlignment="1">
      <alignment horizontal="center" vertical="center" wrapText="1"/>
    </xf>
    <xf numFmtId="0" fontId="114" fillId="74" borderId="72" xfId="60150" applyFont="1" applyFill="1" applyBorder="1" applyAlignment="1">
      <alignment horizontal="center" vertical="center" wrapText="1"/>
    </xf>
    <xf numFmtId="0" fontId="38" fillId="74" borderId="0" xfId="60150" applyFont="1" applyFill="1" applyAlignment="1">
      <alignment horizontal="right"/>
    </xf>
    <xf numFmtId="3" fontId="38" fillId="74" borderId="0" xfId="60150" applyNumberFormat="1" applyFont="1" applyFill="1"/>
    <xf numFmtId="0" fontId="38" fillId="74" borderId="0" xfId="60150" applyFont="1" applyFill="1" applyAlignment="1">
      <alignment horizontal="center" vertical="center"/>
    </xf>
    <xf numFmtId="3" fontId="103" fillId="0" borderId="38" xfId="58940" applyNumberFormat="1" applyFont="1" applyFill="1" applyBorder="1" applyAlignment="1">
      <alignment horizontal="center" vertical="center" wrapText="1"/>
    </xf>
    <xf numFmtId="3" fontId="103" fillId="0" borderId="11" xfId="58940" applyNumberFormat="1" applyFont="1" applyFill="1" applyBorder="1" applyAlignment="1">
      <alignment horizontal="center" vertical="center" wrapText="1"/>
    </xf>
    <xf numFmtId="173" fontId="44" fillId="74" borderId="0" xfId="58585" applyNumberFormat="1" applyFont="1" applyFill="1" applyAlignment="1">
      <alignment horizontal="right" vertical="center"/>
    </xf>
    <xf numFmtId="174" fontId="44" fillId="74" borderId="0" xfId="58585" applyNumberFormat="1" applyFont="1" applyFill="1" applyAlignment="1">
      <alignment horizontal="right" vertical="center"/>
    </xf>
    <xf numFmtId="3" fontId="114" fillId="0" borderId="11" xfId="0" applyNumberFormat="1" applyFont="1" applyFill="1" applyBorder="1" applyAlignment="1">
      <alignment horizontal="center" vertical="center" wrapText="1"/>
    </xf>
    <xf numFmtId="3" fontId="114" fillId="0" borderId="39" xfId="0" applyNumberFormat="1" applyFont="1" applyFill="1" applyBorder="1" applyAlignment="1">
      <alignment horizontal="center" vertical="center" wrapText="1"/>
    </xf>
    <xf numFmtId="3" fontId="38" fillId="0" borderId="15" xfId="58940" applyNumberFormat="1" applyFont="1" applyFill="1" applyBorder="1" applyAlignment="1">
      <alignment horizontal="center" vertical="center" wrapText="1"/>
    </xf>
    <xf numFmtId="0" fontId="38" fillId="0" borderId="59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60" xfId="0" applyFont="1" applyFill="1" applyBorder="1" applyAlignment="1">
      <alignment horizontal="center" vertical="center" wrapText="1"/>
    </xf>
    <xf numFmtId="3" fontId="38" fillId="0" borderId="15" xfId="0" applyNumberFormat="1" applyFont="1" applyFill="1" applyBorder="1" applyAlignment="1">
      <alignment horizontal="center" vertical="center"/>
    </xf>
    <xf numFmtId="3" fontId="38" fillId="0" borderId="38" xfId="0" applyNumberFormat="1" applyFont="1" applyFill="1" applyBorder="1" applyAlignment="1">
      <alignment horizontal="center" vertical="center"/>
    </xf>
    <xf numFmtId="3" fontId="38" fillId="0" borderId="39" xfId="0" applyNumberFormat="1" applyFont="1" applyFill="1" applyBorder="1" applyAlignment="1">
      <alignment horizontal="center" vertical="center"/>
    </xf>
    <xf numFmtId="3" fontId="38" fillId="0" borderId="38" xfId="58940" applyNumberFormat="1" applyFont="1" applyFill="1" applyBorder="1" applyAlignment="1">
      <alignment horizontal="center" vertical="center"/>
    </xf>
    <xf numFmtId="3" fontId="44" fillId="0" borderId="59" xfId="58940" applyNumberFormat="1" applyFont="1" applyFill="1" applyBorder="1" applyAlignment="1">
      <alignment horizontal="center" vertical="center"/>
    </xf>
    <xf numFmtId="3" fontId="44" fillId="0" borderId="31" xfId="0" applyNumberFormat="1" applyFont="1" applyFill="1" applyBorder="1" applyAlignment="1">
      <alignment horizontal="center" vertical="center"/>
    </xf>
    <xf numFmtId="3" fontId="37" fillId="74" borderId="11" xfId="61371" applyNumberFormat="1" applyFont="1" applyFill="1" applyBorder="1" applyAlignment="1">
      <alignment horizontal="center" vertical="center" wrapText="1"/>
    </xf>
    <xf numFmtId="0" fontId="101" fillId="74" borderId="0" xfId="61371" applyFont="1" applyFill="1" applyAlignment="1"/>
    <xf numFmtId="0" fontId="2" fillId="74" borderId="0" xfId="61371" applyFill="1"/>
    <xf numFmtId="0" fontId="36" fillId="74" borderId="11" xfId="61372" applyFont="1" applyFill="1" applyBorder="1" applyAlignment="1">
      <alignment horizontal="center" vertical="center" wrapText="1"/>
    </xf>
    <xf numFmtId="0" fontId="37" fillId="74" borderId="11" xfId="61371" applyFont="1" applyFill="1" applyBorder="1" applyAlignment="1">
      <alignment horizontal="center" vertical="center" wrapText="1"/>
    </xf>
    <xf numFmtId="0" fontId="36" fillId="74" borderId="11" xfId="61371" applyFont="1" applyFill="1" applyBorder="1" applyAlignment="1">
      <alignment horizontal="center" vertical="center" wrapText="1"/>
    </xf>
    <xf numFmtId="0" fontId="36" fillId="74" borderId="11" xfId="61371" applyFont="1" applyFill="1" applyBorder="1" applyAlignment="1">
      <alignment horizontal="center" vertical="center"/>
    </xf>
    <xf numFmtId="0" fontId="36" fillId="74" borderId="11" xfId="61371" applyFont="1" applyFill="1" applyBorder="1" applyAlignment="1">
      <alignment vertical="center" wrapText="1"/>
    </xf>
    <xf numFmtId="0" fontId="117" fillId="74" borderId="11" xfId="61371" applyFont="1" applyFill="1" applyBorder="1" applyAlignment="1">
      <alignment vertical="center" wrapText="1"/>
    </xf>
    <xf numFmtId="0" fontId="36" fillId="74" borderId="11" xfId="61371" applyFont="1" applyFill="1" applyBorder="1" applyAlignment="1">
      <alignment vertical="center"/>
    </xf>
    <xf numFmtId="3" fontId="118" fillId="74" borderId="11" xfId="61371" applyNumberFormat="1" applyFont="1" applyFill="1" applyBorder="1" applyAlignment="1">
      <alignment horizontal="center" vertical="center"/>
    </xf>
    <xf numFmtId="0" fontId="101" fillId="74" borderId="0" xfId="61371" applyFont="1" applyFill="1" applyAlignment="1">
      <alignment horizontal="center" vertical="center" wrapText="1"/>
    </xf>
    <xf numFmtId="0" fontId="119" fillId="74" borderId="11" xfId="61371" applyFont="1" applyFill="1" applyBorder="1" applyAlignment="1">
      <alignment horizontal="center" vertical="center" wrapText="1"/>
    </xf>
    <xf numFmtId="0" fontId="119" fillId="74" borderId="15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 wrapText="1"/>
    </xf>
    <xf numFmtId="49" fontId="120" fillId="74" borderId="11" xfId="61371" applyNumberFormat="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vertical="center" wrapText="1"/>
    </xf>
    <xf numFmtId="3" fontId="39" fillId="74" borderId="11" xfId="61371" applyNumberFormat="1" applyFont="1" applyFill="1" applyBorder="1" applyAlignment="1">
      <alignment horizontal="right" vertical="center" wrapText="1"/>
    </xf>
    <xf numFmtId="0" fontId="39" fillId="74" borderId="11" xfId="61371" applyFont="1" applyFill="1" applyBorder="1" applyAlignment="1">
      <alignment horizontal="right" vertical="center"/>
    </xf>
    <xf numFmtId="0" fontId="39" fillId="74" borderId="11" xfId="61371" applyFont="1" applyFill="1" applyBorder="1" applyAlignment="1">
      <alignment horizontal="right" vertical="center" wrapText="1"/>
    </xf>
    <xf numFmtId="0" fontId="39" fillId="74" borderId="15" xfId="61371" applyFont="1" applyFill="1" applyBorder="1" applyAlignment="1">
      <alignment horizontal="right" vertical="center" wrapText="1"/>
    </xf>
    <xf numFmtId="3" fontId="2" fillId="74" borderId="0" xfId="61371" applyNumberFormat="1" applyFill="1"/>
    <xf numFmtId="0" fontId="42" fillId="74" borderId="11" xfId="61371" applyFont="1" applyFill="1" applyBorder="1" applyAlignment="1">
      <alignment horizontal="center" vertical="center"/>
    </xf>
    <xf numFmtId="0" fontId="42" fillId="74" borderId="11" xfId="61371" applyFont="1" applyFill="1" applyBorder="1" applyAlignment="1">
      <alignment vertical="center" wrapText="1"/>
    </xf>
    <xf numFmtId="3" fontId="42" fillId="74" borderId="11" xfId="61371" applyNumberFormat="1" applyFont="1" applyFill="1" applyBorder="1" applyAlignment="1">
      <alignment horizontal="right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0" fontId="48" fillId="74" borderId="41" xfId="61317" applyFont="1" applyFill="1" applyBorder="1" applyAlignment="1">
      <alignment horizontal="center" vertical="center" wrapText="1"/>
    </xf>
    <xf numFmtId="0" fontId="48" fillId="74" borderId="14" xfId="61317" applyFont="1" applyFill="1" applyBorder="1" applyAlignment="1">
      <alignment horizontal="center" vertical="center" wrapText="1"/>
    </xf>
    <xf numFmtId="3" fontId="41" fillId="76" borderId="0" xfId="58585" applyNumberFormat="1" applyFont="1" applyFill="1" applyAlignment="1">
      <alignment horizontal="right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41" fillId="74" borderId="33" xfId="58923" applyNumberFormat="1" applyFont="1" applyFill="1" applyBorder="1" applyAlignment="1">
      <alignment horizontal="center" vertical="center" wrapText="1"/>
    </xf>
    <xf numFmtId="3" fontId="48" fillId="74" borderId="33" xfId="58923" applyNumberFormat="1" applyFont="1" applyFill="1" applyBorder="1" applyAlignment="1">
      <alignment horizontal="center" vertical="center" wrapText="1"/>
    </xf>
    <xf numFmtId="3" fontId="48" fillId="74" borderId="55" xfId="58923" applyNumberFormat="1" applyFont="1" applyFill="1" applyBorder="1" applyAlignment="1">
      <alignment horizontal="center" vertical="center" wrapText="1"/>
    </xf>
    <xf numFmtId="3" fontId="143" fillId="74" borderId="72" xfId="58923" applyNumberFormat="1" applyFont="1" applyFill="1" applyBorder="1" applyAlignment="1">
      <alignment horizontal="center" vertical="center"/>
    </xf>
    <xf numFmtId="3" fontId="143" fillId="74" borderId="70" xfId="58923" applyNumberFormat="1" applyFont="1" applyFill="1" applyBorder="1" applyAlignment="1">
      <alignment horizontal="center" vertical="center"/>
    </xf>
    <xf numFmtId="3" fontId="144" fillId="74" borderId="53" xfId="58923" applyNumberFormat="1" applyFont="1" applyFill="1" applyBorder="1" applyAlignment="1">
      <alignment horizontal="center" vertical="center"/>
    </xf>
    <xf numFmtId="0" fontId="38" fillId="0" borderId="72" xfId="61321" applyFont="1" applyFill="1" applyBorder="1" applyAlignment="1">
      <alignment horizontal="left" wrapText="1"/>
    </xf>
    <xf numFmtId="0" fontId="48" fillId="74" borderId="42" xfId="61317" applyFont="1" applyFill="1" applyBorder="1" applyAlignment="1">
      <alignment horizontal="center" vertical="center" wrapText="1"/>
    </xf>
    <xf numFmtId="3" fontId="48" fillId="74" borderId="44" xfId="61317" applyNumberFormat="1" applyFont="1" applyFill="1" applyBorder="1" applyAlignment="1">
      <alignment horizontal="center" vertical="center" wrapText="1"/>
    </xf>
    <xf numFmtId="0" fontId="48" fillId="74" borderId="11" xfId="61317" applyFont="1" applyFill="1" applyBorder="1" applyAlignment="1">
      <alignment horizontal="center" vertical="center" wrapText="1"/>
    </xf>
    <xf numFmtId="0" fontId="48" fillId="74" borderId="11" xfId="61320" applyFont="1" applyFill="1" applyBorder="1" applyAlignment="1">
      <alignment horizontal="left" vertical="center" wrapText="1"/>
    </xf>
    <xf numFmtId="3" fontId="36" fillId="0" borderId="0" xfId="61373" applyNumberFormat="1" applyFont="1" applyFill="1"/>
    <xf numFmtId="3" fontId="36" fillId="0" borderId="31" xfId="61373" applyNumberFormat="1" applyFont="1" applyFill="1" applyBorder="1" applyAlignment="1">
      <alignment horizontal="center" vertical="center" wrapText="1"/>
    </xf>
    <xf numFmtId="3" fontId="37" fillId="0" borderId="31" xfId="61373" applyNumberFormat="1" applyFont="1" applyFill="1" applyBorder="1" applyAlignment="1">
      <alignment horizontal="center" vertical="center" wrapText="1"/>
    </xf>
    <xf numFmtId="3" fontId="37" fillId="0" borderId="14" xfId="61374" applyNumberFormat="1" applyFont="1" applyFill="1" applyBorder="1" applyAlignment="1">
      <alignment horizontal="center" vertical="center" wrapText="1"/>
    </xf>
    <xf numFmtId="0" fontId="36" fillId="0" borderId="0" xfId="61375" applyFont="1" applyFill="1" applyAlignment="1">
      <alignment horizontal="center" vertical="center" wrapText="1"/>
    </xf>
    <xf numFmtId="3" fontId="39" fillId="0" borderId="11" xfId="61373" applyNumberFormat="1" applyFont="1" applyFill="1" applyBorder="1" applyAlignment="1">
      <alignment horizontal="center" vertical="center" wrapText="1"/>
    </xf>
    <xf numFmtId="3" fontId="39" fillId="0" borderId="11" xfId="61373" applyNumberFormat="1" applyFont="1" applyFill="1" applyBorder="1" applyAlignment="1">
      <alignment horizontal="center" vertical="center"/>
    </xf>
    <xf numFmtId="3" fontId="40" fillId="0" borderId="11" xfId="61373" applyNumberFormat="1" applyFont="1" applyFill="1" applyBorder="1" applyAlignment="1">
      <alignment horizontal="center"/>
    </xf>
    <xf numFmtId="3" fontId="40" fillId="0" borderId="0" xfId="61373" applyNumberFormat="1" applyFont="1" applyFill="1"/>
    <xf numFmtId="3" fontId="42" fillId="0" borderId="11" xfId="61373" applyNumberFormat="1" applyFont="1" applyFill="1" applyBorder="1" applyAlignment="1">
      <alignment horizontal="center" vertical="center"/>
    </xf>
    <xf numFmtId="3" fontId="42" fillId="0" borderId="11" xfId="61373" applyNumberFormat="1" applyFont="1" applyFill="1" applyBorder="1" applyAlignment="1">
      <alignment horizontal="center" vertical="center" wrapText="1"/>
    </xf>
    <xf numFmtId="3" fontId="43" fillId="0" borderId="11" xfId="61373" applyNumberFormat="1" applyFont="1" applyFill="1" applyBorder="1" applyAlignment="1">
      <alignment horizontal="center" vertical="center"/>
    </xf>
    <xf numFmtId="172" fontId="40" fillId="0" borderId="0" xfId="61373" applyNumberFormat="1" applyFont="1" applyFill="1"/>
    <xf numFmtId="173" fontId="40" fillId="0" borderId="0" xfId="61373" applyNumberFormat="1" applyFont="1" applyFill="1"/>
    <xf numFmtId="3" fontId="40" fillId="0" borderId="11" xfId="61373" applyNumberFormat="1" applyFont="1" applyFill="1" applyBorder="1" applyAlignment="1">
      <alignment horizontal="center" vertical="center"/>
    </xf>
    <xf numFmtId="4" fontId="40" fillId="0" borderId="0" xfId="61373" applyNumberFormat="1" applyFont="1" applyFill="1"/>
    <xf numFmtId="3" fontId="37" fillId="0" borderId="11" xfId="61373" applyNumberFormat="1" applyFont="1" applyFill="1" applyBorder="1" applyAlignment="1">
      <alignment horizontal="center" vertical="center"/>
    </xf>
    <xf numFmtId="3" fontId="36" fillId="0" borderId="11" xfId="61373" applyNumberFormat="1" applyFont="1" applyFill="1" applyBorder="1" applyAlignment="1">
      <alignment horizontal="center" vertical="center"/>
    </xf>
    <xf numFmtId="4" fontId="36" fillId="0" borderId="0" xfId="61373" applyNumberFormat="1" applyFont="1" applyFill="1"/>
    <xf numFmtId="3" fontId="36" fillId="0" borderId="11" xfId="61373" applyNumberFormat="1" applyFont="1" applyFill="1" applyBorder="1" applyAlignment="1">
      <alignment horizontal="center" vertical="center" wrapText="1"/>
    </xf>
    <xf numFmtId="3" fontId="36" fillId="0" borderId="11" xfId="61373" applyNumberFormat="1" applyFont="1" applyFill="1" applyBorder="1" applyAlignment="1">
      <alignment horizontal="center"/>
    </xf>
    <xf numFmtId="0" fontId="36" fillId="0" borderId="0" xfId="61376" applyFont="1" applyFill="1"/>
    <xf numFmtId="3" fontId="36" fillId="0" borderId="0" xfId="61376" applyNumberFormat="1" applyFont="1" applyFill="1"/>
    <xf numFmtId="0" fontId="39" fillId="0" borderId="11" xfId="61376" applyFont="1" applyFill="1" applyBorder="1" applyAlignment="1">
      <alignment horizontal="center" vertical="center" wrapText="1"/>
    </xf>
    <xf numFmtId="0" fontId="39" fillId="0" borderId="11" xfId="61376" applyFont="1" applyFill="1" applyBorder="1" applyAlignment="1">
      <alignment horizontal="center" vertical="center"/>
    </xf>
    <xf numFmtId="3" fontId="39" fillId="0" borderId="11" xfId="61376" applyNumberFormat="1" applyFont="1" applyFill="1" applyBorder="1" applyAlignment="1">
      <alignment horizontal="center" vertical="center"/>
    </xf>
    <xf numFmtId="0" fontId="40" fillId="0" borderId="0" xfId="61376" applyFont="1" applyFill="1"/>
    <xf numFmtId="3" fontId="42" fillId="0" borderId="11" xfId="61376" applyNumberFormat="1" applyFont="1" applyFill="1" applyBorder="1" applyAlignment="1">
      <alignment horizontal="center" vertical="center"/>
    </xf>
    <xf numFmtId="3" fontId="37" fillId="0" borderId="11" xfId="61376" applyNumberFormat="1" applyFont="1" applyFill="1" applyBorder="1" applyAlignment="1">
      <alignment horizontal="center" vertical="center"/>
    </xf>
    <xf numFmtId="3" fontId="36" fillId="0" borderId="11" xfId="61376" applyNumberFormat="1" applyFont="1" applyFill="1" applyBorder="1" applyAlignment="1">
      <alignment horizontal="center" vertical="center"/>
    </xf>
    <xf numFmtId="0" fontId="36" fillId="0" borderId="11" xfId="61376" applyFont="1" applyFill="1" applyBorder="1" applyAlignment="1">
      <alignment horizontal="center"/>
    </xf>
    <xf numFmtId="3" fontId="36" fillId="0" borderId="11" xfId="61376" applyNumberFormat="1" applyFont="1" applyFill="1" applyBorder="1" applyAlignment="1">
      <alignment horizontal="center"/>
    </xf>
    <xf numFmtId="0" fontId="36" fillId="0" borderId="0" xfId="61378" applyFont="1" applyFill="1"/>
    <xf numFmtId="0" fontId="37" fillId="0" borderId="15" xfId="61378" applyFont="1" applyFill="1" applyBorder="1" applyAlignment="1">
      <alignment horizontal="center" vertical="center" wrapText="1"/>
    </xf>
    <xf numFmtId="0" fontId="36" fillId="0" borderId="11" xfId="61378" applyFont="1" applyFill="1" applyBorder="1" applyAlignment="1">
      <alignment horizontal="center" vertical="center" wrapText="1"/>
    </xf>
    <xf numFmtId="0" fontId="39" fillId="0" borderId="11" xfId="61378" applyFont="1" applyFill="1" applyBorder="1" applyAlignment="1">
      <alignment horizontal="center" vertical="center" wrapText="1"/>
    </xf>
    <xf numFmtId="0" fontId="39" fillId="0" borderId="11" xfId="61378" applyFont="1" applyFill="1" applyBorder="1" applyAlignment="1">
      <alignment horizontal="center" vertical="center"/>
    </xf>
    <xf numFmtId="3" fontId="39" fillId="0" borderId="11" xfId="61378" applyNumberFormat="1" applyFont="1" applyFill="1" applyBorder="1" applyAlignment="1">
      <alignment horizontal="center" vertical="center"/>
    </xf>
    <xf numFmtId="0" fontId="40" fillId="0" borderId="11" xfId="61378" applyFont="1" applyFill="1" applyBorder="1" applyAlignment="1">
      <alignment horizontal="center"/>
    </xf>
    <xf numFmtId="0" fontId="40" fillId="0" borderId="0" xfId="61378" applyFont="1" applyFill="1"/>
    <xf numFmtId="3" fontId="42" fillId="0" borderId="11" xfId="61378" applyNumberFormat="1" applyFont="1" applyFill="1" applyBorder="1" applyAlignment="1">
      <alignment horizontal="center" vertical="center"/>
    </xf>
    <xf numFmtId="3" fontId="37" fillId="0" borderId="11" xfId="61378" applyNumberFormat="1" applyFont="1" applyFill="1" applyBorder="1" applyAlignment="1">
      <alignment horizontal="center" vertical="center"/>
    </xf>
    <xf numFmtId="0" fontId="36" fillId="0" borderId="11" xfId="61378" applyFont="1" applyFill="1" applyBorder="1" applyAlignment="1">
      <alignment horizontal="center"/>
    </xf>
    <xf numFmtId="0" fontId="37" fillId="0" borderId="31" xfId="61378" applyFont="1" applyBorder="1" applyAlignment="1">
      <alignment horizontal="center" vertical="center" wrapText="1"/>
    </xf>
    <xf numFmtId="0" fontId="37" fillId="0" borderId="15" xfId="61378" applyFont="1" applyBorder="1" applyAlignment="1">
      <alignment horizontal="center" vertical="center" wrapText="1"/>
    </xf>
    <xf numFmtId="0" fontId="36" fillId="0" borderId="11" xfId="61378" applyFont="1" applyBorder="1" applyAlignment="1">
      <alignment horizontal="center" vertical="center" wrapText="1"/>
    </xf>
    <xf numFmtId="0" fontId="39" fillId="0" borderId="11" xfId="61378" applyFont="1" applyBorder="1" applyAlignment="1">
      <alignment horizontal="center" vertical="center" wrapText="1"/>
    </xf>
    <xf numFmtId="0" fontId="39" fillId="0" borderId="11" xfId="61378" applyFont="1" applyBorder="1" applyAlignment="1">
      <alignment horizontal="center" vertical="center"/>
    </xf>
    <xf numFmtId="3" fontId="39" fillId="0" borderId="11" xfId="61378" applyNumberFormat="1" applyFont="1" applyBorder="1" applyAlignment="1">
      <alignment horizontal="center" vertical="center"/>
    </xf>
    <xf numFmtId="3" fontId="42" fillId="0" borderId="11" xfId="61378" applyNumberFormat="1" applyFont="1" applyBorder="1" applyAlignment="1">
      <alignment horizontal="center" vertical="center"/>
    </xf>
    <xf numFmtId="0" fontId="1" fillId="0" borderId="0" xfId="61378"/>
    <xf numFmtId="3" fontId="1" fillId="0" borderId="0" xfId="61378" applyNumberFormat="1"/>
    <xf numFmtId="0" fontId="37" fillId="0" borderId="11" xfId="61379" applyFont="1" applyFill="1" applyBorder="1" applyAlignment="1">
      <alignment horizontal="center" vertical="center" wrapText="1"/>
    </xf>
    <xf numFmtId="0" fontId="36" fillId="0" borderId="11" xfId="61379" applyFont="1" applyFill="1" applyBorder="1" applyAlignment="1">
      <alignment horizontal="center" vertical="center" wrapText="1"/>
    </xf>
    <xf numFmtId="3" fontId="118" fillId="0" borderId="11" xfId="61378" applyNumberFormat="1" applyFont="1" applyFill="1" applyBorder="1" applyAlignment="1">
      <alignment horizontal="center" vertical="center"/>
    </xf>
    <xf numFmtId="0" fontId="148" fillId="0" borderId="0" xfId="61378" applyFont="1"/>
    <xf numFmtId="3" fontId="148" fillId="0" borderId="0" xfId="61378" applyNumberFormat="1" applyFont="1"/>
    <xf numFmtId="0" fontId="38" fillId="0" borderId="38" xfId="0" applyFont="1" applyFill="1" applyBorder="1" applyAlignment="1">
      <alignment horizontal="center" vertical="center"/>
    </xf>
    <xf numFmtId="49" fontId="38" fillId="0" borderId="11" xfId="58940" applyNumberFormat="1" applyFont="1" applyFill="1" applyBorder="1" applyAlignment="1">
      <alignment horizontal="center" vertical="center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38" fillId="0" borderId="38" xfId="58940" applyNumberFormat="1" applyFont="1" applyFill="1" applyBorder="1" applyAlignment="1">
      <alignment horizontal="center" vertical="center" wrapText="1"/>
    </xf>
    <xf numFmtId="3" fontId="38" fillId="0" borderId="11" xfId="58940" applyNumberFormat="1" applyFont="1" applyFill="1" applyBorder="1" applyAlignment="1">
      <alignment horizontal="center" vertical="center" wrapText="1"/>
    </xf>
    <xf numFmtId="3" fontId="48" fillId="0" borderId="38" xfId="0" applyNumberFormat="1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vertical="center"/>
    </xf>
    <xf numFmtId="3" fontId="48" fillId="0" borderId="0" xfId="0" applyNumberFormat="1" applyFont="1" applyFill="1" applyAlignment="1">
      <alignment horizontal="center" vertical="center"/>
    </xf>
    <xf numFmtId="3" fontId="100" fillId="0" borderId="0" xfId="0" applyNumberFormat="1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0" fontId="48" fillId="0" borderId="72" xfId="0" applyFont="1" applyFill="1" applyBorder="1" applyAlignment="1">
      <alignment horizontal="center" vertical="center" wrapText="1"/>
    </xf>
    <xf numFmtId="3" fontId="48" fillId="0" borderId="59" xfId="0" applyNumberFormat="1" applyFont="1" applyFill="1" applyBorder="1" applyAlignment="1">
      <alignment horizontal="center" vertical="center"/>
    </xf>
    <xf numFmtId="3" fontId="48" fillId="0" borderId="53" xfId="0" applyNumberFormat="1" applyFont="1" applyFill="1" applyBorder="1" applyAlignment="1">
      <alignment horizontal="center" vertical="center"/>
    </xf>
    <xf numFmtId="3" fontId="48" fillId="0" borderId="69" xfId="0" applyNumberFormat="1" applyFont="1" applyFill="1" applyBorder="1" applyAlignment="1">
      <alignment horizontal="center" vertical="center"/>
    </xf>
    <xf numFmtId="3" fontId="48" fillId="0" borderId="70" xfId="0" applyNumberFormat="1" applyFont="1" applyFill="1" applyBorder="1" applyAlignment="1">
      <alignment horizontal="center" vertical="center"/>
    </xf>
    <xf numFmtId="3" fontId="48" fillId="0" borderId="60" xfId="0" applyNumberFormat="1" applyFont="1" applyFill="1" applyBorder="1" applyAlignment="1">
      <alignment horizontal="center" vertical="center"/>
    </xf>
    <xf numFmtId="3" fontId="100" fillId="0" borderId="41" xfId="0" applyNumberFormat="1" applyFont="1" applyFill="1" applyBorder="1" applyAlignment="1">
      <alignment horizontal="center" vertical="center"/>
    </xf>
    <xf numFmtId="3" fontId="100" fillId="0" borderId="14" xfId="0" applyNumberFormat="1" applyFont="1" applyFill="1" applyBorder="1" applyAlignment="1">
      <alignment horizontal="center" vertical="center"/>
    </xf>
    <xf numFmtId="3" fontId="100" fillId="0" borderId="40" xfId="0" applyNumberFormat="1" applyFont="1" applyFill="1" applyBorder="1" applyAlignment="1">
      <alignment horizontal="center" vertical="center"/>
    </xf>
    <xf numFmtId="3" fontId="100" fillId="0" borderId="33" xfId="0" applyNumberFormat="1" applyFont="1" applyFill="1" applyBorder="1" applyAlignment="1">
      <alignment horizontal="center" vertical="center"/>
    </xf>
    <xf numFmtId="3" fontId="100" fillId="0" borderId="13" xfId="0" applyNumberFormat="1" applyFont="1" applyFill="1" applyBorder="1" applyAlignment="1">
      <alignment horizontal="center" vertical="center"/>
    </xf>
    <xf numFmtId="3" fontId="100" fillId="0" borderId="11" xfId="0" applyNumberFormat="1" applyFont="1" applyFill="1" applyBorder="1" applyAlignment="1">
      <alignment horizontal="center" vertical="center"/>
    </xf>
    <xf numFmtId="3" fontId="100" fillId="0" borderId="39" xfId="0" applyNumberFormat="1" applyFont="1" applyFill="1" applyBorder="1" applyAlignment="1">
      <alignment horizontal="center" vertical="center"/>
    </xf>
    <xf numFmtId="3" fontId="48" fillId="0" borderId="72" xfId="0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center" vertical="center"/>
    </xf>
    <xf numFmtId="3" fontId="100" fillId="0" borderId="38" xfId="0" applyNumberFormat="1" applyFont="1" applyFill="1" applyBorder="1" applyAlignment="1">
      <alignment horizontal="center" vertical="center"/>
    </xf>
    <xf numFmtId="3" fontId="100" fillId="0" borderId="72" xfId="0" applyNumberFormat="1" applyFont="1" applyFill="1" applyBorder="1" applyAlignment="1">
      <alignment horizontal="center" vertical="center"/>
    </xf>
    <xf numFmtId="3" fontId="100" fillId="0" borderId="15" xfId="0" applyNumberFormat="1" applyFont="1" applyFill="1" applyBorder="1" applyAlignment="1">
      <alignment horizontal="center" vertical="center"/>
    </xf>
    <xf numFmtId="3" fontId="152" fillId="0" borderId="11" xfId="0" applyNumberFormat="1" applyFont="1" applyFill="1" applyBorder="1" applyAlignment="1">
      <alignment horizontal="center" vertical="center"/>
    </xf>
    <xf numFmtId="3" fontId="152" fillId="0" borderId="72" xfId="0" applyNumberFormat="1" applyFont="1" applyFill="1" applyBorder="1" applyAlignment="1">
      <alignment horizontal="center" vertical="center"/>
    </xf>
    <xf numFmtId="3" fontId="152" fillId="0" borderId="15" xfId="0" applyNumberFormat="1" applyFont="1" applyFill="1" applyBorder="1" applyAlignment="1">
      <alignment horizontal="center" vertical="center"/>
    </xf>
    <xf numFmtId="3" fontId="152" fillId="0" borderId="38" xfId="0" applyNumberFormat="1" applyFont="1" applyFill="1" applyBorder="1" applyAlignment="1">
      <alignment horizontal="center" vertical="center"/>
    </xf>
    <xf numFmtId="3" fontId="152" fillId="0" borderId="39" xfId="0" applyNumberFormat="1" applyFont="1" applyFill="1" applyBorder="1" applyAlignment="1">
      <alignment horizontal="center" vertical="center"/>
    </xf>
    <xf numFmtId="0" fontId="152" fillId="0" borderId="0" xfId="0" applyFont="1" applyFill="1" applyAlignment="1">
      <alignment horizontal="center" vertical="center"/>
    </xf>
    <xf numFmtId="3" fontId="100" fillId="0" borderId="53" xfId="0" applyNumberFormat="1" applyFont="1" applyFill="1" applyBorder="1" applyAlignment="1">
      <alignment horizontal="center" vertical="center"/>
    </xf>
    <xf numFmtId="3" fontId="100" fillId="0" borderId="69" xfId="0" applyNumberFormat="1" applyFont="1" applyFill="1" applyBorder="1" applyAlignment="1">
      <alignment horizontal="center" vertical="center"/>
    </xf>
    <xf numFmtId="3" fontId="117" fillId="0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3" fontId="117" fillId="0" borderId="15" xfId="0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horizontal="center" vertical="center"/>
    </xf>
    <xf numFmtId="3" fontId="46" fillId="0" borderId="15" xfId="0" applyNumberFormat="1" applyFont="1" applyFill="1" applyBorder="1" applyAlignment="1">
      <alignment horizontal="left" vertical="center" wrapText="1"/>
    </xf>
    <xf numFmtId="3" fontId="36" fillId="0" borderId="31" xfId="58940" applyNumberFormat="1" applyFont="1" applyFill="1" applyBorder="1" applyAlignment="1">
      <alignment horizontal="center" vertical="center"/>
    </xf>
    <xf numFmtId="3" fontId="36" fillId="0" borderId="31" xfId="0" applyNumberFormat="1" applyFont="1" applyFill="1" applyBorder="1" applyAlignment="1">
      <alignment horizontal="center" vertical="center"/>
    </xf>
    <xf numFmtId="3" fontId="36" fillId="0" borderId="59" xfId="0" applyNumberFormat="1" applyFont="1" applyFill="1" applyBorder="1" applyAlignment="1">
      <alignment horizontal="center" vertical="center"/>
    </xf>
    <xf numFmtId="3" fontId="117" fillId="0" borderId="53" xfId="0" applyNumberFormat="1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0" fontId="115" fillId="74" borderId="0" xfId="60150" applyFont="1" applyFill="1" applyBorder="1" applyAlignment="1">
      <alignment horizontal="center" vertical="center" wrapText="1"/>
    </xf>
    <xf numFmtId="3" fontId="44" fillId="74" borderId="15" xfId="60150" applyNumberFormat="1" applyFont="1" applyFill="1" applyBorder="1" applyAlignment="1">
      <alignment horizontal="center" vertical="center" wrapText="1"/>
    </xf>
    <xf numFmtId="3" fontId="44" fillId="74" borderId="71" xfId="60150" applyNumberFormat="1" applyFont="1" applyFill="1" applyBorder="1" applyAlignment="1">
      <alignment horizontal="center" vertical="center" wrapText="1"/>
    </xf>
    <xf numFmtId="3" fontId="44" fillId="74" borderId="11" xfId="60150" applyNumberFormat="1" applyFont="1" applyFill="1" applyBorder="1" applyAlignment="1">
      <alignment horizontal="center" vertical="center" wrapText="1"/>
    </xf>
    <xf numFmtId="3" fontId="44" fillId="74" borderId="31" xfId="60150" applyNumberFormat="1" applyFont="1" applyFill="1" applyBorder="1" applyAlignment="1">
      <alignment horizontal="center" vertical="center" wrapText="1"/>
    </xf>
    <xf numFmtId="3" fontId="44" fillId="74" borderId="12" xfId="60150" applyNumberFormat="1" applyFont="1" applyFill="1" applyBorder="1" applyAlignment="1">
      <alignment horizontal="center" vertical="center" wrapText="1"/>
    </xf>
    <xf numFmtId="3" fontId="44" fillId="74" borderId="14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center" vertical="center" wrapText="1"/>
    </xf>
    <xf numFmtId="0" fontId="44" fillId="74" borderId="11" xfId="60150" applyFont="1" applyFill="1" applyBorder="1" applyAlignment="1">
      <alignment horizontal="center" vertical="center" wrapText="1"/>
    </xf>
    <xf numFmtId="0" fontId="41" fillId="75" borderId="15" xfId="59012" applyFont="1" applyFill="1" applyBorder="1" applyAlignment="1" applyProtection="1">
      <alignment horizontal="center" vertical="center" wrapText="1"/>
      <protection locked="0"/>
    </xf>
    <xf numFmtId="0" fontId="41" fillId="75" borderId="72" xfId="59012" applyFont="1" applyFill="1" applyBorder="1" applyAlignment="1" applyProtection="1">
      <alignment horizontal="center" vertical="center" wrapText="1"/>
      <protection locked="0"/>
    </xf>
    <xf numFmtId="0" fontId="41" fillId="79" borderId="15" xfId="59012" applyFont="1" applyFill="1" applyBorder="1" applyAlignment="1" applyProtection="1">
      <alignment horizontal="center" vertical="center" wrapText="1"/>
      <protection locked="0"/>
    </xf>
    <xf numFmtId="0" fontId="41" fillId="79" borderId="72" xfId="59012" applyFont="1" applyFill="1" applyBorder="1" applyAlignment="1" applyProtection="1">
      <alignment horizontal="center" vertical="center" wrapText="1"/>
      <protection locked="0"/>
    </xf>
    <xf numFmtId="0" fontId="41" fillId="75" borderId="11" xfId="59012" applyFont="1" applyFill="1" applyBorder="1" applyAlignment="1" applyProtection="1">
      <alignment horizontal="center" vertical="center" wrapText="1"/>
      <protection locked="0"/>
    </xf>
    <xf numFmtId="0" fontId="114" fillId="0" borderId="10" xfId="59012" applyFont="1" applyBorder="1" applyAlignment="1">
      <alignment horizontal="center" vertical="center" wrapText="1"/>
    </xf>
    <xf numFmtId="0" fontId="41" fillId="74" borderId="31" xfId="59012" applyFont="1" applyFill="1" applyBorder="1" applyAlignment="1" applyProtection="1">
      <alignment horizontal="center" vertical="center" wrapText="1"/>
      <protection locked="0"/>
    </xf>
    <xf numFmtId="0" fontId="41" fillId="74" borderId="12" xfId="59012" applyFont="1" applyFill="1" applyBorder="1" applyAlignment="1" applyProtection="1">
      <alignment horizontal="center" vertical="center" wrapText="1"/>
      <protection locked="0"/>
    </xf>
    <xf numFmtId="3" fontId="103" fillId="74" borderId="31" xfId="59591" applyNumberFormat="1" applyFont="1" applyFill="1" applyBorder="1" applyAlignment="1">
      <alignment horizontal="center" vertical="center" wrapText="1"/>
    </xf>
    <xf numFmtId="3" fontId="103" fillId="74" borderId="14" xfId="59591" applyNumberFormat="1" applyFont="1" applyFill="1" applyBorder="1" applyAlignment="1">
      <alignment horizontal="center" vertical="center" wrapText="1"/>
    </xf>
    <xf numFmtId="3" fontId="41" fillId="74" borderId="71" xfId="58867" applyNumberFormat="1" applyFont="1" applyFill="1" applyBorder="1" applyAlignment="1">
      <alignment horizontal="center" vertical="center"/>
    </xf>
    <xf numFmtId="3" fontId="115" fillId="74" borderId="0" xfId="58867" applyNumberFormat="1" applyFont="1" applyFill="1" applyBorder="1" applyAlignment="1">
      <alignment horizontal="center" vertical="center" wrapText="1"/>
    </xf>
    <xf numFmtId="3" fontId="103" fillId="74" borderId="11" xfId="58867" applyNumberFormat="1" applyFont="1" applyFill="1" applyBorder="1" applyAlignment="1">
      <alignment horizontal="center" vertical="center" wrapText="1"/>
    </xf>
    <xf numFmtId="3" fontId="44" fillId="74" borderId="11" xfId="58867" applyNumberFormat="1" applyFont="1" applyFill="1" applyBorder="1" applyAlignment="1">
      <alignment horizontal="center" vertical="center"/>
    </xf>
    <xf numFmtId="3" fontId="103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4" fillId="74" borderId="11" xfId="59591" applyNumberFormat="1" applyFont="1" applyFill="1" applyBorder="1" applyAlignment="1">
      <alignment horizontal="center" vertical="center" wrapText="1"/>
    </xf>
    <xf numFmtId="0" fontId="121" fillId="0" borderId="0" xfId="59013" applyFont="1" applyFill="1" applyBorder="1" applyAlignment="1">
      <alignment horizontal="center" vertical="center" wrapText="1"/>
    </xf>
    <xf numFmtId="3" fontId="35" fillId="0" borderId="10" xfId="61373" applyNumberFormat="1" applyFont="1" applyFill="1" applyBorder="1" applyAlignment="1">
      <alignment horizontal="center" vertical="center" wrapText="1"/>
    </xf>
    <xf numFmtId="3" fontId="37" fillId="0" borderId="11" xfId="61373" applyNumberFormat="1" applyFont="1" applyFill="1" applyBorder="1" applyAlignment="1">
      <alignment horizontal="center" vertical="center" wrapText="1"/>
    </xf>
    <xf numFmtId="3" fontId="38" fillId="0" borderId="31" xfId="61373" applyNumberFormat="1" applyFont="1" applyFill="1" applyBorder="1" applyAlignment="1">
      <alignment horizontal="center" vertical="center" wrapText="1"/>
    </xf>
    <xf numFmtId="3" fontId="38" fillId="0" borderId="12" xfId="61373" applyNumberFormat="1" applyFont="1" applyFill="1" applyBorder="1" applyAlignment="1">
      <alignment horizontal="center" vertical="center" wrapText="1"/>
    </xf>
    <xf numFmtId="3" fontId="38" fillId="0" borderId="14" xfId="61373" applyNumberFormat="1" applyFont="1" applyFill="1" applyBorder="1" applyAlignment="1">
      <alignment horizontal="center" vertical="center" wrapText="1"/>
    </xf>
    <xf numFmtId="3" fontId="36" fillId="0" borderId="31" xfId="61373" applyNumberFormat="1" applyFont="1" applyFill="1" applyBorder="1" applyAlignment="1">
      <alignment horizontal="center" vertical="center" wrapText="1"/>
    </xf>
    <xf numFmtId="3" fontId="36" fillId="0" borderId="12" xfId="61373" applyNumberFormat="1" applyFont="1" applyFill="1" applyBorder="1" applyAlignment="1">
      <alignment horizontal="center" vertical="center" wrapText="1"/>
    </xf>
    <xf numFmtId="3" fontId="36" fillId="0" borderId="14" xfId="61373" applyNumberFormat="1" applyFont="1" applyFill="1" applyBorder="1" applyAlignment="1">
      <alignment horizontal="center" vertical="center" wrapText="1"/>
    </xf>
    <xf numFmtId="3" fontId="37" fillId="0" borderId="12" xfId="61373" applyNumberFormat="1" applyFont="1" applyFill="1" applyBorder="1" applyAlignment="1">
      <alignment horizontal="center" vertical="center" wrapText="1"/>
    </xf>
    <xf numFmtId="3" fontId="37" fillId="0" borderId="14" xfId="61373" applyNumberFormat="1" applyFont="1" applyFill="1" applyBorder="1" applyAlignment="1">
      <alignment horizontal="center" vertical="center" wrapText="1"/>
    </xf>
    <xf numFmtId="3" fontId="37" fillId="0" borderId="13" xfId="61373" applyNumberFormat="1" applyFont="1" applyFill="1" applyBorder="1" applyAlignment="1">
      <alignment horizontal="center" vertical="center" wrapText="1"/>
    </xf>
    <xf numFmtId="3" fontId="37" fillId="0" borderId="10" xfId="61373" applyNumberFormat="1" applyFont="1" applyFill="1" applyBorder="1" applyAlignment="1">
      <alignment horizontal="center" vertical="center" wrapText="1"/>
    </xf>
    <xf numFmtId="3" fontId="37" fillId="0" borderId="15" xfId="61373" applyNumberFormat="1" applyFont="1" applyFill="1" applyBorder="1" applyAlignment="1">
      <alignment horizontal="center" vertical="center" wrapText="1"/>
    </xf>
    <xf numFmtId="3" fontId="37" fillId="0" borderId="72" xfId="61373" applyNumberFormat="1" applyFont="1" applyFill="1" applyBorder="1" applyAlignment="1">
      <alignment horizontal="center" vertical="center" wrapText="1"/>
    </xf>
    <xf numFmtId="3" fontId="36" fillId="0" borderId="11" xfId="61373" applyNumberFormat="1" applyFont="1" applyFill="1" applyBorder="1" applyAlignment="1">
      <alignment horizontal="center"/>
    </xf>
    <xf numFmtId="0" fontId="41" fillId="0" borderId="11" xfId="59012" applyFont="1" applyFill="1" applyBorder="1" applyAlignment="1">
      <alignment horizontal="center" vertical="center"/>
    </xf>
    <xf numFmtId="4" fontId="44" fillId="0" borderId="15" xfId="59012" applyNumberFormat="1" applyFont="1" applyFill="1" applyBorder="1" applyAlignment="1">
      <alignment horizontal="center" vertical="center" wrapText="1"/>
    </xf>
    <xf numFmtId="4" fontId="44" fillId="0" borderId="71" xfId="59012" applyNumberFormat="1" applyFont="1" applyFill="1" applyBorder="1" applyAlignment="1">
      <alignment horizontal="center" vertical="center" wrapText="1"/>
    </xf>
    <xf numFmtId="4" fontId="44" fillId="0" borderId="72" xfId="59012" applyNumberFormat="1" applyFont="1" applyFill="1" applyBorder="1" applyAlignment="1">
      <alignment horizontal="center" vertical="center" wrapText="1"/>
    </xf>
    <xf numFmtId="4" fontId="41" fillId="0" borderId="15" xfId="59012" applyNumberFormat="1" applyFont="1" applyFill="1" applyBorder="1" applyAlignment="1">
      <alignment horizontal="center" vertical="center" wrapText="1"/>
    </xf>
    <xf numFmtId="4" fontId="41" fillId="0" borderId="71" xfId="59012" applyNumberFormat="1" applyFont="1" applyFill="1" applyBorder="1" applyAlignment="1">
      <alignment horizontal="center" vertical="center" wrapText="1"/>
    </xf>
    <xf numFmtId="4" fontId="41" fillId="0" borderId="72" xfId="59012" applyNumberFormat="1" applyFont="1" applyFill="1" applyBorder="1" applyAlignment="1">
      <alignment horizontal="center" vertical="center" wrapText="1"/>
    </xf>
    <xf numFmtId="0" fontId="44" fillId="0" borderId="31" xfId="59012" applyFont="1" applyFill="1" applyBorder="1" applyAlignment="1">
      <alignment horizontal="center" vertical="center"/>
    </xf>
    <xf numFmtId="0" fontId="44" fillId="0" borderId="12" xfId="59012" applyFont="1" applyFill="1" applyBorder="1" applyAlignment="1">
      <alignment horizontal="center" vertical="center"/>
    </xf>
    <xf numFmtId="0" fontId="44" fillId="0" borderId="14" xfId="59012" applyFont="1" applyFill="1" applyBorder="1" applyAlignment="1">
      <alignment horizontal="center" vertical="center"/>
    </xf>
    <xf numFmtId="49" fontId="36" fillId="0" borderId="31" xfId="58940" applyNumberFormat="1" applyFont="1" applyFill="1" applyBorder="1" applyAlignment="1">
      <alignment horizontal="center" vertical="center"/>
    </xf>
    <xf numFmtId="49" fontId="36" fillId="0" borderId="12" xfId="58940" applyNumberFormat="1" applyFont="1" applyFill="1" applyBorder="1" applyAlignment="1">
      <alignment horizontal="center" vertical="center"/>
    </xf>
    <xf numFmtId="49" fontId="36" fillId="0" borderId="14" xfId="58940" applyNumberFormat="1" applyFont="1" applyFill="1" applyBorder="1" applyAlignment="1">
      <alignment horizontal="center" vertical="center"/>
    </xf>
    <xf numFmtId="0" fontId="35" fillId="0" borderId="0" xfId="61378" applyFont="1" applyFill="1" applyBorder="1" applyAlignment="1">
      <alignment horizontal="center" vertical="center" wrapText="1"/>
    </xf>
    <xf numFmtId="0" fontId="37" fillId="0" borderId="11" xfId="61378" applyFont="1" applyFill="1" applyBorder="1" applyAlignment="1">
      <alignment horizontal="center" vertical="center" wrapText="1"/>
    </xf>
    <xf numFmtId="0" fontId="38" fillId="0" borderId="31" xfId="61378" applyFont="1" applyFill="1" applyBorder="1" applyAlignment="1">
      <alignment horizontal="center" vertical="center" wrapText="1"/>
    </xf>
    <xf numFmtId="0" fontId="38" fillId="0" borderId="12" xfId="61378" applyFont="1" applyFill="1" applyBorder="1" applyAlignment="1">
      <alignment horizontal="center" vertical="center" wrapText="1"/>
    </xf>
    <xf numFmtId="0" fontId="38" fillId="0" borderId="14" xfId="61378" applyFont="1" applyFill="1" applyBorder="1" applyAlignment="1">
      <alignment horizontal="center" vertical="center" wrapText="1"/>
    </xf>
    <xf numFmtId="0" fontId="37" fillId="0" borderId="11" xfId="61379" applyFont="1" applyFill="1" applyBorder="1" applyAlignment="1">
      <alignment horizontal="center" vertical="center" wrapText="1"/>
    </xf>
    <xf numFmtId="0" fontId="36" fillId="0" borderId="11" xfId="61378" applyFont="1" applyBorder="1" applyAlignment="1">
      <alignment horizontal="center" vertical="center" wrapText="1"/>
    </xf>
    <xf numFmtId="0" fontId="36" fillId="0" borderId="11" xfId="61378" applyFont="1" applyBorder="1" applyAlignment="1">
      <alignment horizontal="center" wrapText="1"/>
    </xf>
    <xf numFmtId="0" fontId="36" fillId="0" borderId="11" xfId="61378" applyFont="1" applyBorder="1" applyAlignment="1">
      <alignment horizontal="center"/>
    </xf>
    <xf numFmtId="49" fontId="36" fillId="0" borderId="31" xfId="58921" applyNumberFormat="1" applyFont="1" applyFill="1" applyBorder="1" applyAlignment="1">
      <alignment horizontal="center" vertical="center"/>
    </xf>
    <xf numFmtId="49" fontId="36" fillId="0" borderId="12" xfId="58921" applyNumberFormat="1" applyFont="1" applyFill="1" applyBorder="1" applyAlignment="1">
      <alignment horizontal="center" vertical="center"/>
    </xf>
    <xf numFmtId="49" fontId="36" fillId="0" borderId="14" xfId="58921" applyNumberFormat="1" applyFont="1" applyFill="1" applyBorder="1" applyAlignment="1">
      <alignment horizontal="center" vertical="center"/>
    </xf>
    <xf numFmtId="0" fontId="36" fillId="0" borderId="11" xfId="61379" applyFont="1" applyFill="1" applyBorder="1" applyAlignment="1">
      <alignment horizontal="center" vertical="center" wrapText="1"/>
    </xf>
    <xf numFmtId="0" fontId="35" fillId="0" borderId="10" xfId="61376" applyFont="1" applyFill="1" applyBorder="1" applyAlignment="1">
      <alignment horizontal="center" vertical="center" wrapText="1"/>
    </xf>
    <xf numFmtId="0" fontId="35" fillId="0" borderId="0" xfId="61376" applyFont="1" applyFill="1" applyBorder="1" applyAlignment="1">
      <alignment horizontal="center" vertical="center" wrapText="1"/>
    </xf>
    <xf numFmtId="0" fontId="37" fillId="0" borderId="11" xfId="61376" applyFont="1" applyFill="1" applyBorder="1" applyAlignment="1">
      <alignment horizontal="center" vertical="center" wrapText="1"/>
    </xf>
    <xf numFmtId="0" fontId="38" fillId="0" borderId="31" xfId="61376" applyFont="1" applyFill="1" applyBorder="1" applyAlignment="1">
      <alignment horizontal="center" vertical="center" wrapText="1"/>
    </xf>
    <xf numFmtId="0" fontId="38" fillId="0" borderId="12" xfId="61376" applyFont="1" applyFill="1" applyBorder="1" applyAlignment="1">
      <alignment horizontal="center" vertical="center" wrapText="1"/>
    </xf>
    <xf numFmtId="0" fontId="38" fillId="0" borderId="14" xfId="61376" applyFont="1" applyFill="1" applyBorder="1" applyAlignment="1">
      <alignment horizontal="center" vertical="center" wrapText="1"/>
    </xf>
    <xf numFmtId="0" fontId="37" fillId="0" borderId="11" xfId="61376" applyFont="1" applyFill="1" applyBorder="1" applyAlignment="1">
      <alignment horizontal="center" vertical="top" wrapText="1"/>
    </xf>
    <xf numFmtId="0" fontId="37" fillId="0" borderId="12" xfId="61376" applyFont="1" applyFill="1" applyBorder="1" applyAlignment="1">
      <alignment horizontal="center" vertical="center" wrapText="1"/>
    </xf>
    <xf numFmtId="0" fontId="37" fillId="0" borderId="14" xfId="61376" applyFont="1" applyFill="1" applyBorder="1" applyAlignment="1">
      <alignment horizontal="center" vertical="center" wrapText="1"/>
    </xf>
    <xf numFmtId="0" fontId="36" fillId="0" borderId="11" xfId="61376" applyFont="1" applyFill="1" applyBorder="1" applyAlignment="1">
      <alignment horizontal="center" vertical="center" wrapText="1"/>
    </xf>
    <xf numFmtId="0" fontId="36" fillId="0" borderId="71" xfId="61376" applyFont="1" applyFill="1" applyBorder="1" applyAlignment="1">
      <alignment horizontal="center" vertical="center" wrapText="1"/>
    </xf>
    <xf numFmtId="0" fontId="36" fillId="0" borderId="72" xfId="61376" applyFont="1" applyFill="1" applyBorder="1" applyAlignment="1">
      <alignment horizontal="center" vertical="center" wrapText="1"/>
    </xf>
    <xf numFmtId="0" fontId="36" fillId="0" borderId="15" xfId="61376" applyFont="1" applyFill="1" applyBorder="1" applyAlignment="1">
      <alignment horizontal="center" vertical="center" wrapText="1"/>
    </xf>
    <xf numFmtId="0" fontId="36" fillId="0" borderId="31" xfId="61376" applyFont="1" applyFill="1" applyBorder="1" applyAlignment="1">
      <alignment horizontal="center" vertical="center" wrapText="1"/>
    </xf>
    <xf numFmtId="0" fontId="36" fillId="0" borderId="14" xfId="61376" applyFont="1" applyFill="1" applyBorder="1" applyAlignment="1">
      <alignment horizontal="center" vertical="center" wrapText="1"/>
    </xf>
    <xf numFmtId="0" fontId="40" fillId="0" borderId="31" xfId="61376" applyFont="1" applyFill="1" applyBorder="1" applyAlignment="1">
      <alignment horizontal="center" vertical="center" wrapText="1"/>
    </xf>
    <xf numFmtId="0" fontId="40" fillId="0" borderId="14" xfId="61376" applyFont="1" applyFill="1" applyBorder="1" applyAlignment="1">
      <alignment horizontal="center" vertical="center" wrapText="1"/>
    </xf>
    <xf numFmtId="0" fontId="37" fillId="0" borderId="31" xfId="61376" applyFont="1" applyFill="1" applyBorder="1" applyAlignment="1">
      <alignment horizontal="center" vertical="center" wrapText="1"/>
    </xf>
    <xf numFmtId="0" fontId="39" fillId="0" borderId="31" xfId="61376" applyFont="1" applyFill="1" applyBorder="1" applyAlignment="1">
      <alignment horizontal="center" vertical="center" wrapText="1"/>
    </xf>
    <xf numFmtId="0" fontId="39" fillId="0" borderId="14" xfId="61376" applyFont="1" applyFill="1" applyBorder="1" applyAlignment="1">
      <alignment horizontal="center" vertical="center" wrapText="1"/>
    </xf>
    <xf numFmtId="0" fontId="35" fillId="0" borderId="10" xfId="61377" applyFont="1" applyFill="1" applyBorder="1" applyAlignment="1">
      <alignment horizontal="center" vertical="center" wrapText="1"/>
    </xf>
    <xf numFmtId="0" fontId="37" fillId="0" borderId="31" xfId="61378" applyFont="1" applyFill="1" applyBorder="1" applyAlignment="1">
      <alignment horizontal="center" vertical="center" wrapText="1"/>
    </xf>
    <xf numFmtId="0" fontId="37" fillId="0" borderId="12" xfId="61378" applyFont="1" applyFill="1" applyBorder="1" applyAlignment="1">
      <alignment horizontal="center" vertical="center" wrapText="1"/>
    </xf>
    <xf numFmtId="0" fontId="37" fillId="0" borderId="14" xfId="61378" applyFont="1" applyFill="1" applyBorder="1" applyAlignment="1">
      <alignment horizontal="center" vertical="center" wrapText="1"/>
    </xf>
    <xf numFmtId="0" fontId="37" fillId="0" borderId="15" xfId="61378" applyFont="1" applyFill="1" applyBorder="1" applyAlignment="1">
      <alignment horizontal="center" vertical="center" wrapText="1"/>
    </xf>
    <xf numFmtId="0" fontId="37" fillId="0" borderId="71" xfId="61378" applyFont="1" applyFill="1" applyBorder="1" applyAlignment="1">
      <alignment horizontal="center" vertical="center" wrapText="1"/>
    </xf>
    <xf numFmtId="0" fontId="37" fillId="0" borderId="72" xfId="61378" applyFont="1" applyFill="1" applyBorder="1" applyAlignment="1">
      <alignment horizontal="center" vertical="center" wrapText="1"/>
    </xf>
    <xf numFmtId="0" fontId="36" fillId="0" borderId="12" xfId="61378" applyFont="1" applyFill="1" applyBorder="1" applyAlignment="1">
      <alignment horizontal="center" vertical="center" wrapText="1"/>
    </xf>
    <xf numFmtId="0" fontId="36" fillId="0" borderId="14" xfId="61378" applyFont="1" applyFill="1" applyBorder="1" applyAlignment="1">
      <alignment horizontal="center" vertical="center" wrapText="1"/>
    </xf>
    <xf numFmtId="0" fontId="36" fillId="0" borderId="13" xfId="61378" applyFont="1" applyFill="1" applyBorder="1" applyAlignment="1">
      <alignment horizontal="center" vertical="center" wrapText="1"/>
    </xf>
    <xf numFmtId="0" fontId="36" fillId="0" borderId="33" xfId="61378" applyFont="1" applyFill="1" applyBorder="1" applyAlignment="1">
      <alignment horizontal="center" vertical="center" wrapText="1"/>
    </xf>
    <xf numFmtId="0" fontId="36" fillId="0" borderId="31" xfId="61378" applyFont="1" applyFill="1" applyBorder="1" applyAlignment="1">
      <alignment horizontal="center" vertical="center" wrapText="1"/>
    </xf>
    <xf numFmtId="0" fontId="35" fillId="0" borderId="10" xfId="61378" applyFont="1" applyBorder="1" applyAlignment="1">
      <alignment horizontal="center" vertical="center" wrapText="1"/>
    </xf>
    <xf numFmtId="0" fontId="37" fillId="0" borderId="11" xfId="61378" applyFont="1" applyBorder="1" applyAlignment="1">
      <alignment horizontal="center" vertical="center" wrapText="1"/>
    </xf>
    <xf numFmtId="0" fontId="38" fillId="0" borderId="31" xfId="61378" applyFont="1" applyBorder="1" applyAlignment="1">
      <alignment horizontal="center" vertical="center" wrapText="1"/>
    </xf>
    <xf numFmtId="0" fontId="38" fillId="0" borderId="12" xfId="61378" applyFont="1" applyBorder="1" applyAlignment="1">
      <alignment horizontal="center" vertical="center" wrapText="1"/>
    </xf>
    <xf numFmtId="0" fontId="37" fillId="0" borderId="15" xfId="61378" applyFont="1" applyBorder="1" applyAlignment="1">
      <alignment horizontal="center" vertical="center" wrapText="1"/>
    </xf>
    <xf numFmtId="0" fontId="37" fillId="0" borderId="71" xfId="61378" applyFont="1" applyBorder="1" applyAlignment="1">
      <alignment horizontal="center" vertical="center" wrapText="1"/>
    </xf>
    <xf numFmtId="0" fontId="37" fillId="0" borderId="72" xfId="61378" applyFont="1" applyBorder="1" applyAlignment="1">
      <alignment horizontal="center" vertical="center" wrapText="1"/>
    </xf>
    <xf numFmtId="0" fontId="37" fillId="0" borderId="12" xfId="61378" applyFont="1" applyBorder="1" applyAlignment="1">
      <alignment horizontal="center" vertical="center" wrapText="1"/>
    </xf>
    <xf numFmtId="0" fontId="36" fillId="0" borderId="31" xfId="61378" applyFont="1" applyBorder="1" applyAlignment="1">
      <alignment horizontal="center" vertical="center" wrapText="1"/>
    </xf>
    <xf numFmtId="0" fontId="36" fillId="0" borderId="12" xfId="61378" applyFont="1" applyBorder="1" applyAlignment="1">
      <alignment horizontal="center" vertical="center" wrapText="1"/>
    </xf>
    <xf numFmtId="0" fontId="41" fillId="0" borderId="11" xfId="59012" applyFont="1" applyBorder="1" applyAlignment="1">
      <alignment horizontal="center" vertical="center"/>
    </xf>
    <xf numFmtId="4" fontId="41" fillId="0" borderId="15" xfId="59012" applyNumberFormat="1" applyFont="1" applyBorder="1" applyAlignment="1">
      <alignment horizontal="center" vertical="center" wrapText="1"/>
    </xf>
    <xf numFmtId="4" fontId="41" fillId="0" borderId="71" xfId="59012" applyNumberFormat="1" applyFont="1" applyBorder="1" applyAlignment="1">
      <alignment horizontal="center" vertical="center" wrapText="1"/>
    </xf>
    <xf numFmtId="4" fontId="41" fillId="0" borderId="72" xfId="59012" applyNumberFormat="1" applyFont="1" applyBorder="1" applyAlignment="1">
      <alignment horizontal="center" vertical="center" wrapText="1"/>
    </xf>
    <xf numFmtId="0" fontId="44" fillId="0" borderId="31" xfId="59012" applyFont="1" applyBorder="1" applyAlignment="1">
      <alignment horizontal="center" vertical="center"/>
    </xf>
    <xf numFmtId="0" fontId="44" fillId="0" borderId="12" xfId="59012" applyFont="1" applyBorder="1" applyAlignment="1">
      <alignment horizontal="center" vertical="center"/>
    </xf>
    <xf numFmtId="0" fontId="44" fillId="0" borderId="14" xfId="59012" applyFont="1" applyBorder="1" applyAlignment="1">
      <alignment horizontal="center" vertical="center"/>
    </xf>
    <xf numFmtId="49" fontId="36" fillId="0" borderId="31" xfId="58921" applyNumberFormat="1" applyFont="1" applyBorder="1" applyAlignment="1">
      <alignment horizontal="center" vertical="center"/>
    </xf>
    <xf numFmtId="49" fontId="36" fillId="0" borderId="12" xfId="58921" applyNumberFormat="1" applyFont="1" applyBorder="1" applyAlignment="1">
      <alignment horizontal="center" vertical="center"/>
    </xf>
    <xf numFmtId="49" fontId="36" fillId="0" borderId="14" xfId="58921" applyNumberFormat="1" applyFont="1" applyBorder="1" applyAlignment="1">
      <alignment horizontal="center" vertical="center"/>
    </xf>
    <xf numFmtId="0" fontId="150" fillId="0" borderId="11" xfId="0" applyFont="1" applyFill="1" applyBorder="1" applyAlignment="1">
      <alignment horizontal="center" vertical="center"/>
    </xf>
    <xf numFmtId="0" fontId="109" fillId="0" borderId="31" xfId="0" applyFont="1" applyFill="1" applyBorder="1" applyAlignment="1">
      <alignment horizontal="center" vertical="center"/>
    </xf>
    <xf numFmtId="0" fontId="109" fillId="0" borderId="12" xfId="0" applyFont="1" applyFill="1" applyBorder="1" applyAlignment="1">
      <alignment horizontal="center" vertical="center"/>
    </xf>
    <xf numFmtId="0" fontId="109" fillId="0" borderId="14" xfId="0" applyFont="1" applyFill="1" applyBorder="1" applyAlignment="1">
      <alignment horizontal="center" vertical="center"/>
    </xf>
    <xf numFmtId="49" fontId="107" fillId="0" borderId="31" xfId="3" applyNumberFormat="1" applyFont="1" applyFill="1" applyBorder="1" applyAlignment="1">
      <alignment horizontal="center" vertical="center"/>
    </xf>
    <xf numFmtId="49" fontId="107" fillId="0" borderId="12" xfId="3" applyNumberFormat="1" applyFont="1" applyFill="1" applyBorder="1" applyAlignment="1">
      <alignment horizontal="center" vertical="center"/>
    </xf>
    <xf numFmtId="49" fontId="107" fillId="0" borderId="14" xfId="3" applyNumberFormat="1" applyFont="1" applyFill="1" applyBorder="1" applyAlignment="1">
      <alignment horizontal="center" vertical="center"/>
    </xf>
    <xf numFmtId="0" fontId="101" fillId="0" borderId="0" xfId="61366" applyFont="1" applyFill="1" applyAlignment="1">
      <alignment horizontal="center" vertical="center" wrapText="1"/>
    </xf>
    <xf numFmtId="0" fontId="109" fillId="0" borderId="31" xfId="0" applyFont="1" applyFill="1" applyBorder="1" applyAlignment="1">
      <alignment horizontal="center" vertical="center" wrapText="1"/>
    </xf>
    <xf numFmtId="0" fontId="109" fillId="0" borderId="12" xfId="0" applyFont="1" applyFill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7" fillId="0" borderId="11" xfId="0" applyFont="1" applyFill="1" applyBorder="1" applyAlignment="1">
      <alignment horizontal="center" vertical="center" wrapText="1"/>
    </xf>
    <xf numFmtId="2" fontId="107" fillId="0" borderId="11" xfId="61366" applyNumberFormat="1" applyFont="1" applyFill="1" applyBorder="1" applyAlignment="1">
      <alignment horizontal="center" vertical="center" wrapText="1"/>
    </xf>
    <xf numFmtId="0" fontId="107" fillId="0" borderId="31" xfId="61366" applyFont="1" applyFill="1" applyBorder="1" applyAlignment="1">
      <alignment horizontal="center" vertical="center" wrapText="1"/>
    </xf>
    <xf numFmtId="0" fontId="107" fillId="0" borderId="14" xfId="61366" applyFont="1" applyFill="1" applyBorder="1" applyAlignment="1">
      <alignment horizontal="center" vertical="center" wrapText="1"/>
    </xf>
    <xf numFmtId="0" fontId="107" fillId="0" borderId="11" xfId="61368" applyFont="1" applyFill="1" applyBorder="1" applyAlignment="1">
      <alignment horizontal="center" vertical="center" wrapText="1"/>
    </xf>
    <xf numFmtId="0" fontId="105" fillId="0" borderId="0" xfId="57801" applyFont="1" applyFill="1" applyAlignment="1">
      <alignment horizontal="center"/>
    </xf>
    <xf numFmtId="0" fontId="44" fillId="0" borderId="31" xfId="58585" applyFont="1" applyFill="1" applyBorder="1" applyAlignment="1">
      <alignment horizontal="center" vertical="center" wrapText="1"/>
    </xf>
    <xf numFmtId="0" fontId="44" fillId="0" borderId="12" xfId="58585" applyFont="1" applyFill="1" applyBorder="1" applyAlignment="1">
      <alignment horizontal="center" vertical="center" wrapText="1"/>
    </xf>
    <xf numFmtId="0" fontId="44" fillId="0" borderId="14" xfId="58585" applyFont="1" applyFill="1" applyBorder="1" applyAlignment="1">
      <alignment horizontal="center" vertical="center" wrapText="1"/>
    </xf>
    <xf numFmtId="0" fontId="36" fillId="0" borderId="31" xfId="57801" applyFont="1" applyFill="1" applyBorder="1" applyAlignment="1">
      <alignment horizontal="center" wrapText="1"/>
    </xf>
    <xf numFmtId="0" fontId="36" fillId="0" borderId="12" xfId="57801" applyFont="1" applyFill="1" applyBorder="1" applyAlignment="1">
      <alignment horizontal="center" wrapText="1"/>
    </xf>
    <xf numFmtId="0" fontId="36" fillId="0" borderId="14" xfId="57801" applyFont="1" applyFill="1" applyBorder="1" applyAlignment="1">
      <alignment horizontal="center" wrapText="1"/>
    </xf>
    <xf numFmtId="0" fontId="36" fillId="0" borderId="11" xfId="57801" applyFont="1" applyFill="1" applyBorder="1" applyAlignment="1">
      <alignment horizontal="center" vertical="center" wrapText="1"/>
    </xf>
    <xf numFmtId="0" fontId="36" fillId="0" borderId="31" xfId="57801" applyFont="1" applyFill="1" applyBorder="1" applyAlignment="1">
      <alignment horizontal="center" vertical="center" wrapText="1"/>
    </xf>
    <xf numFmtId="0" fontId="36" fillId="0" borderId="14" xfId="57801" applyFont="1" applyFill="1" applyBorder="1" applyAlignment="1">
      <alignment horizontal="center" vertical="center" wrapText="1"/>
    </xf>
    <xf numFmtId="0" fontId="44" fillId="0" borderId="31" xfId="58585" applyFont="1" applyFill="1" applyBorder="1" applyAlignment="1">
      <alignment horizontal="center" vertical="center"/>
    </xf>
    <xf numFmtId="0" fontId="44" fillId="0" borderId="12" xfId="58585" applyFont="1" applyFill="1" applyBorder="1" applyAlignment="1">
      <alignment horizontal="center" vertical="center"/>
    </xf>
    <xf numFmtId="0" fontId="44" fillId="0" borderId="14" xfId="58585" applyFont="1" applyFill="1" applyBorder="1" applyAlignment="1">
      <alignment horizontal="center" vertical="center"/>
    </xf>
    <xf numFmtId="49" fontId="36" fillId="0" borderId="31" xfId="3" applyNumberFormat="1" applyFont="1" applyFill="1" applyBorder="1" applyAlignment="1">
      <alignment horizontal="center" vertical="center"/>
    </xf>
    <xf numFmtId="49" fontId="36" fillId="0" borderId="12" xfId="3" applyNumberFormat="1" applyFont="1" applyFill="1" applyBorder="1" applyAlignment="1">
      <alignment horizontal="center" vertical="center"/>
    </xf>
    <xf numFmtId="49" fontId="36" fillId="0" borderId="14" xfId="3" applyNumberFormat="1" applyFont="1" applyFill="1" applyBorder="1" applyAlignment="1">
      <alignment horizontal="center" vertical="center"/>
    </xf>
    <xf numFmtId="0" fontId="41" fillId="0" borderId="15" xfId="58585" applyFont="1" applyFill="1" applyBorder="1" applyAlignment="1">
      <alignment horizontal="center" vertical="center" wrapText="1"/>
    </xf>
    <xf numFmtId="0" fontId="41" fillId="0" borderId="71" xfId="58585" applyFont="1" applyFill="1" applyBorder="1" applyAlignment="1">
      <alignment horizontal="center" vertical="center" wrapText="1"/>
    </xf>
    <xf numFmtId="0" fontId="41" fillId="0" borderId="72" xfId="58585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/>
    </xf>
    <xf numFmtId="49" fontId="48" fillId="0" borderId="31" xfId="3" applyNumberFormat="1" applyFont="1" applyFill="1" applyBorder="1" applyAlignment="1">
      <alignment horizontal="center" vertical="center"/>
    </xf>
    <xf numFmtId="49" fontId="48" fillId="0" borderId="12" xfId="3" applyNumberFormat="1" applyFont="1" applyFill="1" applyBorder="1" applyAlignment="1">
      <alignment horizontal="center" vertical="center"/>
    </xf>
    <xf numFmtId="49" fontId="48" fillId="0" borderId="14" xfId="3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horizontal="left" vertical="center" wrapText="1"/>
    </xf>
    <xf numFmtId="0" fontId="38" fillId="0" borderId="11" xfId="0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48" fillId="0" borderId="31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2" fontId="48" fillId="0" borderId="15" xfId="61366" applyNumberFormat="1" applyFont="1" applyFill="1" applyBorder="1" applyAlignment="1">
      <alignment horizontal="center" vertical="center" wrapText="1"/>
    </xf>
    <xf numFmtId="2" fontId="48" fillId="0" borderId="71" xfId="61366" applyNumberFormat="1" applyFont="1" applyFill="1" applyBorder="1" applyAlignment="1">
      <alignment horizontal="center" vertical="center" wrapText="1"/>
    </xf>
    <xf numFmtId="2" fontId="48" fillId="0" borderId="72" xfId="61366" applyNumberFormat="1" applyFont="1" applyFill="1" applyBorder="1" applyAlignment="1">
      <alignment horizontal="center" vertical="center" wrapText="1"/>
    </xf>
    <xf numFmtId="0" fontId="48" fillId="0" borderId="72" xfId="61366" applyFont="1" applyFill="1" applyBorder="1" applyAlignment="1">
      <alignment horizontal="center" vertical="center" wrapText="1"/>
    </xf>
    <xf numFmtId="0" fontId="48" fillId="0" borderId="11" xfId="61366" applyFont="1" applyFill="1" applyBorder="1" applyAlignment="1">
      <alignment horizontal="center" vertical="center" wrapText="1"/>
    </xf>
    <xf numFmtId="0" fontId="48" fillId="0" borderId="15" xfId="61366" applyFont="1" applyFill="1" applyBorder="1" applyAlignment="1">
      <alignment horizontal="center" vertical="center"/>
    </xf>
    <xf numFmtId="0" fontId="48" fillId="0" borderId="71" xfId="61366" applyFont="1" applyFill="1" applyBorder="1" applyAlignment="1">
      <alignment horizontal="center" vertical="center"/>
    </xf>
    <xf numFmtId="0" fontId="48" fillId="0" borderId="72" xfId="61366" applyFont="1" applyFill="1" applyBorder="1" applyAlignment="1">
      <alignment horizontal="center" vertical="center"/>
    </xf>
    <xf numFmtId="0" fontId="48" fillId="0" borderId="31" xfId="61366" applyFont="1" applyFill="1" applyBorder="1" applyAlignment="1">
      <alignment horizontal="center" vertical="center" wrapText="1"/>
    </xf>
    <xf numFmtId="0" fontId="48" fillId="0" borderId="14" xfId="61366" applyFont="1" applyFill="1" applyBorder="1" applyAlignment="1">
      <alignment horizontal="center" vertical="center" wrapText="1"/>
    </xf>
    <xf numFmtId="0" fontId="48" fillId="0" borderId="11" xfId="61368" applyFont="1" applyFill="1" applyBorder="1" applyAlignment="1">
      <alignment horizontal="center" vertical="center" wrapText="1"/>
    </xf>
    <xf numFmtId="0" fontId="48" fillId="0" borderId="64" xfId="61366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/>
    </xf>
    <xf numFmtId="0" fontId="36" fillId="0" borderId="11" xfId="61293" applyFont="1" applyFill="1" applyBorder="1" applyAlignment="1">
      <alignment horizontal="center" vertical="center" wrapText="1"/>
    </xf>
    <xf numFmtId="0" fontId="36" fillId="0" borderId="31" xfId="61293" applyFont="1" applyFill="1" applyBorder="1" applyAlignment="1">
      <alignment horizontal="center" vertical="center" wrapText="1"/>
    </xf>
    <xf numFmtId="0" fontId="36" fillId="0" borderId="14" xfId="61293" applyFont="1" applyFill="1" applyBorder="1" applyAlignment="1">
      <alignment horizontal="center" vertical="center" wrapText="1"/>
    </xf>
    <xf numFmtId="0" fontId="105" fillId="0" borderId="0" xfId="61293" applyFont="1" applyAlignment="1">
      <alignment horizontal="center"/>
    </xf>
    <xf numFmtId="0" fontId="36" fillId="0" borderId="11" xfId="61293" applyFont="1" applyBorder="1" applyAlignment="1">
      <alignment horizontal="center" vertical="center" wrapText="1"/>
    </xf>
    <xf numFmtId="0" fontId="88" fillId="0" borderId="15" xfId="61293" applyFill="1" applyBorder="1" applyAlignment="1">
      <alignment horizontal="center"/>
    </xf>
    <xf numFmtId="0" fontId="88" fillId="0" borderId="17" xfId="61293" applyFill="1" applyBorder="1" applyAlignment="1">
      <alignment horizontal="center"/>
    </xf>
    <xf numFmtId="0" fontId="88" fillId="0" borderId="16" xfId="61293" applyFill="1" applyBorder="1" applyAlignment="1">
      <alignment horizontal="center"/>
    </xf>
    <xf numFmtId="0" fontId="36" fillId="0" borderId="15" xfId="61293" applyFont="1" applyFill="1" applyBorder="1" applyAlignment="1">
      <alignment horizontal="center" vertical="center"/>
    </xf>
    <xf numFmtId="0" fontId="36" fillId="0" borderId="17" xfId="61293" applyFont="1" applyFill="1" applyBorder="1" applyAlignment="1">
      <alignment horizontal="center" vertical="center"/>
    </xf>
    <xf numFmtId="0" fontId="36" fillId="0" borderId="16" xfId="61293" applyFont="1" applyFill="1" applyBorder="1" applyAlignment="1">
      <alignment horizontal="center" vertical="center"/>
    </xf>
    <xf numFmtId="0" fontId="111" fillId="0" borderId="15" xfId="0" applyFont="1" applyFill="1" applyBorder="1" applyAlignment="1">
      <alignment horizontal="center" vertical="center" wrapText="1"/>
    </xf>
    <xf numFmtId="0" fontId="111" fillId="0" borderId="71" xfId="0" applyFont="1" applyFill="1" applyBorder="1" applyAlignment="1">
      <alignment horizontal="center" vertical="center" wrapText="1"/>
    </xf>
    <xf numFmtId="0" fontId="111" fillId="0" borderId="72" xfId="0" applyFont="1" applyFill="1" applyBorder="1" applyAlignment="1">
      <alignment horizontal="center" vertical="center" wrapText="1"/>
    </xf>
    <xf numFmtId="0" fontId="105" fillId="0" borderId="0" xfId="0" applyFont="1" applyFill="1" applyAlignment="1">
      <alignment horizontal="center" vertical="center" wrapText="1"/>
    </xf>
    <xf numFmtId="0" fontId="108" fillId="0" borderId="31" xfId="0" applyFont="1" applyFill="1" applyBorder="1" applyAlignment="1">
      <alignment horizontal="center" vertical="center" wrapText="1"/>
    </xf>
    <xf numFmtId="0" fontId="108" fillId="0" borderId="12" xfId="0" applyFont="1" applyFill="1" applyBorder="1" applyAlignment="1">
      <alignment horizontal="center" vertical="center" wrapText="1"/>
    </xf>
    <xf numFmtId="0" fontId="108" fillId="0" borderId="14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0" fontId="40" fillId="0" borderId="11" xfId="61314" applyFont="1" applyBorder="1" applyAlignment="1">
      <alignment horizontal="center" vertical="center" wrapText="1"/>
    </xf>
    <xf numFmtId="49" fontId="40" fillId="0" borderId="11" xfId="61314" applyNumberFormat="1" applyFont="1" applyBorder="1" applyAlignment="1">
      <alignment horizontal="center" vertical="center" wrapText="1"/>
    </xf>
    <xf numFmtId="0" fontId="101" fillId="0" borderId="0" xfId="61314" applyFont="1" applyBorder="1" applyAlignment="1">
      <alignment horizontal="center" wrapText="1"/>
    </xf>
    <xf numFmtId="0" fontId="40" fillId="0" borderId="11" xfId="61314" applyFont="1" applyBorder="1" applyAlignment="1">
      <alignment vertical="center" wrapText="1"/>
    </xf>
    <xf numFmtId="0" fontId="36" fillId="74" borderId="11" xfId="61371" applyFont="1" applyFill="1" applyBorder="1" applyAlignment="1">
      <alignment horizontal="center" vertical="center" wrapText="1"/>
    </xf>
    <xf numFmtId="0" fontId="36" fillId="74" borderId="15" xfId="61371" applyFont="1" applyFill="1" applyBorder="1" applyAlignment="1">
      <alignment horizontal="center" vertical="center" wrapText="1"/>
    </xf>
    <xf numFmtId="0" fontId="36" fillId="74" borderId="71" xfId="61371" applyFont="1" applyFill="1" applyBorder="1" applyAlignment="1">
      <alignment horizontal="center" vertical="center" wrapText="1"/>
    </xf>
    <xf numFmtId="0" fontId="36" fillId="74" borderId="72" xfId="61371" applyFont="1" applyFill="1" applyBorder="1" applyAlignment="1">
      <alignment horizontal="center" vertical="center" wrapText="1"/>
    </xf>
    <xf numFmtId="0" fontId="117" fillId="74" borderId="11" xfId="61371" applyFont="1" applyFill="1" applyBorder="1" applyAlignment="1">
      <alignment horizontal="center" vertical="center"/>
    </xf>
    <xf numFmtId="0" fontId="36" fillId="74" borderId="11" xfId="61371" applyFont="1" applyFill="1" applyBorder="1" applyAlignment="1">
      <alignment horizontal="center" vertical="center"/>
    </xf>
    <xf numFmtId="0" fontId="37" fillId="74" borderId="11" xfId="61371" applyFont="1" applyFill="1" applyBorder="1" applyAlignment="1">
      <alignment horizontal="center" vertical="center" wrapText="1"/>
    </xf>
    <xf numFmtId="0" fontId="101" fillId="74" borderId="0" xfId="61371" applyFont="1" applyFill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/>
    </xf>
    <xf numFmtId="0" fontId="39" fillId="74" borderId="71" xfId="61371" applyFont="1" applyFill="1" applyBorder="1" applyAlignment="1">
      <alignment horizontal="center" vertical="center"/>
    </xf>
    <xf numFmtId="0" fontId="39" fillId="74" borderId="72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 wrapText="1"/>
    </xf>
    <xf numFmtId="0" fontId="39" fillId="74" borderId="72" xfId="61371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0" fillId="0" borderId="11" xfId="0" applyFont="1" applyBorder="1" applyAlignment="1">
      <alignment vertical="center" wrapText="1"/>
    </xf>
    <xf numFmtId="0" fontId="48" fillId="0" borderId="11" xfId="0" applyFont="1" applyBorder="1" applyAlignment="1">
      <alignment horizontal="center" vertical="center"/>
    </xf>
    <xf numFmtId="0" fontId="122" fillId="78" borderId="11" xfId="0" applyFont="1" applyFill="1" applyBorder="1" applyAlignment="1">
      <alignment horizontal="center" vertical="center"/>
    </xf>
    <xf numFmtId="0" fontId="121" fillId="0" borderId="0" xfId="0" applyFont="1" applyFill="1" applyAlignment="1">
      <alignment horizontal="center" vertical="center" wrapText="1"/>
    </xf>
    <xf numFmtId="0" fontId="121" fillId="0" borderId="0" xfId="0" applyFont="1" applyFill="1" applyAlignment="1">
      <alignment wrapText="1"/>
    </xf>
    <xf numFmtId="0" fontId="44" fillId="0" borderId="48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44" fillId="0" borderId="47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9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wrapText="1"/>
    </xf>
    <xf numFmtId="3" fontId="44" fillId="0" borderId="48" xfId="58940" applyNumberFormat="1" applyFont="1" applyFill="1" applyBorder="1" applyAlignment="1">
      <alignment horizontal="center" vertical="center" wrapText="1"/>
    </xf>
    <xf numFmtId="3" fontId="44" fillId="0" borderId="50" xfId="0" applyNumberFormat="1" applyFont="1" applyFill="1" applyBorder="1" applyAlignment="1">
      <alignment horizontal="center" vertical="center" wrapText="1"/>
    </xf>
    <xf numFmtId="3" fontId="44" fillId="0" borderId="66" xfId="0" applyNumberFormat="1" applyFont="1" applyFill="1" applyBorder="1" applyAlignment="1">
      <alignment horizontal="center" vertical="center" wrapText="1"/>
    </xf>
    <xf numFmtId="0" fontId="120" fillId="0" borderId="50" xfId="0" applyFont="1" applyFill="1" applyBorder="1" applyAlignment="1">
      <alignment horizontal="center" vertical="center" wrapText="1"/>
    </xf>
    <xf numFmtId="0" fontId="114" fillId="0" borderId="41" xfId="0" applyFont="1" applyFill="1" applyBorder="1" applyAlignment="1">
      <alignment horizontal="left" vertical="center"/>
    </xf>
    <xf numFmtId="0" fontId="114" fillId="0" borderId="14" xfId="0" applyFont="1" applyFill="1" applyBorder="1" applyAlignment="1">
      <alignment horizontal="left" vertical="center"/>
    </xf>
    <xf numFmtId="0" fontId="114" fillId="0" borderId="13" xfId="0" applyFont="1" applyFill="1" applyBorder="1" applyAlignment="1">
      <alignment horizontal="left" vertical="center"/>
    </xf>
    <xf numFmtId="4" fontId="114" fillId="0" borderId="38" xfId="0" applyNumberFormat="1" applyFont="1" applyFill="1" applyBorder="1" applyAlignment="1">
      <alignment horizontal="left" vertical="center" wrapText="1"/>
    </xf>
    <xf numFmtId="4" fontId="114" fillId="0" borderId="11" xfId="0" applyNumberFormat="1" applyFont="1" applyFill="1" applyBorder="1" applyAlignment="1">
      <alignment horizontal="left" vertical="center" wrapText="1"/>
    </xf>
    <xf numFmtId="4" fontId="114" fillId="0" borderId="15" xfId="0" applyNumberFormat="1" applyFont="1" applyFill="1" applyBorder="1" applyAlignment="1">
      <alignment horizontal="left" vertical="center" wrapText="1"/>
    </xf>
    <xf numFmtId="0" fontId="38" fillId="0" borderId="38" xfId="0" applyFont="1" applyFill="1" applyBorder="1" applyAlignment="1">
      <alignment horizontal="center" vertical="center"/>
    </xf>
    <xf numFmtId="49" fontId="38" fillId="0" borderId="11" xfId="58940" applyNumberFormat="1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/>
    </xf>
    <xf numFmtId="0" fontId="44" fillId="0" borderId="51" xfId="0" applyFont="1" applyFill="1" applyBorder="1" applyAlignment="1">
      <alignment horizontal="center" vertical="center"/>
    </xf>
    <xf numFmtId="0" fontId="44" fillId="0" borderId="41" xfId="0" applyFont="1" applyFill="1" applyBorder="1" applyAlignment="1">
      <alignment horizontal="center" vertical="center"/>
    </xf>
    <xf numFmtId="49" fontId="44" fillId="0" borderId="31" xfId="58940" applyNumberFormat="1" applyFont="1" applyFill="1" applyBorder="1" applyAlignment="1">
      <alignment horizontal="center" vertical="center"/>
    </xf>
    <xf numFmtId="49" fontId="44" fillId="0" borderId="12" xfId="58940" applyNumberFormat="1" applyFont="1" applyFill="1" applyBorder="1" applyAlignment="1">
      <alignment horizontal="center" vertical="center"/>
    </xf>
    <xf numFmtId="49" fontId="44" fillId="0" borderId="14" xfId="58940" applyNumberFormat="1" applyFont="1" applyFill="1" applyBorder="1" applyAlignment="1">
      <alignment horizontal="center" vertical="center"/>
    </xf>
    <xf numFmtId="3" fontId="40" fillId="0" borderId="72" xfId="0" applyNumberFormat="1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38" xfId="0" applyFont="1" applyFill="1" applyBorder="1" applyAlignment="1">
      <alignment horizontal="center" vertical="center" wrapText="1"/>
    </xf>
    <xf numFmtId="0" fontId="103" fillId="0" borderId="47" xfId="0" applyFont="1" applyFill="1" applyBorder="1" applyAlignment="1">
      <alignment horizontal="center" vertical="center" wrapText="1"/>
    </xf>
    <xf numFmtId="0" fontId="103" fillId="0" borderId="11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3" fontId="40" fillId="0" borderId="38" xfId="0" applyNumberFormat="1" applyFont="1" applyFill="1" applyBorder="1" applyAlignment="1">
      <alignment horizontal="center" vertical="center" wrapText="1"/>
    </xf>
    <xf numFmtId="3" fontId="40" fillId="0" borderId="11" xfId="0" applyNumberFormat="1" applyFont="1" applyFill="1" applyBorder="1" applyAlignment="1">
      <alignment horizontal="center" vertical="center" wrapText="1"/>
    </xf>
    <xf numFmtId="3" fontId="43" fillId="0" borderId="11" xfId="0" applyNumberFormat="1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53" xfId="0" applyFont="1" applyFill="1" applyBorder="1" applyAlignment="1">
      <alignment horizontal="center" vertical="center" wrapText="1"/>
    </xf>
    <xf numFmtId="0" fontId="103" fillId="0" borderId="60" xfId="0" applyFont="1" applyFill="1" applyBorder="1" applyAlignment="1">
      <alignment horizontal="center" vertical="center" wrapText="1"/>
    </xf>
    <xf numFmtId="3" fontId="103" fillId="0" borderId="48" xfId="0" applyNumberFormat="1" applyFont="1" applyFill="1" applyBorder="1" applyAlignment="1">
      <alignment horizontal="center" vertical="center" wrapText="1"/>
    </xf>
    <xf numFmtId="3" fontId="103" fillId="0" borderId="49" xfId="0" applyNumberFormat="1" applyFont="1" applyFill="1" applyBorder="1" applyAlignment="1">
      <alignment horizontal="center" vertical="center" wrapText="1"/>
    </xf>
    <xf numFmtId="0" fontId="145" fillId="0" borderId="50" xfId="0" applyFont="1" applyFill="1" applyBorder="1" applyAlignment="1">
      <alignment horizontal="center" vertical="center" wrapText="1"/>
    </xf>
    <xf numFmtId="3" fontId="103" fillId="0" borderId="66" xfId="0" applyNumberFormat="1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left" vertical="center"/>
    </xf>
    <xf numFmtId="0" fontId="41" fillId="0" borderId="14" xfId="0" applyFont="1" applyFill="1" applyBorder="1" applyAlignment="1">
      <alignment horizontal="left" vertical="center"/>
    </xf>
    <xf numFmtId="0" fontId="41" fillId="0" borderId="13" xfId="0" applyFont="1" applyFill="1" applyBorder="1" applyAlignment="1">
      <alignment horizontal="left" vertical="center"/>
    </xf>
    <xf numFmtId="3" fontId="44" fillId="0" borderId="0" xfId="0" applyNumberFormat="1" applyFont="1" applyFill="1" applyBorder="1" applyAlignment="1">
      <alignment horizontal="left" vertical="center" wrapText="1"/>
    </xf>
    <xf numFmtId="0" fontId="127" fillId="0" borderId="0" xfId="0" applyFont="1" applyFill="1" applyAlignment="1">
      <alignment horizontal="left" vertical="center" wrapText="1"/>
    </xf>
    <xf numFmtId="0" fontId="127" fillId="0" borderId="0" xfId="0" applyFont="1" applyFill="1" applyAlignment="1">
      <alignment vertical="center" wrapText="1"/>
    </xf>
    <xf numFmtId="4" fontId="41" fillId="0" borderId="38" xfId="0" applyNumberFormat="1" applyFont="1" applyFill="1" applyBorder="1" applyAlignment="1">
      <alignment horizontal="left" vertical="center" wrapText="1"/>
    </xf>
    <xf numFmtId="4" fontId="41" fillId="0" borderId="11" xfId="0" applyNumberFormat="1" applyFont="1" applyFill="1" applyBorder="1" applyAlignment="1">
      <alignment horizontal="left" vertical="center" wrapText="1"/>
    </xf>
    <xf numFmtId="4" fontId="41" fillId="0" borderId="15" xfId="0" applyNumberFormat="1" applyFont="1" applyFill="1" applyBorder="1" applyAlignment="1">
      <alignment horizontal="left" vertical="center" wrapText="1"/>
    </xf>
    <xf numFmtId="0" fontId="101" fillId="0" borderId="0" xfId="0" applyFont="1" applyFill="1" applyAlignment="1">
      <alignment horizontal="center" vertical="center" wrapText="1"/>
    </xf>
    <xf numFmtId="0" fontId="103" fillId="0" borderId="50" xfId="0" applyFont="1" applyFill="1" applyBorder="1" applyAlignment="1">
      <alignment horizontal="center" vertical="center" wrapText="1"/>
    </xf>
    <xf numFmtId="0" fontId="103" fillId="0" borderId="39" xfId="0" applyFont="1" applyFill="1" applyBorder="1" applyAlignment="1">
      <alignment horizontal="center" vertical="center" wrapText="1"/>
    </xf>
    <xf numFmtId="3" fontId="40" fillId="0" borderId="66" xfId="0" applyNumberFormat="1" applyFont="1" applyFill="1" applyBorder="1" applyAlignment="1">
      <alignment horizontal="center" vertical="center" wrapText="1"/>
    </xf>
    <xf numFmtId="3" fontId="40" fillId="0" borderId="47" xfId="0" applyNumberFormat="1" applyFont="1" applyFill="1" applyBorder="1" applyAlignment="1">
      <alignment horizontal="center" vertical="center" wrapText="1"/>
    </xf>
    <xf numFmtId="3" fontId="103" fillId="0" borderId="73" xfId="0" applyNumberFormat="1" applyFont="1" applyFill="1" applyBorder="1" applyAlignment="1">
      <alignment horizontal="center" vertical="center" wrapText="1"/>
    </xf>
    <xf numFmtId="0" fontId="103" fillId="0" borderId="74" xfId="0" applyFont="1" applyFill="1" applyBorder="1" applyAlignment="1">
      <alignment horizontal="center" vertical="center" wrapText="1"/>
    </xf>
    <xf numFmtId="3" fontId="40" fillId="0" borderId="73" xfId="0" applyNumberFormat="1" applyFont="1" applyFill="1" applyBorder="1" applyAlignment="1">
      <alignment horizontal="center" vertical="center" wrapText="1"/>
    </xf>
    <xf numFmtId="0" fontId="40" fillId="0" borderId="74" xfId="0" applyFont="1" applyFill="1" applyBorder="1" applyAlignment="1">
      <alignment horizontal="center" vertical="center" wrapText="1"/>
    </xf>
    <xf numFmtId="3" fontId="46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41" fillId="0" borderId="40" xfId="0" applyFont="1" applyFill="1" applyBorder="1" applyAlignment="1">
      <alignment horizontal="left" vertical="center"/>
    </xf>
    <xf numFmtId="4" fontId="41" fillId="0" borderId="39" xfId="0" applyNumberFormat="1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0" fontId="38" fillId="0" borderId="48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3" fontId="100" fillId="0" borderId="66" xfId="0" applyNumberFormat="1" applyFont="1" applyFill="1" applyBorder="1" applyAlignment="1">
      <alignment horizontal="center" vertical="center" wrapText="1"/>
    </xf>
    <xf numFmtId="0" fontId="100" fillId="0" borderId="49" xfId="0" applyFont="1" applyFill="1" applyBorder="1" applyAlignment="1">
      <alignment horizontal="center" vertical="center" wrapText="1"/>
    </xf>
    <xf numFmtId="0" fontId="100" fillId="0" borderId="72" xfId="0" applyFont="1" applyFill="1" applyBorder="1" applyAlignment="1">
      <alignment horizontal="center" vertical="center" wrapText="1"/>
    </xf>
    <xf numFmtId="0" fontId="100" fillId="0" borderId="15" xfId="0" applyFont="1" applyFill="1" applyBorder="1" applyAlignment="1">
      <alignment horizontal="center" vertical="center" wrapText="1"/>
    </xf>
    <xf numFmtId="3" fontId="100" fillId="0" borderId="48" xfId="0" applyNumberFormat="1" applyFont="1" applyFill="1" applyBorder="1" applyAlignment="1">
      <alignment horizontal="center" vertical="center" wrapText="1"/>
    </xf>
    <xf numFmtId="0" fontId="100" fillId="0" borderId="50" xfId="0" applyFont="1" applyFill="1" applyBorder="1" applyAlignment="1">
      <alignment horizontal="center" vertical="center" wrapText="1"/>
    </xf>
    <xf numFmtId="0" fontId="100" fillId="0" borderId="38" xfId="0" applyFont="1" applyFill="1" applyBorder="1" applyAlignment="1">
      <alignment horizontal="center" vertical="center" wrapText="1"/>
    </xf>
    <xf numFmtId="0" fontId="100" fillId="0" borderId="39" xfId="0" applyFont="1" applyFill="1" applyBorder="1" applyAlignment="1">
      <alignment horizontal="center" vertical="center" wrapText="1"/>
    </xf>
    <xf numFmtId="3" fontId="38" fillId="0" borderId="38" xfId="58940" applyNumberFormat="1" applyFont="1" applyFill="1" applyBorder="1" applyAlignment="1">
      <alignment horizontal="center" vertical="center" wrapText="1"/>
    </xf>
    <xf numFmtId="3" fontId="38" fillId="0" borderId="11" xfId="58940" applyNumberFormat="1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 wrapText="1"/>
    </xf>
    <xf numFmtId="0" fontId="154" fillId="0" borderId="11" xfId="0" applyFont="1" applyFill="1" applyBorder="1" applyAlignment="1">
      <alignment horizontal="center" vertical="center" wrapText="1"/>
    </xf>
    <xf numFmtId="0" fontId="154" fillId="0" borderId="39" xfId="0" applyFont="1" applyFill="1" applyBorder="1" applyAlignment="1">
      <alignment horizontal="center" vertical="center" wrapText="1"/>
    </xf>
    <xf numFmtId="3" fontId="100" fillId="0" borderId="47" xfId="0" applyNumberFormat="1" applyFont="1" applyFill="1" applyBorder="1" applyAlignment="1">
      <alignment horizontal="center" vertical="center" wrapText="1"/>
    </xf>
    <xf numFmtId="0" fontId="153" fillId="0" borderId="47" xfId="0" applyFont="1" applyFill="1" applyBorder="1" applyAlignment="1">
      <alignment horizontal="center" vertical="center" wrapText="1"/>
    </xf>
    <xf numFmtId="0" fontId="153" fillId="0" borderId="50" xfId="0" applyFont="1" applyFill="1" applyBorder="1" applyAlignment="1">
      <alignment horizontal="center" vertical="center" wrapText="1"/>
    </xf>
    <xf numFmtId="0" fontId="114" fillId="0" borderId="41" xfId="0" applyFont="1" applyFill="1" applyBorder="1" applyAlignment="1">
      <alignment horizontal="center" vertical="center"/>
    </xf>
    <xf numFmtId="0" fontId="114" fillId="0" borderId="14" xfId="0" applyFont="1" applyFill="1" applyBorder="1" applyAlignment="1">
      <alignment horizontal="center" vertical="center"/>
    </xf>
    <xf numFmtId="0" fontId="114" fillId="0" borderId="13" xfId="0" applyFont="1" applyFill="1" applyBorder="1" applyAlignment="1">
      <alignment horizontal="center" vertical="center"/>
    </xf>
    <xf numFmtId="4" fontId="114" fillId="0" borderId="38" xfId="0" applyNumberFormat="1" applyFont="1" applyFill="1" applyBorder="1" applyAlignment="1">
      <alignment horizontal="center" vertical="center" wrapText="1"/>
    </xf>
    <xf numFmtId="4" fontId="114" fillId="0" borderId="11" xfId="0" applyNumberFormat="1" applyFont="1" applyFill="1" applyBorder="1" applyAlignment="1">
      <alignment horizontal="center" vertical="center" wrapText="1"/>
    </xf>
    <xf numFmtId="4" fontId="114" fillId="0" borderId="15" xfId="0" applyNumberFormat="1" applyFont="1" applyFill="1" applyBorder="1" applyAlignment="1">
      <alignment horizontal="center" vertical="center" wrapText="1"/>
    </xf>
    <xf numFmtId="0" fontId="115" fillId="74" borderId="0" xfId="61317" applyFont="1" applyFill="1" applyAlignment="1">
      <alignment horizontal="center" vertical="center" wrapText="1"/>
    </xf>
    <xf numFmtId="0" fontId="38" fillId="74" borderId="11" xfId="61317" applyFont="1" applyFill="1" applyBorder="1" applyAlignment="1">
      <alignment horizontal="center" vertical="center" wrapText="1"/>
    </xf>
    <xf numFmtId="49" fontId="38" fillId="74" borderId="31" xfId="61317" applyNumberFormat="1" applyFont="1" applyFill="1" applyBorder="1" applyAlignment="1">
      <alignment horizontal="center" vertical="center" wrapText="1"/>
    </xf>
    <xf numFmtId="49" fontId="38" fillId="74" borderId="14" xfId="61317" applyNumberFormat="1" applyFont="1" applyFill="1" applyBorder="1" applyAlignment="1">
      <alignment horizontal="center" vertical="center" wrapText="1"/>
    </xf>
    <xf numFmtId="3" fontId="128" fillId="74" borderId="0" xfId="61317" applyNumberFormat="1" applyFont="1" applyFill="1" applyAlignment="1">
      <alignment horizontal="center" vertical="center" wrapText="1"/>
    </xf>
    <xf numFmtId="0" fontId="129" fillId="74" borderId="0" xfId="61317" applyFont="1" applyFill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38" fillId="74" borderId="11" xfId="4" applyNumberFormat="1" applyFont="1" applyFill="1" applyBorder="1" applyAlignment="1">
      <alignment horizontal="center" vertical="center" wrapText="1"/>
    </xf>
    <xf numFmtId="0" fontId="36" fillId="74" borderId="12" xfId="58923" applyFont="1" applyFill="1" applyBorder="1" applyAlignment="1">
      <alignment horizontal="center" vertical="center" wrapText="1"/>
    </xf>
    <xf numFmtId="0" fontId="36" fillId="74" borderId="14" xfId="58923" applyFont="1" applyFill="1" applyBorder="1" applyAlignment="1">
      <alignment horizontal="center" vertical="center" wrapText="1"/>
    </xf>
    <xf numFmtId="0" fontId="131" fillId="74" borderId="0" xfId="58923" applyFont="1" applyFill="1" applyAlignment="1">
      <alignment horizontal="center" vertical="center"/>
    </xf>
    <xf numFmtId="0" fontId="132" fillId="74" borderId="45" xfId="58923" applyFont="1" applyFill="1" applyBorder="1" applyAlignment="1">
      <alignment horizontal="right" vertical="center"/>
    </xf>
    <xf numFmtId="0" fontId="134" fillId="74" borderId="48" xfId="58923" applyFont="1" applyFill="1" applyBorder="1" applyAlignment="1">
      <alignment horizontal="center" vertical="center" wrapText="1"/>
    </xf>
    <xf numFmtId="0" fontId="134" fillId="74" borderId="38" xfId="58923" applyFont="1" applyFill="1" applyBorder="1" applyAlignment="1">
      <alignment horizontal="center" vertical="center" wrapText="1"/>
    </xf>
    <xf numFmtId="0" fontId="134" fillId="74" borderId="47" xfId="58923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 wrapText="1"/>
    </xf>
    <xf numFmtId="0" fontId="135" fillId="74" borderId="35" xfId="58923" applyFont="1" applyFill="1" applyBorder="1" applyAlignment="1">
      <alignment horizontal="center" vertical="center" wrapText="1"/>
    </xf>
    <xf numFmtId="0" fontId="135" fillId="74" borderId="36" xfId="58923" applyFont="1" applyFill="1" applyBorder="1" applyAlignment="1">
      <alignment horizontal="center" vertical="center" wrapText="1"/>
    </xf>
    <xf numFmtId="0" fontId="135" fillId="74" borderId="48" xfId="58923" applyFont="1" applyFill="1" applyBorder="1" applyAlignment="1">
      <alignment horizontal="center" vertical="center" wrapText="1"/>
    </xf>
    <xf numFmtId="0" fontId="135" fillId="74" borderId="47" xfId="58923" applyFont="1" applyFill="1" applyBorder="1" applyAlignment="1">
      <alignment horizontal="center" vertical="center" wrapText="1"/>
    </xf>
    <xf numFmtId="0" fontId="135" fillId="74" borderId="49" xfId="58923" applyFont="1" applyFill="1" applyBorder="1" applyAlignment="1">
      <alignment horizontal="center" vertical="center" wrapText="1"/>
    </xf>
    <xf numFmtId="0" fontId="135" fillId="74" borderId="50" xfId="58923" applyFont="1" applyFill="1" applyBorder="1" applyAlignment="1">
      <alignment horizontal="center" vertical="center" wrapText="1"/>
    </xf>
    <xf numFmtId="0" fontId="48" fillId="74" borderId="64" xfId="58923" applyFont="1" applyFill="1" applyBorder="1" applyAlignment="1">
      <alignment horizontal="center" vertical="center" wrapText="1"/>
    </xf>
    <xf numFmtId="0" fontId="48" fillId="74" borderId="33" xfId="58923" applyFont="1" applyFill="1" applyBorder="1" applyAlignment="1">
      <alignment horizontal="center" vertical="center" wrapText="1"/>
    </xf>
    <xf numFmtId="0" fontId="134" fillId="74" borderId="31" xfId="58923" applyFont="1" applyFill="1" applyBorder="1" applyAlignment="1">
      <alignment horizontal="center" vertical="center" wrapText="1"/>
    </xf>
    <xf numFmtId="0" fontId="134" fillId="74" borderId="14" xfId="58923" applyFont="1" applyFill="1" applyBorder="1" applyAlignment="1">
      <alignment horizontal="center" vertical="center" wrapText="1"/>
    </xf>
    <xf numFmtId="0" fontId="136" fillId="74" borderId="31" xfId="58923" applyFont="1" applyFill="1" applyBorder="1" applyAlignment="1">
      <alignment horizontal="center" vertical="center" wrapText="1"/>
    </xf>
    <xf numFmtId="0" fontId="136" fillId="74" borderId="14" xfId="58923" applyFont="1" applyFill="1" applyBorder="1" applyAlignment="1">
      <alignment horizontal="center" vertical="center" wrapText="1"/>
    </xf>
    <xf numFmtId="0" fontId="135" fillId="74" borderId="37" xfId="58923" applyFont="1" applyFill="1" applyBorder="1" applyAlignment="1">
      <alignment horizontal="center" vertical="center"/>
    </xf>
    <xf numFmtId="0" fontId="135" fillId="74" borderId="40" xfId="58923" applyFont="1" applyFill="1" applyBorder="1" applyAlignment="1">
      <alignment horizontal="center" vertical="center"/>
    </xf>
    <xf numFmtId="0" fontId="36" fillId="74" borderId="32" xfId="58923" applyFont="1" applyFill="1" applyBorder="1" applyAlignment="1">
      <alignment horizontal="center" vertical="center" wrapText="1"/>
    </xf>
    <xf numFmtId="0" fontId="36" fillId="74" borderId="33" xfId="58923" applyFont="1" applyFill="1" applyBorder="1" applyAlignment="1">
      <alignment horizontal="center" vertical="center" wrapText="1"/>
    </xf>
    <xf numFmtId="0" fontId="138" fillId="74" borderId="12" xfId="58923" applyFont="1" applyFill="1" applyBorder="1" applyAlignment="1">
      <alignment horizontal="center" vertical="center" wrapText="1"/>
    </xf>
    <xf numFmtId="0" fontId="138" fillId="74" borderId="14" xfId="58923" applyFont="1" applyFill="1" applyBorder="1" applyAlignment="1">
      <alignment horizontal="center" vertical="center" wrapText="1"/>
    </xf>
    <xf numFmtId="0" fontId="139" fillId="74" borderId="12" xfId="58923" applyFont="1" applyFill="1" applyBorder="1" applyAlignment="1">
      <alignment horizontal="center" vertical="center" wrapText="1"/>
    </xf>
    <xf numFmtId="0" fontId="139" fillId="74" borderId="14" xfId="58923" applyFont="1" applyFill="1" applyBorder="1" applyAlignment="1">
      <alignment horizontal="center" vertical="center" wrapText="1"/>
    </xf>
    <xf numFmtId="4" fontId="138" fillId="74" borderId="12" xfId="58923" applyNumberFormat="1" applyFont="1" applyFill="1" applyBorder="1" applyAlignment="1">
      <alignment horizontal="center" vertical="center" wrapText="1"/>
    </xf>
    <xf numFmtId="4" fontId="138" fillId="74" borderId="14" xfId="58923" applyNumberFormat="1" applyFont="1" applyFill="1" applyBorder="1" applyAlignment="1">
      <alignment horizontal="center" vertical="center" wrapText="1"/>
    </xf>
    <xf numFmtId="0" fontId="135" fillId="74" borderId="52" xfId="58923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 wrapText="1"/>
    </xf>
    <xf numFmtId="0" fontId="135" fillId="74" borderId="37" xfId="58923" applyFont="1" applyFill="1" applyBorder="1" applyAlignment="1">
      <alignment horizontal="center" vertical="center" wrapText="1"/>
    </xf>
    <xf numFmtId="0" fontId="138" fillId="74" borderId="51" xfId="58923" applyFont="1" applyFill="1" applyBorder="1" applyAlignment="1">
      <alignment horizontal="center" vertical="center" wrapText="1"/>
    </xf>
    <xf numFmtId="0" fontId="138" fillId="74" borderId="41" xfId="58923" applyFont="1" applyFill="1" applyBorder="1" applyAlignment="1">
      <alignment horizontal="center" vertical="center" wrapText="1"/>
    </xf>
    <xf numFmtId="0" fontId="111" fillId="74" borderId="0" xfId="61317" applyFont="1" applyFill="1" applyBorder="1" applyAlignment="1">
      <alignment horizontal="center" vertical="center" wrapText="1"/>
    </xf>
    <xf numFmtId="0" fontId="48" fillId="74" borderId="57" xfId="61317" applyFont="1" applyFill="1" applyBorder="1" applyAlignment="1">
      <alignment horizontal="center" vertical="center" wrapText="1"/>
    </xf>
    <xf numFmtId="0" fontId="48" fillId="74" borderId="41" xfId="61317" applyFont="1" applyFill="1" applyBorder="1" applyAlignment="1">
      <alignment horizontal="center" vertical="center" wrapText="1"/>
    </xf>
    <xf numFmtId="0" fontId="48" fillId="74" borderId="46" xfId="61317" applyFont="1" applyFill="1" applyBorder="1" applyAlignment="1">
      <alignment horizontal="center" vertical="center" wrapText="1"/>
    </xf>
    <xf numFmtId="0" fontId="48" fillId="74" borderId="14" xfId="61317" applyFont="1" applyFill="1" applyBorder="1" applyAlignment="1">
      <alignment horizontal="center" vertical="center" wrapText="1"/>
    </xf>
    <xf numFmtId="0" fontId="122" fillId="74" borderId="46" xfId="61317" applyFont="1" applyFill="1" applyBorder="1" applyAlignment="1">
      <alignment horizontal="center" vertical="center" wrapText="1"/>
    </xf>
    <xf numFmtId="0" fontId="122" fillId="74" borderId="58" xfId="61317" applyFont="1" applyFill="1" applyBorder="1" applyAlignment="1">
      <alignment horizontal="center" vertical="center" wrapText="1"/>
    </xf>
    <xf numFmtId="0" fontId="48" fillId="74" borderId="40" xfId="61317" applyFont="1" applyFill="1" applyBorder="1" applyAlignment="1">
      <alignment horizontal="center" vertical="center" wrapText="1"/>
    </xf>
    <xf numFmtId="3" fontId="103" fillId="74" borderId="73" xfId="61320" applyNumberFormat="1" applyFont="1" applyFill="1" applyBorder="1" applyAlignment="1">
      <alignment horizontal="center" vertical="center" wrapText="1"/>
    </xf>
    <xf numFmtId="3" fontId="103" fillId="74" borderId="74" xfId="61320" applyNumberFormat="1" applyFont="1" applyFill="1" applyBorder="1" applyAlignment="1">
      <alignment horizontal="center" vertical="center" wrapText="1"/>
    </xf>
    <xf numFmtId="3" fontId="103" fillId="74" borderId="76" xfId="61320" applyNumberFormat="1" applyFont="1" applyFill="1" applyBorder="1" applyAlignment="1">
      <alignment horizontal="center" vertical="center" wrapText="1"/>
    </xf>
    <xf numFmtId="3" fontId="103" fillId="74" borderId="77" xfId="61320" applyNumberFormat="1" applyFont="1" applyFill="1" applyBorder="1" applyAlignment="1">
      <alignment horizontal="center" vertical="center" wrapText="1"/>
    </xf>
    <xf numFmtId="0" fontId="103" fillId="74" borderId="15" xfId="61320" applyFont="1" applyFill="1" applyBorder="1" applyAlignment="1">
      <alignment horizontal="center" vertical="center" wrapText="1"/>
    </xf>
    <xf numFmtId="0" fontId="145" fillId="74" borderId="15" xfId="61320" applyFont="1" applyFill="1" applyBorder="1" applyAlignment="1">
      <alignment horizontal="center" vertical="center" wrapText="1"/>
    </xf>
    <xf numFmtId="0" fontId="128" fillId="74" borderId="0" xfId="61320" applyFont="1" applyFill="1" applyAlignment="1">
      <alignment horizontal="center" vertical="center" wrapText="1"/>
    </xf>
    <xf numFmtId="0" fontId="103" fillId="74" borderId="48" xfId="61320" applyFont="1" applyFill="1" applyBorder="1" applyAlignment="1">
      <alignment horizontal="center" vertical="center" wrapText="1"/>
    </xf>
    <xf numFmtId="0" fontId="103" fillId="74" borderId="38" xfId="61320" applyFont="1" applyFill="1" applyBorder="1" applyAlignment="1">
      <alignment horizontal="center" vertical="center" wrapText="1"/>
    </xf>
    <xf numFmtId="0" fontId="103" fillId="74" borderId="47" xfId="61320" applyFont="1" applyFill="1" applyBorder="1" applyAlignment="1">
      <alignment horizontal="center" vertical="center" wrapText="1"/>
    </xf>
    <xf numFmtId="0" fontId="103" fillId="74" borderId="11" xfId="61320" applyFont="1" applyFill="1" applyBorder="1" applyAlignment="1">
      <alignment horizontal="center" vertical="center" wrapText="1"/>
    </xf>
    <xf numFmtId="3" fontId="103" fillId="74" borderId="47" xfId="61320" applyNumberFormat="1" applyFont="1" applyFill="1" applyBorder="1" applyAlignment="1">
      <alignment horizontal="center" vertical="center" wrapText="1"/>
    </xf>
    <xf numFmtId="3" fontId="103" fillId="74" borderId="49" xfId="61320" applyNumberFormat="1" applyFont="1" applyFill="1" applyBorder="1" applyAlignment="1">
      <alignment horizontal="center" vertical="center" wrapText="1"/>
    </xf>
    <xf numFmtId="3" fontId="103" fillId="74" borderId="34" xfId="61320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/>
    </xf>
    <xf numFmtId="3" fontId="103" fillId="74" borderId="48" xfId="61320" applyNumberFormat="1" applyFont="1" applyFill="1" applyBorder="1" applyAlignment="1">
      <alignment horizontal="center" vertical="center" wrapText="1"/>
    </xf>
    <xf numFmtId="0" fontId="145" fillId="74" borderId="47" xfId="61320" applyFont="1" applyFill="1" applyBorder="1" applyAlignment="1">
      <alignment horizontal="center" vertical="center" wrapText="1"/>
    </xf>
    <xf numFmtId="0" fontId="145" fillId="74" borderId="49" xfId="61320" applyFont="1" applyFill="1" applyBorder="1" applyAlignment="1">
      <alignment horizontal="center" vertical="center" wrapText="1"/>
    </xf>
    <xf numFmtId="3" fontId="103" fillId="74" borderId="61" xfId="61320" applyNumberFormat="1" applyFont="1" applyFill="1" applyBorder="1" applyAlignment="1">
      <alignment horizontal="center" vertical="center" wrapText="1"/>
    </xf>
    <xf numFmtId="3" fontId="103" fillId="74" borderId="62" xfId="61320" applyNumberFormat="1" applyFont="1" applyFill="1" applyBorder="1" applyAlignment="1">
      <alignment horizontal="center" vertical="center" wrapText="1"/>
    </xf>
    <xf numFmtId="3" fontId="103" fillId="74" borderId="11" xfId="61320" applyNumberFormat="1" applyFont="1" applyFill="1" applyBorder="1" applyAlignment="1">
      <alignment horizontal="center" vertical="center" wrapText="1"/>
    </xf>
    <xf numFmtId="0" fontId="145" fillId="74" borderId="11" xfId="61320" applyFont="1" applyFill="1" applyBorder="1" applyAlignment="1">
      <alignment horizontal="center" vertical="center" wrapText="1"/>
    </xf>
    <xf numFmtId="3" fontId="103" fillId="74" borderId="15" xfId="61320" applyNumberFormat="1" applyFont="1" applyFill="1" applyBorder="1" applyAlignment="1">
      <alignment horizontal="center" vertical="center" wrapText="1"/>
    </xf>
    <xf numFmtId="3" fontId="103" fillId="74" borderId="38" xfId="61320" applyNumberFormat="1" applyFont="1" applyFill="1" applyBorder="1" applyAlignment="1">
      <alignment horizontal="center" vertical="center" wrapText="1"/>
    </xf>
    <xf numFmtId="0" fontId="145" fillId="74" borderId="72" xfId="61320" applyFont="1" applyFill="1" applyBorder="1" applyAlignment="1">
      <alignment horizontal="center" vertical="center" wrapText="1"/>
    </xf>
    <xf numFmtId="3" fontId="146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46" fillId="0" borderId="31" xfId="0" applyNumberFormat="1" applyFont="1" applyFill="1" applyBorder="1" applyAlignment="1">
      <alignment horizontal="center" vertical="center" wrapText="1"/>
    </xf>
    <xf numFmtId="3" fontId="146" fillId="0" borderId="14" xfId="0" applyNumberFormat="1" applyFont="1" applyFill="1" applyBorder="1" applyAlignment="1">
      <alignment horizontal="center" vertical="center" wrapText="1"/>
    </xf>
    <xf numFmtId="3" fontId="146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146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47" fillId="0" borderId="31" xfId="0" applyNumberFormat="1" applyFont="1" applyFill="1" applyBorder="1" applyAlignment="1">
      <alignment horizontal="center" vertical="center"/>
    </xf>
    <xf numFmtId="3" fontId="147" fillId="0" borderId="14" xfId="0" applyNumberFormat="1" applyFont="1" applyFill="1" applyBorder="1" applyAlignment="1">
      <alignment horizontal="center" vertical="center"/>
    </xf>
    <xf numFmtId="0" fontId="121" fillId="0" borderId="0" xfId="0" applyFont="1" applyFill="1" applyAlignment="1">
      <alignment horizontal="center" vertical="center"/>
    </xf>
    <xf numFmtId="0" fontId="40" fillId="0" borderId="15" xfId="0" applyFont="1" applyFill="1" applyBorder="1" applyAlignment="1" applyProtection="1">
      <alignment horizontal="center" vertical="center" wrapText="1"/>
      <protection locked="0"/>
    </xf>
    <xf numFmtId="0" fontId="40" fillId="0" borderId="31" xfId="0" applyFont="1" applyFill="1" applyBorder="1" applyAlignment="1" applyProtection="1">
      <alignment horizontal="center" vertical="center" wrapText="1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4" xfId="0" applyFont="1" applyFill="1" applyBorder="1" applyAlignment="1">
      <alignment horizontal="center" vertical="center" wrapText="1"/>
    </xf>
    <xf numFmtId="0" fontId="40" fillId="0" borderId="31" xfId="0" applyFont="1" applyFill="1" applyBorder="1" applyAlignment="1" applyProtection="1">
      <alignment horizontal="center" vertical="center"/>
      <protection locked="0"/>
    </xf>
    <xf numFmtId="0" fontId="40" fillId="0" borderId="12" xfId="0" applyFont="1" applyFill="1" applyBorder="1" applyAlignment="1" applyProtection="1">
      <alignment horizontal="center" vertical="center"/>
      <protection locked="0"/>
    </xf>
    <xf numFmtId="0" fontId="40" fillId="0" borderId="14" xfId="0" applyFont="1" applyFill="1" applyBorder="1" applyAlignment="1" applyProtection="1">
      <alignment horizontal="center" vertical="center"/>
      <protection locked="0"/>
    </xf>
    <xf numFmtId="3" fontId="43" fillId="0" borderId="31" xfId="0" applyNumberFormat="1" applyFont="1" applyFill="1" applyBorder="1" applyAlignment="1">
      <alignment horizontal="center" vertical="center" wrapText="1"/>
    </xf>
    <xf numFmtId="3" fontId="43" fillId="0" borderId="12" xfId="0" applyNumberFormat="1" applyFont="1" applyFill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5" xfId="0" applyNumberFormat="1" applyFont="1" applyFill="1" applyBorder="1" applyAlignment="1" applyProtection="1">
      <alignment horizontal="center" vertical="center"/>
      <protection locked="0"/>
    </xf>
    <xf numFmtId="3" fontId="43" fillId="0" borderId="71" xfId="0" applyNumberFormat="1" applyFont="1" applyFill="1" applyBorder="1" applyAlignment="1" applyProtection="1">
      <alignment horizontal="center" vertical="center"/>
      <protection locked="0"/>
    </xf>
    <xf numFmtId="3" fontId="43" fillId="0" borderId="72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>
      <alignment horizontal="center" vertical="center"/>
    </xf>
    <xf numFmtId="3" fontId="40" fillId="0" borderId="68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64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33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11" xfId="0" applyNumberFormat="1" applyFont="1" applyFill="1" applyBorder="1" applyAlignment="1" applyProtection="1">
      <alignment horizontal="center" vertical="center"/>
      <protection locked="0"/>
    </xf>
    <xf numFmtId="3" fontId="43" fillId="0" borderId="31" xfId="0" applyNumberFormat="1" applyFont="1" applyFill="1" applyBorder="1" applyAlignment="1">
      <alignment horizontal="center" vertical="center"/>
    </xf>
    <xf numFmtId="3" fontId="43" fillId="0" borderId="12" xfId="0" applyNumberFormat="1" applyFont="1" applyFill="1" applyBorder="1" applyAlignment="1">
      <alignment horizontal="center" vertical="center"/>
    </xf>
    <xf numFmtId="3" fontId="43" fillId="0" borderId="14" xfId="0" applyNumberFormat="1" applyFont="1" applyFill="1" applyBorder="1" applyAlignment="1">
      <alignment horizontal="center" vertical="center"/>
    </xf>
    <xf numFmtId="0" fontId="40" fillId="0" borderId="68" xfId="0" applyFont="1" applyFill="1" applyBorder="1" applyAlignment="1">
      <alignment horizontal="center" vertical="center" wrapText="1"/>
    </xf>
    <xf numFmtId="0" fontId="40" fillId="0" borderId="65" xfId="0" applyFont="1" applyFill="1" applyBorder="1" applyAlignment="1">
      <alignment horizontal="center" vertical="center" wrapText="1"/>
    </xf>
    <xf numFmtId="0" fontId="40" fillId="0" borderId="64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33" xfId="0" applyFont="1" applyFill="1" applyBorder="1" applyAlignment="1">
      <alignment horizontal="center" vertical="center" wrapText="1"/>
    </xf>
    <xf numFmtId="0" fontId="111" fillId="74" borderId="0" xfId="61329" applyFont="1" applyFill="1" applyBorder="1" applyAlignment="1">
      <alignment horizontal="center" vertical="center" wrapText="1"/>
    </xf>
    <xf numFmtId="0" fontId="48" fillId="74" borderId="11" xfId="61329" applyFont="1" applyFill="1" applyBorder="1" applyAlignment="1">
      <alignment horizontal="center" vertical="center" wrapText="1"/>
    </xf>
    <xf numFmtId="0" fontId="122" fillId="74" borderId="11" xfId="61329" applyFont="1" applyFill="1" applyBorder="1" applyAlignment="1">
      <alignment horizontal="center" vertical="center" wrapText="1"/>
    </xf>
    <xf numFmtId="0" fontId="41" fillId="0" borderId="11" xfId="58585" applyFont="1" applyFill="1" applyBorder="1" applyAlignment="1">
      <alignment horizontal="center" vertical="center"/>
    </xf>
    <xf numFmtId="3" fontId="44" fillId="74" borderId="11" xfId="58585" applyNumberFormat="1" applyFont="1" applyFill="1" applyBorder="1" applyAlignment="1">
      <alignment horizontal="center" vertical="center" wrapText="1"/>
    </xf>
    <xf numFmtId="0" fontId="115" fillId="76" borderId="0" xfId="58585" applyNumberFormat="1" applyFont="1" applyFill="1" applyBorder="1" applyAlignment="1">
      <alignment horizontal="center" vertical="center" wrapText="1"/>
    </xf>
    <xf numFmtId="0" fontId="44" fillId="76" borderId="11" xfId="58585" applyFont="1" applyFill="1" applyBorder="1" applyAlignment="1">
      <alignment horizontal="center" vertical="center" wrapText="1"/>
    </xf>
    <xf numFmtId="0" fontId="44" fillId="74" borderId="11" xfId="58585" applyFont="1" applyFill="1" applyBorder="1" applyAlignment="1">
      <alignment horizontal="center" vertical="center" wrapText="1"/>
    </xf>
    <xf numFmtId="1" fontId="41" fillId="76" borderId="11" xfId="58585" applyNumberFormat="1" applyFont="1" applyFill="1" applyBorder="1" applyAlignment="1">
      <alignment horizontal="center" vertical="center" wrapText="1"/>
    </xf>
    <xf numFmtId="0" fontId="156" fillId="0" borderId="0" xfId="0" applyFont="1" applyFill="1" applyAlignment="1">
      <alignment horizontal="center" vertical="center" wrapText="1"/>
    </xf>
    <xf numFmtId="4" fontId="36" fillId="0" borderId="0" xfId="0" applyNumberFormat="1" applyFont="1" applyFill="1" applyAlignment="1">
      <alignment horizontal="center" vertical="center"/>
    </xf>
    <xf numFmtId="4" fontId="117" fillId="0" borderId="0" xfId="0" applyNumberFormat="1" applyFont="1" applyFill="1" applyAlignment="1">
      <alignment horizontal="center" vertical="center"/>
    </xf>
    <xf numFmtId="0" fontId="103" fillId="0" borderId="57" xfId="0" applyFont="1" applyFill="1" applyBorder="1" applyAlignment="1">
      <alignment horizontal="center" vertical="center" wrapText="1"/>
    </xf>
    <xf numFmtId="0" fontId="103" fillId="0" borderId="46" xfId="0" applyFont="1" applyFill="1" applyBorder="1" applyAlignment="1">
      <alignment horizontal="center" vertical="center" wrapText="1"/>
    </xf>
    <xf numFmtId="0" fontId="103" fillId="0" borderId="58" xfId="0" applyFont="1" applyFill="1" applyBorder="1" applyAlignment="1">
      <alignment horizontal="center" vertical="center" wrapText="1"/>
    </xf>
    <xf numFmtId="3" fontId="123" fillId="0" borderId="34" xfId="58940" applyNumberFormat="1" applyFont="1" applyFill="1" applyBorder="1" applyAlignment="1">
      <alignment horizontal="center" vertical="center" wrapText="1"/>
    </xf>
    <xf numFmtId="3" fontId="123" fillId="0" borderId="35" xfId="58940" applyNumberFormat="1" applyFont="1" applyFill="1" applyBorder="1" applyAlignment="1">
      <alignment horizontal="center" vertical="center" wrapText="1"/>
    </xf>
    <xf numFmtId="3" fontId="43" fillId="0" borderId="35" xfId="0" applyNumberFormat="1" applyFont="1" applyFill="1" applyBorder="1" applyAlignment="1">
      <alignment horizontal="center" vertical="center" wrapText="1"/>
    </xf>
    <xf numFmtId="3" fontId="155" fillId="0" borderId="35" xfId="0" applyNumberFormat="1" applyFont="1" applyFill="1" applyBorder="1" applyAlignment="1">
      <alignment horizontal="center" vertical="center" wrapText="1"/>
    </xf>
    <xf numFmtId="0" fontId="155" fillId="0" borderId="35" xfId="0" applyFont="1" applyFill="1" applyBorder="1" applyAlignment="1">
      <alignment horizontal="center" vertical="center" wrapText="1"/>
    </xf>
    <xf numFmtId="3" fontId="43" fillId="0" borderId="34" xfId="0" applyNumberFormat="1" applyFont="1" applyFill="1" applyBorder="1" applyAlignment="1">
      <alignment horizontal="center" vertical="center" wrapText="1"/>
    </xf>
    <xf numFmtId="4" fontId="43" fillId="0" borderId="78" xfId="0" applyNumberFormat="1" applyFont="1" applyFill="1" applyBorder="1" applyAlignment="1">
      <alignment horizontal="center" vertical="center" wrapText="1"/>
    </xf>
    <xf numFmtId="3" fontId="40" fillId="0" borderId="0" xfId="0" applyNumberFormat="1" applyFont="1" applyFill="1" applyAlignment="1">
      <alignment horizontal="center" vertical="center"/>
    </xf>
    <xf numFmtId="0" fontId="103" fillId="0" borderId="51" xfId="0" applyFont="1" applyFill="1" applyBorder="1" applyAlignment="1">
      <alignment horizontal="center" vertical="center" wrapText="1"/>
    </xf>
    <xf numFmtId="0" fontId="103" fillId="0" borderId="12" xfId="0" applyFont="1" applyFill="1" applyBorder="1" applyAlignment="1">
      <alignment horizontal="center" vertical="center" wrapText="1"/>
    </xf>
    <xf numFmtId="0" fontId="103" fillId="0" borderId="52" xfId="0" applyFont="1" applyFill="1" applyBorder="1" applyAlignment="1">
      <alignment horizontal="center" vertical="center" wrapText="1"/>
    </xf>
    <xf numFmtId="3" fontId="43" fillId="0" borderId="68" xfId="0" applyNumberFormat="1" applyFont="1" applyFill="1" applyBorder="1" applyAlignment="1">
      <alignment horizontal="center" vertical="center" wrapText="1"/>
    </xf>
    <xf numFmtId="3" fontId="43" fillId="0" borderId="65" xfId="0" applyNumberFormat="1" applyFont="1" applyFill="1" applyBorder="1" applyAlignment="1">
      <alignment horizontal="center" vertical="center" wrapText="1"/>
    </xf>
    <xf numFmtId="3" fontId="40" fillId="0" borderId="65" xfId="0" applyNumberFormat="1" applyFont="1" applyFill="1" applyBorder="1" applyAlignment="1">
      <alignment horizontal="center" vertical="center" wrapText="1"/>
    </xf>
    <xf numFmtId="0" fontId="155" fillId="0" borderId="65" xfId="0" applyFont="1" applyFill="1" applyBorder="1" applyAlignment="1">
      <alignment horizontal="center" vertical="center" wrapText="1"/>
    </xf>
    <xf numFmtId="3" fontId="40" fillId="0" borderId="68" xfId="0" applyNumberFormat="1" applyFont="1" applyFill="1" applyBorder="1" applyAlignment="1">
      <alignment horizontal="center" vertical="center" wrapText="1"/>
    </xf>
    <xf numFmtId="0" fontId="155" fillId="0" borderId="64" xfId="0" applyFont="1" applyFill="1" applyBorder="1" applyAlignment="1">
      <alignment horizontal="center" vertical="center" wrapText="1"/>
    </xf>
    <xf numFmtId="3" fontId="157" fillId="0" borderId="65" xfId="0" applyNumberFormat="1" applyFont="1" applyFill="1" applyBorder="1" applyAlignment="1">
      <alignment horizontal="center" vertical="center" wrapText="1"/>
    </xf>
    <xf numFmtId="4" fontId="157" fillId="0" borderId="79" xfId="0" applyNumberFormat="1" applyFont="1" applyFill="1" applyBorder="1" applyAlignment="1">
      <alignment horizontal="center" vertical="center" wrapText="1"/>
    </xf>
    <xf numFmtId="0" fontId="40" fillId="0" borderId="51" xfId="0" applyFont="1" applyFill="1" applyBorder="1" applyAlignment="1">
      <alignment horizontal="center" vertical="center" wrapText="1"/>
    </xf>
    <xf numFmtId="0" fontId="40" fillId="0" borderId="52" xfId="0" applyFont="1" applyFill="1" applyBorder="1" applyAlignment="1">
      <alignment horizontal="center" vertical="center" wrapText="1"/>
    </xf>
    <xf numFmtId="3" fontId="43" fillId="0" borderId="13" xfId="0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 wrapText="1"/>
    </xf>
    <xf numFmtId="0" fontId="155" fillId="0" borderId="10" xfId="0" applyFont="1" applyFill="1" applyBorder="1" applyAlignment="1">
      <alignment horizontal="center" vertical="center" wrapText="1"/>
    </xf>
    <xf numFmtId="0" fontId="155" fillId="0" borderId="13" xfId="0" applyFont="1" applyFill="1" applyBorder="1" applyAlignment="1">
      <alignment horizontal="center" vertical="center" wrapText="1"/>
    </xf>
    <xf numFmtId="0" fontId="155" fillId="0" borderId="33" xfId="0" applyFont="1" applyFill="1" applyBorder="1" applyAlignment="1">
      <alignment horizontal="center" vertical="center" wrapText="1"/>
    </xf>
    <xf numFmtId="3" fontId="157" fillId="0" borderId="80" xfId="0" applyNumberFormat="1" applyFont="1" applyFill="1" applyBorder="1" applyAlignment="1">
      <alignment horizontal="center" vertical="center" wrapText="1"/>
    </xf>
    <xf numFmtId="3" fontId="157" fillId="0" borderId="0" xfId="0" applyNumberFormat="1" applyFont="1" applyFill="1" applyBorder="1" applyAlignment="1">
      <alignment horizontal="center" vertical="center" wrapText="1"/>
    </xf>
    <xf numFmtId="3" fontId="40" fillId="0" borderId="15" xfId="0" applyNumberFormat="1" applyFont="1" applyFill="1" applyBorder="1" applyAlignment="1">
      <alignment horizontal="center" vertical="center" wrapText="1"/>
    </xf>
    <xf numFmtId="3" fontId="43" fillId="0" borderId="15" xfId="0" applyNumberFormat="1" applyFont="1" applyFill="1" applyBorder="1" applyAlignment="1">
      <alignment horizontal="center" vertical="center" wrapText="1"/>
    </xf>
    <xf numFmtId="0" fontId="155" fillId="0" borderId="71" xfId="0" applyFont="1" applyFill="1" applyBorder="1" applyAlignment="1">
      <alignment horizontal="center" vertical="center" wrapText="1"/>
    </xf>
    <xf numFmtId="4" fontId="103" fillId="0" borderId="15" xfId="58940" applyNumberFormat="1" applyFont="1" applyFill="1" applyBorder="1" applyAlignment="1">
      <alignment horizontal="center" vertical="center" wrapText="1"/>
    </xf>
    <xf numFmtId="4" fontId="103" fillId="0" borderId="11" xfId="58940" applyNumberFormat="1" applyFont="1" applyFill="1" applyBorder="1" applyAlignment="1">
      <alignment horizontal="center" vertical="center" wrapText="1"/>
    </xf>
    <xf numFmtId="3" fontId="103" fillId="0" borderId="11" xfId="0" applyNumberFormat="1" applyFont="1" applyFill="1" applyBorder="1" applyAlignment="1">
      <alignment horizontal="center" vertical="center" wrapText="1"/>
    </xf>
    <xf numFmtId="4" fontId="123" fillId="0" borderId="15" xfId="58940" applyNumberFormat="1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40" fillId="0" borderId="40" xfId="0" applyFont="1" applyFill="1" applyBorder="1" applyAlignment="1">
      <alignment horizontal="center" vertical="center" wrapText="1"/>
    </xf>
    <xf numFmtId="4" fontId="103" fillId="0" borderId="11" xfId="58940" applyNumberFormat="1" applyFont="1" applyFill="1" applyBorder="1" applyAlignment="1">
      <alignment horizontal="center" vertical="center" wrapText="1"/>
    </xf>
    <xf numFmtId="3" fontId="123" fillId="0" borderId="11" xfId="58940" applyNumberFormat="1" applyFont="1" applyFill="1" applyBorder="1" applyAlignment="1">
      <alignment horizontal="center" vertical="center" wrapText="1"/>
    </xf>
    <xf numFmtId="4" fontId="123" fillId="0" borderId="11" xfId="58940" applyNumberFormat="1" applyFont="1" applyFill="1" applyBorder="1" applyAlignment="1">
      <alignment horizontal="center" vertical="center" wrapText="1"/>
    </xf>
    <xf numFmtId="4" fontId="123" fillId="0" borderId="15" xfId="58940" applyNumberFormat="1" applyFont="1" applyFill="1" applyBorder="1" applyAlignment="1">
      <alignment horizontal="center" vertical="center" wrapText="1"/>
    </xf>
    <xf numFmtId="4" fontId="40" fillId="0" borderId="15" xfId="0" applyNumberFormat="1" applyFont="1" applyFill="1" applyBorder="1" applyAlignment="1">
      <alignment horizontal="center" vertical="center" wrapText="1"/>
    </xf>
    <xf numFmtId="4" fontId="40" fillId="0" borderId="11" xfId="0" applyNumberFormat="1" applyFont="1" applyFill="1" applyBorder="1" applyAlignment="1">
      <alignment horizontal="center" vertical="center" wrapText="1"/>
    </xf>
    <xf numFmtId="4" fontId="43" fillId="0" borderId="15" xfId="0" applyNumberFormat="1" applyFont="1" applyFill="1" applyBorder="1" applyAlignment="1">
      <alignment horizontal="center" vertical="center" wrapText="1"/>
    </xf>
    <xf numFmtId="4" fontId="157" fillId="0" borderId="81" xfId="0" applyNumberFormat="1" applyFont="1" applyFill="1" applyBorder="1" applyAlignment="1">
      <alignment horizontal="center" vertical="center" wrapText="1"/>
    </xf>
    <xf numFmtId="3" fontId="103" fillId="0" borderId="53" xfId="0" applyNumberFormat="1" applyFont="1" applyFill="1" applyBorder="1" applyAlignment="1">
      <alignment horizontal="center" vertical="center" wrapText="1"/>
    </xf>
    <xf numFmtId="3" fontId="103" fillId="0" borderId="70" xfId="0" applyNumberFormat="1" applyFont="1" applyFill="1" applyBorder="1" applyAlignment="1">
      <alignment horizontal="center" vertical="center"/>
    </xf>
    <xf numFmtId="3" fontId="103" fillId="0" borderId="53" xfId="0" applyNumberFormat="1" applyFont="1" applyFill="1" applyBorder="1" applyAlignment="1">
      <alignment horizontal="center" vertical="center"/>
    </xf>
    <xf numFmtId="3" fontId="103" fillId="0" borderId="68" xfId="0" applyNumberFormat="1" applyFont="1" applyFill="1" applyBorder="1" applyAlignment="1">
      <alignment horizontal="center" vertical="center"/>
    </xf>
    <xf numFmtId="3" fontId="103" fillId="0" borderId="60" xfId="0" applyNumberFormat="1" applyFont="1" applyFill="1" applyBorder="1" applyAlignment="1">
      <alignment horizontal="center" vertical="center"/>
    </xf>
    <xf numFmtId="3" fontId="40" fillId="0" borderId="59" xfId="0" applyNumberFormat="1" applyFont="1" applyFill="1" applyBorder="1" applyAlignment="1">
      <alignment horizontal="center" vertical="center"/>
    </xf>
    <xf numFmtId="3" fontId="40" fillId="0" borderId="60" xfId="0" applyNumberFormat="1" applyFont="1" applyFill="1" applyBorder="1" applyAlignment="1">
      <alignment horizontal="center" vertical="center"/>
    </xf>
    <xf numFmtId="3" fontId="40" fillId="0" borderId="53" xfId="0" applyNumberFormat="1" applyFont="1" applyFill="1" applyBorder="1" applyAlignment="1">
      <alignment horizontal="center" vertical="center"/>
    </xf>
    <xf numFmtId="3" fontId="40" fillId="0" borderId="82" xfId="0" applyNumberFormat="1" applyFont="1" applyFill="1" applyBorder="1" applyAlignment="1">
      <alignment horizontal="center" vertical="center"/>
    </xf>
    <xf numFmtId="0" fontId="116" fillId="0" borderId="48" xfId="0" applyFont="1" applyFill="1" applyBorder="1" applyAlignment="1">
      <alignment horizontal="center" vertical="center" wrapText="1"/>
    </xf>
    <xf numFmtId="0" fontId="116" fillId="0" borderId="47" xfId="0" applyFont="1" applyFill="1" applyBorder="1" applyAlignment="1">
      <alignment horizontal="center" vertical="center" wrapText="1"/>
    </xf>
    <xf numFmtId="0" fontId="116" fillId="0" borderId="50" xfId="0" applyFont="1" applyFill="1" applyBorder="1" applyAlignment="1">
      <alignment horizontal="center" vertical="center" wrapText="1"/>
    </xf>
    <xf numFmtId="3" fontId="116" fillId="0" borderId="32" xfId="0" applyNumberFormat="1" applyFont="1" applyFill="1" applyBorder="1" applyAlignment="1">
      <alignment horizontal="center" vertical="center"/>
    </xf>
    <xf numFmtId="4" fontId="158" fillId="0" borderId="32" xfId="0" applyNumberFormat="1" applyFont="1" applyFill="1" applyBorder="1" applyAlignment="1">
      <alignment horizontal="center" vertical="center"/>
    </xf>
    <xf numFmtId="4" fontId="116" fillId="0" borderId="12" xfId="0" applyNumberFormat="1" applyFont="1" applyFill="1" applyBorder="1" applyAlignment="1">
      <alignment horizontal="center" vertical="center"/>
    </xf>
    <xf numFmtId="4" fontId="158" fillId="0" borderId="12" xfId="0" applyNumberFormat="1" applyFont="1" applyFill="1" applyBorder="1" applyAlignment="1">
      <alignment horizontal="center" vertical="center"/>
    </xf>
    <xf numFmtId="3" fontId="159" fillId="0" borderId="12" xfId="0" applyNumberFormat="1" applyFont="1" applyFill="1" applyBorder="1" applyAlignment="1">
      <alignment horizontal="center" vertical="center"/>
    </xf>
    <xf numFmtId="4" fontId="159" fillId="0" borderId="80" xfId="0" applyNumberFormat="1" applyFont="1" applyFill="1" applyBorder="1" applyAlignment="1">
      <alignment horizontal="center" vertical="center"/>
    </xf>
    <xf numFmtId="3" fontId="159" fillId="0" borderId="46" xfId="0" applyNumberFormat="1" applyFont="1" applyFill="1" applyBorder="1" applyAlignment="1">
      <alignment horizontal="center" vertical="center"/>
    </xf>
    <xf numFmtId="4" fontId="159" fillId="0" borderId="83" xfId="0" applyNumberFormat="1" applyFont="1" applyFill="1" applyBorder="1" applyAlignment="1">
      <alignment horizontal="center" vertical="center"/>
    </xf>
    <xf numFmtId="3" fontId="159" fillId="0" borderId="80" xfId="0" applyNumberFormat="1" applyFont="1" applyFill="1" applyBorder="1" applyAlignment="1">
      <alignment horizontal="center" vertical="center"/>
    </xf>
    <xf numFmtId="4" fontId="116" fillId="0" borderId="13" xfId="0" applyNumberFormat="1" applyFont="1" applyFill="1" applyBorder="1" applyAlignment="1">
      <alignment horizontal="center" vertical="center"/>
    </xf>
    <xf numFmtId="3" fontId="116" fillId="0" borderId="51" xfId="0" applyNumberFormat="1" applyFont="1" applyFill="1" applyBorder="1" applyAlignment="1">
      <alignment horizontal="center" vertical="center"/>
    </xf>
    <xf numFmtId="3" fontId="158" fillId="0" borderId="12" xfId="0" applyNumberFormat="1" applyFont="1" applyFill="1" applyBorder="1" applyAlignment="1">
      <alignment horizontal="center" vertical="center"/>
    </xf>
    <xf numFmtId="4" fontId="159" fillId="0" borderId="79" xfId="0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3" fontId="116" fillId="0" borderId="0" xfId="0" applyNumberFormat="1" applyFont="1" applyFill="1" applyAlignment="1">
      <alignment horizontal="center" vertical="center"/>
    </xf>
    <xf numFmtId="0" fontId="41" fillId="0" borderId="38" xfId="0" applyFont="1" applyFill="1" applyBorder="1" applyAlignment="1">
      <alignment horizontal="left" vertical="center"/>
    </xf>
    <xf numFmtId="0" fontId="41" fillId="0" borderId="11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 vertical="center"/>
    </xf>
    <xf numFmtId="4" fontId="117" fillId="0" borderId="11" xfId="0" applyNumberFormat="1" applyFont="1" applyFill="1" applyBorder="1" applyAlignment="1">
      <alignment horizontal="center" vertical="center"/>
    </xf>
    <xf numFmtId="4" fontId="117" fillId="0" borderId="15" xfId="0" applyNumberFormat="1" applyFont="1" applyFill="1" applyBorder="1" applyAlignment="1">
      <alignment horizontal="center" vertical="center"/>
    </xf>
    <xf numFmtId="4" fontId="117" fillId="0" borderId="62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41" fillId="0" borderId="11" xfId="0" applyNumberFormat="1" applyFont="1" applyFill="1" applyBorder="1" applyAlignment="1">
      <alignment horizontal="center" vertical="center"/>
    </xf>
    <xf numFmtId="4" fontId="44" fillId="0" borderId="11" xfId="58940" applyNumberFormat="1" applyFont="1" applyFill="1" applyBorder="1" applyAlignment="1">
      <alignment horizontal="center" vertical="center"/>
    </xf>
    <xf numFmtId="4" fontId="41" fillId="0" borderId="15" xfId="0" applyNumberFormat="1" applyFont="1" applyFill="1" applyBorder="1" applyAlignment="1">
      <alignment horizontal="center" vertical="center"/>
    </xf>
    <xf numFmtId="4" fontId="41" fillId="0" borderId="39" xfId="0" applyNumberFormat="1" applyFont="1" applyFill="1" applyBorder="1" applyAlignment="1">
      <alignment horizontal="center" vertical="center"/>
    </xf>
    <xf numFmtId="4" fontId="41" fillId="0" borderId="62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4" fontId="117" fillId="0" borderId="72" xfId="0" applyNumberFormat="1" applyFont="1" applyFill="1" applyBorder="1" applyAlignment="1">
      <alignment horizontal="center" vertical="center"/>
    </xf>
    <xf numFmtId="4" fontId="117" fillId="0" borderId="71" xfId="0" applyNumberFormat="1" applyFont="1" applyFill="1" applyBorder="1" applyAlignment="1">
      <alignment horizontal="center" vertical="center"/>
    </xf>
    <xf numFmtId="4" fontId="44" fillId="0" borderId="14" xfId="58940" applyNumberFormat="1" applyFont="1" applyFill="1" applyBorder="1" applyAlignment="1">
      <alignment horizontal="center" vertical="center"/>
    </xf>
    <xf numFmtId="4" fontId="117" fillId="0" borderId="13" xfId="0" applyNumberFormat="1" applyFont="1" applyFill="1" applyBorder="1" applyAlignment="1">
      <alignment horizontal="center" vertical="center"/>
    </xf>
    <xf numFmtId="3" fontId="117" fillId="0" borderId="13" xfId="0" applyNumberFormat="1" applyFont="1" applyFill="1" applyBorder="1" applyAlignment="1">
      <alignment horizontal="center" vertical="center"/>
    </xf>
    <xf numFmtId="4" fontId="117" fillId="0" borderId="39" xfId="0" applyNumberFormat="1" applyFont="1" applyFill="1" applyBorder="1" applyAlignment="1">
      <alignment horizontal="center" vertical="center"/>
    </xf>
    <xf numFmtId="3" fontId="36" fillId="0" borderId="33" xfId="0" applyNumberFormat="1" applyFont="1" applyFill="1" applyBorder="1" applyAlignment="1">
      <alignment horizontal="center" vertical="center"/>
    </xf>
    <xf numFmtId="3" fontId="36" fillId="0" borderId="41" xfId="0" applyNumberFormat="1" applyFont="1" applyFill="1" applyBorder="1" applyAlignment="1">
      <alignment horizontal="center" vertical="center"/>
    </xf>
    <xf numFmtId="3" fontId="160" fillId="0" borderId="0" xfId="0" applyNumberFormat="1" applyFont="1" applyFill="1" applyAlignment="1">
      <alignment horizontal="center" vertical="center"/>
    </xf>
    <xf numFmtId="3" fontId="36" fillId="0" borderId="37" xfId="58940" applyNumberFormat="1" applyFont="1" applyFill="1" applyBorder="1" applyAlignment="1">
      <alignment horizontal="left" vertical="center" wrapText="1"/>
    </xf>
    <xf numFmtId="4" fontId="44" fillId="0" borderId="31" xfId="58940" applyNumberFormat="1" applyFont="1" applyFill="1" applyBorder="1" applyAlignment="1">
      <alignment horizontal="center" vertical="center"/>
    </xf>
    <xf numFmtId="3" fontId="117" fillId="0" borderId="31" xfId="0" applyNumberFormat="1" applyFont="1" applyFill="1" applyBorder="1" applyAlignment="1">
      <alignment horizontal="center" vertical="center"/>
    </xf>
    <xf numFmtId="4" fontId="117" fillId="0" borderId="68" xfId="0" applyNumberFormat="1" applyFont="1" applyFill="1" applyBorder="1" applyAlignment="1">
      <alignment horizontal="center" vertical="center"/>
    </xf>
    <xf numFmtId="3" fontId="36" fillId="0" borderId="67" xfId="0" applyNumberFormat="1" applyFont="1" applyFill="1" applyBorder="1" applyAlignment="1">
      <alignment horizontal="center" vertical="center"/>
    </xf>
    <xf numFmtId="4" fontId="117" fillId="0" borderId="84" xfId="0" applyNumberFormat="1" applyFont="1" applyFill="1" applyBorder="1" applyAlignment="1">
      <alignment horizontal="center" vertical="center"/>
    </xf>
    <xf numFmtId="4" fontId="117" fillId="0" borderId="37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left" vertical="center" wrapText="1"/>
    </xf>
    <xf numFmtId="3" fontId="36" fillId="0" borderId="64" xfId="0" applyNumberFormat="1" applyFont="1" applyFill="1" applyBorder="1" applyAlignment="1">
      <alignment horizontal="center" vertical="center"/>
    </xf>
    <xf numFmtId="0" fontId="44" fillId="0" borderId="31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left" vertical="center"/>
    </xf>
    <xf numFmtId="4" fontId="117" fillId="0" borderId="75" xfId="0" applyNumberFormat="1" applyFont="1" applyFill="1" applyBorder="1" applyAlignment="1">
      <alignment horizontal="center" vertical="center"/>
    </xf>
    <xf numFmtId="0" fontId="44" fillId="0" borderId="11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horizontal="left" vertical="center"/>
    </xf>
    <xf numFmtId="4" fontId="44" fillId="0" borderId="53" xfId="58940" applyNumberFormat="1" applyFont="1" applyFill="1" applyBorder="1" applyAlignment="1">
      <alignment horizontal="center" vertical="center"/>
    </xf>
    <xf numFmtId="4" fontId="117" fillId="0" borderId="53" xfId="0" applyNumberFormat="1" applyFont="1" applyFill="1" applyBorder="1" applyAlignment="1">
      <alignment horizontal="center" vertical="center"/>
    </xf>
    <xf numFmtId="4" fontId="117" fillId="0" borderId="69" xfId="0" applyNumberFormat="1" applyFont="1" applyFill="1" applyBorder="1" applyAlignment="1">
      <alignment horizontal="center" vertical="center"/>
    </xf>
    <xf numFmtId="4" fontId="117" fillId="0" borderId="85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left" vertical="center"/>
    </xf>
    <xf numFmtId="4" fontId="36" fillId="0" borderId="0" xfId="0" applyNumberFormat="1" applyFont="1" applyFill="1" applyBorder="1" applyAlignment="1">
      <alignment horizontal="center" vertical="center"/>
    </xf>
    <xf numFmtId="4" fontId="41" fillId="0" borderId="11" xfId="58940" applyNumberFormat="1" applyFont="1" applyFill="1" applyBorder="1" applyAlignment="1">
      <alignment horizontal="center" vertical="center"/>
    </xf>
    <xf numFmtId="3" fontId="44" fillId="0" borderId="53" xfId="0" applyNumberFormat="1" applyFont="1" applyFill="1" applyBorder="1" applyAlignment="1">
      <alignment horizontal="center" vertical="center"/>
    </xf>
  </cellXfs>
  <cellStyles count="61380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2 2 2" xfId="61337"/>
    <cellStyle name="Обычный 10 10 10 2 2 2 2" xfId="61357"/>
    <cellStyle name="Обычный 10 10 10 2 2 2 2 2" xfId="61366"/>
    <cellStyle name="Обычный 10 10 10 2 2 2 2 3" xfId="61377"/>
    <cellStyle name="Обычный 10 10 10 2 2 3" xfId="61345"/>
    <cellStyle name="Обычный 10 10 10 2 2 4" xfId="61355"/>
    <cellStyle name="Обычный 10 10 10 2 2 5" xfId="61364"/>
    <cellStyle name="Обычный 10 10 10 2 2 6" xfId="61375"/>
    <cellStyle name="Обычный 10 10 10 3" xfId="57603"/>
    <cellStyle name="Обычный 10 10 11" xfId="57604"/>
    <cellStyle name="Обычный 10 10 12" xfId="57605"/>
    <cellStyle name="Обычный 10 10 13" xfId="61333"/>
    <cellStyle name="Обычный 10 10 14" xfId="61332"/>
    <cellStyle name="Обычный 10 10 14 2" xfId="61344"/>
    <cellStyle name="Обычный 10 10 14 3" xfId="61354"/>
    <cellStyle name="Обычный 10 10 14 4" xfId="61363"/>
    <cellStyle name="Обычный 10 10 14 5" xfId="61374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3 3 6 2" xfId="6133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4 2 2" xfId="61346"/>
    <cellStyle name="Обычный 144 2 3" xfId="61359"/>
    <cellStyle name="Обычный 144 2 4" xfId="61368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49 10" xfId="61371"/>
    <cellStyle name="Обычный 149 2" xfId="61323"/>
    <cellStyle name="Обычный 149 3" xfId="61324"/>
    <cellStyle name="Обычный 149 4" xfId="61328"/>
    <cellStyle name="Обычный 149 5" xfId="61340"/>
    <cellStyle name="Обычный 149 6" xfId="61348"/>
    <cellStyle name="Обычный 149 7" xfId="61351"/>
    <cellStyle name="Обычный 149 8" xfId="61352"/>
    <cellStyle name="Обычный 149 9" xfId="61370"/>
    <cellStyle name="Обычный 149 9 2" xfId="61372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0 2" xfId="61329"/>
    <cellStyle name="Обычный 151" xfId="61322"/>
    <cellStyle name="Обычный 152" xfId="61347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1 7 4" xfId="61325"/>
    <cellStyle name="Обычный 2 136 11 7 4 2" xfId="61336"/>
    <cellStyle name="Обычный 2 136 11 7 4 3" xfId="61338"/>
    <cellStyle name="Обычный 2 136 11 7 4 3 2" xfId="61358"/>
    <cellStyle name="Обычный 2 136 11 7 4 3 3" xfId="61367"/>
    <cellStyle name="Обычный 2 136 11 7 4 3 4" xfId="61378"/>
    <cellStyle name="Обычный 2 136 11 7 4 4" xfId="61356"/>
    <cellStyle name="Обычный 2 136 11 7 4 5" xfId="61365"/>
    <cellStyle name="Обычный 2 136 11 7 4 6" xfId="61376"/>
    <cellStyle name="Обычный 2 136 12" xfId="58909"/>
    <cellStyle name="Обычный 2 136 13" xfId="58910"/>
    <cellStyle name="Обычный 2 136 14" xfId="61334"/>
    <cellStyle name="Обычный 2 136 15" xfId="61331"/>
    <cellStyle name="Обычный 2 136 15 2" xfId="61343"/>
    <cellStyle name="Обычный 2 136 15 3" xfId="61353"/>
    <cellStyle name="Обычный 2 136 15 4" xfId="61362"/>
    <cellStyle name="Обычный 2 136 15 5" xfId="61373"/>
    <cellStyle name="Обычный 2 136 2" xfId="58911"/>
    <cellStyle name="Обычный 2 136 21" xfId="61296"/>
    <cellStyle name="Обычный 2 136 21 2" xfId="61305"/>
    <cellStyle name="Обычный 2 136 23" xfId="61335"/>
    <cellStyle name="Обычный 2 136 23 2" xfId="61339"/>
    <cellStyle name="Обычный 2 136 23 3" xfId="61360"/>
    <cellStyle name="Обычный 2 136 23 4" xfId="61369"/>
    <cellStyle name="Обычный 2 136 23 5" xfId="61379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19" xfId="61326"/>
    <cellStyle name="Обычный 84 2" xfId="60161"/>
    <cellStyle name="Обычный 84 2 2" xfId="60162"/>
    <cellStyle name="Обычный 84 2 3" xfId="61310"/>
    <cellStyle name="Обычный 84 2 3 2" xfId="61361"/>
    <cellStyle name="Обычный 84 20" xfId="61341"/>
    <cellStyle name="Обычный 84 21" xfId="61349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5 7" xfId="61327"/>
    <cellStyle name="Обычный 85 8" xfId="61342"/>
    <cellStyle name="Обычный 85 9" xfId="61350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</sheetNames>
    <sheetDataSet>
      <sheetData sheetId="0"/>
      <sheetData sheetId="1"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</sheetNames>
    <sheetDataSet>
      <sheetData sheetId="0">
        <row r="12">
          <cell r="E12">
            <v>7589</v>
          </cell>
          <cell r="F12">
            <v>1136</v>
          </cell>
          <cell r="G12">
            <v>76</v>
          </cell>
          <cell r="H12">
            <v>60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</v>
          </cell>
          <cell r="N12">
            <v>8</v>
          </cell>
          <cell r="O12">
            <v>1</v>
          </cell>
          <cell r="P12">
            <v>0</v>
          </cell>
          <cell r="Q12">
            <v>60</v>
          </cell>
          <cell r="R12">
            <v>4</v>
          </cell>
        </row>
        <row r="13">
          <cell r="E13">
            <v>5362</v>
          </cell>
          <cell r="F13">
            <v>155</v>
          </cell>
          <cell r="G13">
            <v>53</v>
          </cell>
          <cell r="H13">
            <v>23</v>
          </cell>
          <cell r="I13">
            <v>0</v>
          </cell>
          <cell r="J13">
            <v>0</v>
          </cell>
          <cell r="K13">
            <v>1</v>
          </cell>
          <cell r="L13">
            <v>0</v>
          </cell>
          <cell r="M13">
            <v>0</v>
          </cell>
          <cell r="N13">
            <v>4</v>
          </cell>
          <cell r="O13">
            <v>0</v>
          </cell>
          <cell r="P13">
            <v>0</v>
          </cell>
          <cell r="Q13">
            <v>18</v>
          </cell>
          <cell r="R13">
            <v>2</v>
          </cell>
        </row>
        <row r="14">
          <cell r="E14">
            <v>13193</v>
          </cell>
          <cell r="F14">
            <v>1387</v>
          </cell>
          <cell r="G14">
            <v>145</v>
          </cell>
          <cell r="H14">
            <v>81</v>
          </cell>
          <cell r="I14">
            <v>0</v>
          </cell>
          <cell r="J14">
            <v>0</v>
          </cell>
          <cell r="K14">
            <v>10</v>
          </cell>
          <cell r="L14">
            <v>1</v>
          </cell>
          <cell r="M14">
            <v>0</v>
          </cell>
          <cell r="N14">
            <v>60</v>
          </cell>
          <cell r="O14">
            <v>4</v>
          </cell>
          <cell r="P14">
            <v>0</v>
          </cell>
          <cell r="Q14">
            <v>48</v>
          </cell>
          <cell r="R14">
            <v>4</v>
          </cell>
        </row>
        <row r="15">
          <cell r="E15">
            <v>4641</v>
          </cell>
          <cell r="F15">
            <v>321</v>
          </cell>
          <cell r="G15">
            <v>74</v>
          </cell>
          <cell r="H15">
            <v>10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0</v>
          </cell>
          <cell r="P15">
            <v>1</v>
          </cell>
          <cell r="Q15">
            <v>15</v>
          </cell>
          <cell r="R15">
            <v>0</v>
          </cell>
        </row>
        <row r="16">
          <cell r="E16">
            <v>4693</v>
          </cell>
          <cell r="F16">
            <v>916</v>
          </cell>
          <cell r="G16">
            <v>52</v>
          </cell>
          <cell r="H16">
            <v>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7</v>
          </cell>
          <cell r="O16">
            <v>5</v>
          </cell>
          <cell r="P16">
            <v>3</v>
          </cell>
          <cell r="Q16">
            <v>13</v>
          </cell>
          <cell r="R16">
            <v>0</v>
          </cell>
        </row>
        <row r="17">
          <cell r="E17">
            <v>45681</v>
          </cell>
          <cell r="F17">
            <v>699</v>
          </cell>
          <cell r="G17">
            <v>13</v>
          </cell>
          <cell r="H17">
            <v>38</v>
          </cell>
          <cell r="I17">
            <v>0</v>
          </cell>
          <cell r="J17">
            <v>0</v>
          </cell>
          <cell r="K17">
            <v>1</v>
          </cell>
          <cell r="L17">
            <v>1</v>
          </cell>
          <cell r="M17">
            <v>4</v>
          </cell>
          <cell r="N17">
            <v>66</v>
          </cell>
          <cell r="O17">
            <v>1</v>
          </cell>
          <cell r="P17">
            <v>0</v>
          </cell>
          <cell r="Q17">
            <v>347</v>
          </cell>
          <cell r="R17">
            <v>9</v>
          </cell>
        </row>
        <row r="18">
          <cell r="E18">
            <v>13840</v>
          </cell>
          <cell r="F18">
            <v>1253</v>
          </cell>
          <cell r="G18">
            <v>338</v>
          </cell>
          <cell r="H18">
            <v>21</v>
          </cell>
          <cell r="I18">
            <v>0</v>
          </cell>
          <cell r="J18">
            <v>0</v>
          </cell>
          <cell r="K18">
            <v>12</v>
          </cell>
          <cell r="L18">
            <v>3</v>
          </cell>
          <cell r="M18">
            <v>1</v>
          </cell>
          <cell r="N18">
            <v>1</v>
          </cell>
          <cell r="O18">
            <v>15</v>
          </cell>
          <cell r="P18">
            <v>9</v>
          </cell>
          <cell r="Q18">
            <v>46</v>
          </cell>
          <cell r="R18">
            <v>0</v>
          </cell>
        </row>
        <row r="19">
          <cell r="E19">
            <v>6100</v>
          </cell>
          <cell r="F19">
            <v>3</v>
          </cell>
          <cell r="G19">
            <v>15</v>
          </cell>
          <cell r="H19">
            <v>12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1</v>
          </cell>
          <cell r="N19">
            <v>5</v>
          </cell>
          <cell r="O19">
            <v>35</v>
          </cell>
          <cell r="P19">
            <v>0</v>
          </cell>
          <cell r="Q19">
            <v>49</v>
          </cell>
          <cell r="R19">
            <v>6</v>
          </cell>
        </row>
        <row r="20">
          <cell r="E20">
            <v>7131</v>
          </cell>
          <cell r="F20">
            <v>48</v>
          </cell>
          <cell r="G20">
            <v>1</v>
          </cell>
          <cell r="H20">
            <v>180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3</v>
          </cell>
          <cell r="P20">
            <v>0</v>
          </cell>
          <cell r="Q20">
            <v>12</v>
          </cell>
          <cell r="R20">
            <v>0</v>
          </cell>
        </row>
        <row r="21">
          <cell r="E21">
            <v>8808</v>
          </cell>
          <cell r="F21">
            <v>56</v>
          </cell>
          <cell r="G21">
            <v>0</v>
          </cell>
          <cell r="H21">
            <v>76</v>
          </cell>
          <cell r="I21">
            <v>0</v>
          </cell>
          <cell r="J21">
            <v>0</v>
          </cell>
          <cell r="K21">
            <v>3</v>
          </cell>
          <cell r="L21">
            <v>0</v>
          </cell>
          <cell r="M21">
            <v>2</v>
          </cell>
          <cell r="N21">
            <v>0</v>
          </cell>
          <cell r="O21">
            <v>0</v>
          </cell>
          <cell r="P21">
            <v>0</v>
          </cell>
          <cell r="Q21">
            <v>41</v>
          </cell>
          <cell r="R21">
            <v>25</v>
          </cell>
        </row>
        <row r="22">
          <cell r="E22">
            <v>8436</v>
          </cell>
          <cell r="F22">
            <v>168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16</v>
          </cell>
          <cell r="O22">
            <v>0</v>
          </cell>
          <cell r="P22">
            <v>0</v>
          </cell>
          <cell r="Q22">
            <v>8</v>
          </cell>
          <cell r="R22">
            <v>1</v>
          </cell>
        </row>
        <row r="23">
          <cell r="E23">
            <v>12692</v>
          </cell>
          <cell r="F23">
            <v>1574</v>
          </cell>
          <cell r="G23">
            <v>316</v>
          </cell>
          <cell r="H23">
            <v>82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5931</v>
          </cell>
          <cell r="F26">
            <v>294</v>
          </cell>
          <cell r="G26">
            <v>74</v>
          </cell>
          <cell r="H26">
            <v>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18</v>
          </cell>
          <cell r="O26">
            <v>1</v>
          </cell>
          <cell r="P26">
            <v>0</v>
          </cell>
          <cell r="Q26">
            <v>20</v>
          </cell>
          <cell r="R26">
            <v>14</v>
          </cell>
        </row>
        <row r="27">
          <cell r="E27">
            <v>5331</v>
          </cell>
          <cell r="F27">
            <v>757</v>
          </cell>
          <cell r="G27">
            <v>167</v>
          </cell>
          <cell r="H27">
            <v>94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83</v>
          </cell>
          <cell r="O27">
            <v>0</v>
          </cell>
          <cell r="P27">
            <v>1</v>
          </cell>
          <cell r="Q27">
            <v>9</v>
          </cell>
          <cell r="R27">
            <v>2</v>
          </cell>
        </row>
        <row r="28">
          <cell r="E28">
            <v>6903</v>
          </cell>
          <cell r="F28">
            <v>380</v>
          </cell>
          <cell r="G28">
            <v>179</v>
          </cell>
          <cell r="H28">
            <v>22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1</v>
          </cell>
          <cell r="N28">
            <v>4</v>
          </cell>
          <cell r="O28">
            <v>0</v>
          </cell>
          <cell r="P28">
            <v>0</v>
          </cell>
          <cell r="Q28">
            <v>129</v>
          </cell>
          <cell r="R28">
            <v>3</v>
          </cell>
        </row>
        <row r="29">
          <cell r="E29">
            <v>12799</v>
          </cell>
          <cell r="F29">
            <v>41</v>
          </cell>
          <cell r="G29">
            <v>50</v>
          </cell>
          <cell r="H29">
            <v>62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3</v>
          </cell>
          <cell r="O29">
            <v>3</v>
          </cell>
          <cell r="P29">
            <v>6</v>
          </cell>
          <cell r="Q29">
            <v>40</v>
          </cell>
          <cell r="R29">
            <v>18</v>
          </cell>
        </row>
        <row r="30">
          <cell r="E30">
            <v>3220</v>
          </cell>
          <cell r="F30">
            <v>0</v>
          </cell>
          <cell r="G30">
            <v>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5</v>
          </cell>
          <cell r="M30">
            <v>0</v>
          </cell>
          <cell r="N30">
            <v>14</v>
          </cell>
          <cell r="O30">
            <v>0</v>
          </cell>
          <cell r="P30">
            <v>0</v>
          </cell>
          <cell r="Q30">
            <v>91</v>
          </cell>
          <cell r="R30">
            <v>0</v>
          </cell>
        </row>
        <row r="31">
          <cell r="E31">
            <v>4406</v>
          </cell>
          <cell r="F31">
            <v>0</v>
          </cell>
          <cell r="G31">
            <v>93</v>
          </cell>
          <cell r="H31">
            <v>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</v>
          </cell>
          <cell r="O31">
            <v>0</v>
          </cell>
          <cell r="P31">
            <v>4</v>
          </cell>
          <cell r="Q31">
            <v>41</v>
          </cell>
          <cell r="R31">
            <v>0</v>
          </cell>
        </row>
        <row r="32">
          <cell r="E32">
            <v>16901</v>
          </cell>
          <cell r="F32">
            <v>525</v>
          </cell>
          <cell r="G32">
            <v>0</v>
          </cell>
          <cell r="H32">
            <v>40</v>
          </cell>
          <cell r="I32">
            <v>0</v>
          </cell>
          <cell r="J32">
            <v>0</v>
          </cell>
          <cell r="K32">
            <v>2</v>
          </cell>
          <cell r="L32">
            <v>0</v>
          </cell>
          <cell r="M32">
            <v>0</v>
          </cell>
          <cell r="N32">
            <v>35</v>
          </cell>
          <cell r="O32">
            <v>1</v>
          </cell>
          <cell r="P32">
            <v>1</v>
          </cell>
          <cell r="Q32">
            <v>86</v>
          </cell>
          <cell r="R32">
            <v>9</v>
          </cell>
        </row>
        <row r="33">
          <cell r="E33">
            <v>16049</v>
          </cell>
          <cell r="F33">
            <v>1481</v>
          </cell>
          <cell r="G33">
            <v>117</v>
          </cell>
          <cell r="H33">
            <v>24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5</v>
          </cell>
          <cell r="Q33">
            <v>22</v>
          </cell>
          <cell r="R33">
            <v>1</v>
          </cell>
        </row>
        <row r="34">
          <cell r="E34">
            <v>1984</v>
          </cell>
          <cell r="F34">
            <v>0</v>
          </cell>
          <cell r="G34">
            <v>45</v>
          </cell>
          <cell r="H34">
            <v>32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4</v>
          </cell>
          <cell r="N34">
            <v>13</v>
          </cell>
          <cell r="O34">
            <v>4</v>
          </cell>
          <cell r="P34">
            <v>0</v>
          </cell>
          <cell r="Q34">
            <v>9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2</v>
          </cell>
          <cell r="F42">
            <v>85</v>
          </cell>
          <cell r="G42">
            <v>3</v>
          </cell>
          <cell r="H42">
            <v>11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</v>
          </cell>
          <cell r="N42">
            <v>4</v>
          </cell>
          <cell r="O42">
            <v>0</v>
          </cell>
          <cell r="P42">
            <v>0</v>
          </cell>
          <cell r="Q42">
            <v>50</v>
          </cell>
          <cell r="R42">
            <v>0</v>
          </cell>
        </row>
        <row r="43">
          <cell r="E43">
            <v>16961</v>
          </cell>
          <cell r="F43">
            <v>556</v>
          </cell>
          <cell r="G43">
            <v>418</v>
          </cell>
          <cell r="H43">
            <v>254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</v>
          </cell>
          <cell r="O43">
            <v>6</v>
          </cell>
          <cell r="P43">
            <v>2</v>
          </cell>
          <cell r="Q43">
            <v>3</v>
          </cell>
          <cell r="R43">
            <v>0</v>
          </cell>
        </row>
        <row r="44">
          <cell r="E44">
            <v>24034</v>
          </cell>
          <cell r="F44">
            <v>920</v>
          </cell>
          <cell r="G44">
            <v>625</v>
          </cell>
          <cell r="H44">
            <v>41</v>
          </cell>
          <cell r="I44">
            <v>1</v>
          </cell>
          <cell r="J44">
            <v>0</v>
          </cell>
          <cell r="K44">
            <v>1</v>
          </cell>
          <cell r="L44">
            <v>5</v>
          </cell>
          <cell r="M44">
            <v>0</v>
          </cell>
          <cell r="N44">
            <v>30</v>
          </cell>
          <cell r="O44">
            <v>0</v>
          </cell>
          <cell r="P44">
            <v>0</v>
          </cell>
          <cell r="Q44">
            <v>426</v>
          </cell>
          <cell r="R44">
            <v>18</v>
          </cell>
        </row>
        <row r="45">
          <cell r="E45">
            <v>3024</v>
          </cell>
          <cell r="F45">
            <v>1186</v>
          </cell>
          <cell r="G45">
            <v>8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21</v>
          </cell>
          <cell r="R45">
            <v>0</v>
          </cell>
        </row>
        <row r="46">
          <cell r="E46">
            <v>15130</v>
          </cell>
          <cell r="F46">
            <v>253</v>
          </cell>
          <cell r="G46">
            <v>443</v>
          </cell>
          <cell r="H46">
            <v>51</v>
          </cell>
          <cell r="I46">
            <v>0</v>
          </cell>
          <cell r="J46">
            <v>1</v>
          </cell>
          <cell r="K46">
            <v>20</v>
          </cell>
          <cell r="L46">
            <v>8</v>
          </cell>
          <cell r="M46">
            <v>1</v>
          </cell>
          <cell r="N46">
            <v>13</v>
          </cell>
          <cell r="O46">
            <v>3</v>
          </cell>
          <cell r="P46">
            <v>0</v>
          </cell>
          <cell r="Q46">
            <v>217</v>
          </cell>
          <cell r="R46">
            <v>58</v>
          </cell>
        </row>
        <row r="47">
          <cell r="E47">
            <v>6259</v>
          </cell>
          <cell r="F47">
            <v>242</v>
          </cell>
          <cell r="G47">
            <v>130</v>
          </cell>
          <cell r="H47">
            <v>78</v>
          </cell>
          <cell r="I47">
            <v>0</v>
          </cell>
          <cell r="J47">
            <v>0</v>
          </cell>
          <cell r="K47">
            <v>3</v>
          </cell>
          <cell r="L47">
            <v>2</v>
          </cell>
          <cell r="M47">
            <v>2</v>
          </cell>
          <cell r="N47">
            <v>27</v>
          </cell>
          <cell r="O47">
            <v>1</v>
          </cell>
          <cell r="P47">
            <v>0</v>
          </cell>
          <cell r="Q47">
            <v>7</v>
          </cell>
          <cell r="R47">
            <v>0</v>
          </cell>
        </row>
        <row r="48">
          <cell r="E48">
            <v>26192</v>
          </cell>
          <cell r="F48">
            <v>3487</v>
          </cell>
          <cell r="G48">
            <v>594</v>
          </cell>
          <cell r="H48">
            <v>336</v>
          </cell>
          <cell r="I48">
            <v>0</v>
          </cell>
          <cell r="J48">
            <v>2</v>
          </cell>
          <cell r="K48">
            <v>21</v>
          </cell>
          <cell r="L48">
            <v>5</v>
          </cell>
          <cell r="M48">
            <v>2</v>
          </cell>
          <cell r="N48">
            <v>2</v>
          </cell>
          <cell r="O48">
            <v>2</v>
          </cell>
          <cell r="P48">
            <v>0</v>
          </cell>
          <cell r="Q48">
            <v>31</v>
          </cell>
          <cell r="R48">
            <v>8</v>
          </cell>
        </row>
        <row r="49">
          <cell r="E49">
            <v>6400</v>
          </cell>
          <cell r="F49">
            <v>433</v>
          </cell>
          <cell r="G49">
            <v>0</v>
          </cell>
          <cell r="H49">
            <v>39</v>
          </cell>
          <cell r="I49">
            <v>0</v>
          </cell>
          <cell r="J49">
            <v>0</v>
          </cell>
          <cell r="K49">
            <v>13</v>
          </cell>
          <cell r="L49">
            <v>2</v>
          </cell>
          <cell r="M49">
            <v>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</v>
          </cell>
        </row>
        <row r="50">
          <cell r="E50">
            <v>6886</v>
          </cell>
          <cell r="F50">
            <v>133</v>
          </cell>
          <cell r="G50">
            <v>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6</v>
          </cell>
          <cell r="O50">
            <v>0</v>
          </cell>
          <cell r="P50">
            <v>0</v>
          </cell>
          <cell r="Q50">
            <v>42</v>
          </cell>
          <cell r="R50">
            <v>0</v>
          </cell>
        </row>
        <row r="51">
          <cell r="E51">
            <v>9771</v>
          </cell>
          <cell r="F51">
            <v>736</v>
          </cell>
          <cell r="G51">
            <v>141</v>
          </cell>
          <cell r="H51">
            <v>384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</v>
          </cell>
          <cell r="N51">
            <v>77</v>
          </cell>
          <cell r="O51">
            <v>7</v>
          </cell>
          <cell r="P51">
            <v>0</v>
          </cell>
          <cell r="Q51">
            <v>33</v>
          </cell>
          <cell r="R51">
            <v>0</v>
          </cell>
        </row>
        <row r="52">
          <cell r="E52">
            <v>4575</v>
          </cell>
          <cell r="F52">
            <v>135</v>
          </cell>
          <cell r="G52">
            <v>0</v>
          </cell>
          <cell r="H52">
            <v>8</v>
          </cell>
          <cell r="I52">
            <v>0</v>
          </cell>
          <cell r="J52">
            <v>2</v>
          </cell>
          <cell r="K52">
            <v>0</v>
          </cell>
          <cell r="L52">
            <v>0</v>
          </cell>
          <cell r="M52">
            <v>1</v>
          </cell>
          <cell r="N52">
            <v>35</v>
          </cell>
          <cell r="O52">
            <v>3</v>
          </cell>
          <cell r="P52">
            <v>0</v>
          </cell>
          <cell r="Q52">
            <v>19</v>
          </cell>
          <cell r="R52">
            <v>0</v>
          </cell>
        </row>
        <row r="53">
          <cell r="E53">
            <v>1015</v>
          </cell>
          <cell r="F53">
            <v>318</v>
          </cell>
          <cell r="G53">
            <v>38</v>
          </cell>
          <cell r="H53">
            <v>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</row>
        <row r="54">
          <cell r="E54">
            <v>28024</v>
          </cell>
          <cell r="F54">
            <v>995</v>
          </cell>
          <cell r="G54">
            <v>1158</v>
          </cell>
          <cell r="H54">
            <v>126</v>
          </cell>
          <cell r="I54">
            <v>0</v>
          </cell>
          <cell r="J54">
            <v>5</v>
          </cell>
          <cell r="K54">
            <v>13</v>
          </cell>
          <cell r="L54">
            <v>1</v>
          </cell>
          <cell r="M54">
            <v>6</v>
          </cell>
          <cell r="N54">
            <v>142</v>
          </cell>
          <cell r="O54">
            <v>6</v>
          </cell>
          <cell r="P54">
            <v>0</v>
          </cell>
          <cell r="Q54">
            <v>72</v>
          </cell>
          <cell r="R54">
            <v>2</v>
          </cell>
        </row>
        <row r="55">
          <cell r="E55">
            <v>6154</v>
          </cell>
          <cell r="F55">
            <v>1220</v>
          </cell>
          <cell r="G55">
            <v>92</v>
          </cell>
          <cell r="H55">
            <v>173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14</v>
          </cell>
          <cell r="O55">
            <v>1</v>
          </cell>
          <cell r="P55">
            <v>0</v>
          </cell>
          <cell r="Q55">
            <v>15</v>
          </cell>
          <cell r="R55">
            <v>0</v>
          </cell>
        </row>
        <row r="56">
          <cell r="E56">
            <v>11538</v>
          </cell>
          <cell r="F56">
            <v>94</v>
          </cell>
          <cell r="G56">
            <v>78</v>
          </cell>
          <cell r="H56">
            <v>9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1</v>
          </cell>
          <cell r="N56">
            <v>7</v>
          </cell>
          <cell r="O56">
            <v>1</v>
          </cell>
          <cell r="P56">
            <v>0</v>
          </cell>
          <cell r="Q56">
            <v>83</v>
          </cell>
          <cell r="R56">
            <v>14</v>
          </cell>
        </row>
        <row r="57">
          <cell r="E57">
            <v>6802</v>
          </cell>
          <cell r="F57">
            <v>1</v>
          </cell>
          <cell r="G57">
            <v>8</v>
          </cell>
          <cell r="H57">
            <v>29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1</v>
          </cell>
          <cell r="N57">
            <v>3</v>
          </cell>
          <cell r="O57">
            <v>2</v>
          </cell>
          <cell r="P57">
            <v>9</v>
          </cell>
          <cell r="Q57">
            <v>18</v>
          </cell>
          <cell r="R57">
            <v>2</v>
          </cell>
        </row>
        <row r="58">
          <cell r="E58">
            <v>9798</v>
          </cell>
          <cell r="F58">
            <v>427</v>
          </cell>
          <cell r="G58">
            <v>137</v>
          </cell>
          <cell r="H58">
            <v>227</v>
          </cell>
          <cell r="I58">
            <v>0</v>
          </cell>
          <cell r="J58">
            <v>3</v>
          </cell>
          <cell r="K58">
            <v>0</v>
          </cell>
          <cell r="L58">
            <v>0</v>
          </cell>
          <cell r="M58">
            <v>3</v>
          </cell>
          <cell r="N58">
            <v>11</v>
          </cell>
          <cell r="O58">
            <v>8</v>
          </cell>
          <cell r="P58">
            <v>3</v>
          </cell>
          <cell r="Q58">
            <v>26</v>
          </cell>
          <cell r="R58">
            <v>0</v>
          </cell>
        </row>
        <row r="59">
          <cell r="E59">
            <v>9702</v>
          </cell>
          <cell r="F59">
            <v>119</v>
          </cell>
          <cell r="G59">
            <v>253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</v>
          </cell>
          <cell r="N59">
            <v>6</v>
          </cell>
          <cell r="O59">
            <v>1</v>
          </cell>
          <cell r="P59">
            <v>0</v>
          </cell>
          <cell r="Q59">
            <v>30</v>
          </cell>
          <cell r="R59">
            <v>0</v>
          </cell>
        </row>
        <row r="60">
          <cell r="E60">
            <v>2953</v>
          </cell>
          <cell r="F60">
            <v>168</v>
          </cell>
          <cell r="G60">
            <v>10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796</v>
          </cell>
          <cell r="O60">
            <v>0</v>
          </cell>
          <cell r="P60">
            <v>0</v>
          </cell>
          <cell r="Q60">
            <v>14</v>
          </cell>
          <cell r="R60">
            <v>0</v>
          </cell>
        </row>
        <row r="61">
          <cell r="E61">
            <v>5102</v>
          </cell>
          <cell r="F61">
            <v>164</v>
          </cell>
          <cell r="G61">
            <v>100</v>
          </cell>
          <cell r="H61">
            <v>32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24</v>
          </cell>
          <cell r="O61">
            <v>0</v>
          </cell>
          <cell r="P61">
            <v>0</v>
          </cell>
          <cell r="Q61">
            <v>6</v>
          </cell>
          <cell r="R61">
            <v>0</v>
          </cell>
        </row>
        <row r="62">
          <cell r="E62">
            <v>11219</v>
          </cell>
          <cell r="F62">
            <v>1258</v>
          </cell>
          <cell r="G62">
            <v>243</v>
          </cell>
          <cell r="H62">
            <v>1</v>
          </cell>
          <cell r="I62">
            <v>0</v>
          </cell>
          <cell r="J62">
            <v>0</v>
          </cell>
          <cell r="K62">
            <v>5</v>
          </cell>
          <cell r="L62">
            <v>0</v>
          </cell>
          <cell r="M62">
            <v>4</v>
          </cell>
          <cell r="N62">
            <v>51</v>
          </cell>
          <cell r="O62">
            <v>2</v>
          </cell>
          <cell r="P62">
            <v>0</v>
          </cell>
          <cell r="Q62">
            <v>128</v>
          </cell>
          <cell r="R62">
            <v>1</v>
          </cell>
        </row>
        <row r="63">
          <cell r="E63">
            <v>33912</v>
          </cell>
          <cell r="F63">
            <v>1014</v>
          </cell>
          <cell r="G63">
            <v>596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2</v>
          </cell>
          <cell r="M63">
            <v>2</v>
          </cell>
          <cell r="N63">
            <v>4</v>
          </cell>
          <cell r="O63">
            <v>11</v>
          </cell>
          <cell r="P63">
            <v>0</v>
          </cell>
          <cell r="Q63">
            <v>126</v>
          </cell>
          <cell r="R63">
            <v>0</v>
          </cell>
        </row>
        <row r="64">
          <cell r="E64">
            <v>5866</v>
          </cell>
          <cell r="F64">
            <v>22</v>
          </cell>
          <cell r="G64">
            <v>56</v>
          </cell>
          <cell r="H64">
            <v>2</v>
          </cell>
          <cell r="I64">
            <v>0</v>
          </cell>
          <cell r="J64">
            <v>0</v>
          </cell>
          <cell r="K64">
            <v>3</v>
          </cell>
          <cell r="L64">
            <v>1</v>
          </cell>
          <cell r="M64">
            <v>0</v>
          </cell>
          <cell r="N64">
            <v>9</v>
          </cell>
          <cell r="O64">
            <v>1</v>
          </cell>
          <cell r="P64">
            <v>0</v>
          </cell>
          <cell r="Q64">
            <v>9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23465</v>
          </cell>
          <cell r="F75">
            <v>1388</v>
          </cell>
          <cell r="G75">
            <v>1256</v>
          </cell>
          <cell r="H75">
            <v>59</v>
          </cell>
          <cell r="I75">
            <v>0</v>
          </cell>
          <cell r="J75">
            <v>4</v>
          </cell>
          <cell r="K75">
            <v>3</v>
          </cell>
          <cell r="L75">
            <v>0</v>
          </cell>
          <cell r="M75">
            <v>10</v>
          </cell>
          <cell r="N75">
            <v>87</v>
          </cell>
          <cell r="O75">
            <v>0</v>
          </cell>
          <cell r="P75">
            <v>0</v>
          </cell>
          <cell r="Q75">
            <v>189</v>
          </cell>
          <cell r="R75">
            <v>9</v>
          </cell>
        </row>
        <row r="76">
          <cell r="E76">
            <v>27108</v>
          </cell>
          <cell r="F76">
            <v>2029</v>
          </cell>
          <cell r="G76">
            <v>388</v>
          </cell>
          <cell r="H76">
            <v>71</v>
          </cell>
          <cell r="I76">
            <v>0</v>
          </cell>
          <cell r="J76">
            <v>0</v>
          </cell>
          <cell r="K76">
            <v>6</v>
          </cell>
          <cell r="L76">
            <v>0</v>
          </cell>
          <cell r="M76">
            <v>10</v>
          </cell>
          <cell r="N76">
            <v>234</v>
          </cell>
          <cell r="O76">
            <v>0</v>
          </cell>
          <cell r="P76">
            <v>181</v>
          </cell>
          <cell r="Q76">
            <v>0</v>
          </cell>
          <cell r="R76">
            <v>0</v>
          </cell>
        </row>
        <row r="77">
          <cell r="E77">
            <v>37165</v>
          </cell>
          <cell r="F77">
            <v>3105</v>
          </cell>
          <cell r="G77">
            <v>497</v>
          </cell>
          <cell r="H77">
            <v>710</v>
          </cell>
          <cell r="I77">
            <v>0</v>
          </cell>
          <cell r="J77">
            <v>0</v>
          </cell>
          <cell r="K77">
            <v>46</v>
          </cell>
          <cell r="L77">
            <v>3</v>
          </cell>
          <cell r="M77">
            <v>24</v>
          </cell>
          <cell r="N77">
            <v>147</v>
          </cell>
          <cell r="O77">
            <v>0</v>
          </cell>
          <cell r="P77">
            <v>199</v>
          </cell>
          <cell r="Q77">
            <v>235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19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22627</v>
          </cell>
          <cell r="F85">
            <v>1453</v>
          </cell>
          <cell r="G85">
            <v>1012</v>
          </cell>
          <cell r="H85">
            <v>424</v>
          </cell>
          <cell r="I85">
            <v>0</v>
          </cell>
          <cell r="J85">
            <v>0</v>
          </cell>
          <cell r="K85">
            <v>40</v>
          </cell>
          <cell r="L85">
            <v>4</v>
          </cell>
          <cell r="M85">
            <v>1</v>
          </cell>
          <cell r="N85">
            <v>65</v>
          </cell>
          <cell r="O85">
            <v>3</v>
          </cell>
          <cell r="P85">
            <v>0</v>
          </cell>
          <cell r="Q85">
            <v>274</v>
          </cell>
          <cell r="R85">
            <v>1</v>
          </cell>
        </row>
        <row r="86">
          <cell r="E86">
            <v>29964</v>
          </cell>
          <cell r="F86">
            <v>4660</v>
          </cell>
          <cell r="G86">
            <v>1231</v>
          </cell>
          <cell r="H86">
            <v>520</v>
          </cell>
          <cell r="I86">
            <v>1</v>
          </cell>
          <cell r="J86">
            <v>1</v>
          </cell>
          <cell r="K86">
            <v>15</v>
          </cell>
          <cell r="L86">
            <v>2</v>
          </cell>
          <cell r="M86">
            <v>34</v>
          </cell>
          <cell r="N86">
            <v>327</v>
          </cell>
          <cell r="O86">
            <v>0</v>
          </cell>
          <cell r="P86">
            <v>18</v>
          </cell>
          <cell r="Q86">
            <v>281</v>
          </cell>
          <cell r="R86">
            <v>59</v>
          </cell>
        </row>
        <row r="87">
          <cell r="E87">
            <v>28302</v>
          </cell>
          <cell r="F87">
            <v>1137</v>
          </cell>
          <cell r="G87">
            <v>1966</v>
          </cell>
          <cell r="H87">
            <v>291</v>
          </cell>
          <cell r="I87">
            <v>1</v>
          </cell>
          <cell r="J87">
            <v>0</v>
          </cell>
          <cell r="K87">
            <v>13</v>
          </cell>
          <cell r="L87">
            <v>2</v>
          </cell>
          <cell r="M87">
            <v>1</v>
          </cell>
          <cell r="N87">
            <v>130</v>
          </cell>
          <cell r="O87">
            <v>9</v>
          </cell>
          <cell r="P87">
            <v>0</v>
          </cell>
          <cell r="Q87">
            <v>112</v>
          </cell>
          <cell r="R87">
            <v>7</v>
          </cell>
        </row>
        <row r="88">
          <cell r="E88">
            <v>7522</v>
          </cell>
          <cell r="F88">
            <v>49</v>
          </cell>
          <cell r="G88">
            <v>150</v>
          </cell>
          <cell r="H88">
            <v>27</v>
          </cell>
          <cell r="I88">
            <v>0</v>
          </cell>
          <cell r="J88">
            <v>1</v>
          </cell>
          <cell r="K88">
            <v>13</v>
          </cell>
          <cell r="L88">
            <v>0</v>
          </cell>
          <cell r="M88">
            <v>0</v>
          </cell>
          <cell r="N88">
            <v>0</v>
          </cell>
          <cell r="O88">
            <v>13</v>
          </cell>
          <cell r="P88">
            <v>0</v>
          </cell>
          <cell r="Q88">
            <v>120</v>
          </cell>
          <cell r="R88">
            <v>0</v>
          </cell>
        </row>
        <row r="89">
          <cell r="E89">
            <v>52894</v>
          </cell>
          <cell r="F89">
            <v>4321</v>
          </cell>
          <cell r="G89">
            <v>640</v>
          </cell>
          <cell r="H89">
            <v>221</v>
          </cell>
          <cell r="I89">
            <v>0</v>
          </cell>
          <cell r="J89">
            <v>0</v>
          </cell>
          <cell r="K89">
            <v>9</v>
          </cell>
          <cell r="L89">
            <v>10</v>
          </cell>
          <cell r="M89">
            <v>1</v>
          </cell>
          <cell r="N89">
            <v>116</v>
          </cell>
          <cell r="O89">
            <v>8</v>
          </cell>
          <cell r="P89">
            <v>0</v>
          </cell>
          <cell r="Q89">
            <v>177</v>
          </cell>
          <cell r="R89">
            <v>43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32003</v>
          </cell>
          <cell r="F91">
            <v>4187</v>
          </cell>
          <cell r="G91">
            <v>920</v>
          </cell>
          <cell r="H91">
            <v>124</v>
          </cell>
          <cell r="I91">
            <v>0</v>
          </cell>
          <cell r="J91">
            <v>0</v>
          </cell>
          <cell r="K91">
            <v>22</v>
          </cell>
          <cell r="L91">
            <v>1</v>
          </cell>
          <cell r="M91">
            <v>2</v>
          </cell>
          <cell r="N91">
            <v>143</v>
          </cell>
          <cell r="O91">
            <v>2</v>
          </cell>
          <cell r="P91">
            <v>46</v>
          </cell>
          <cell r="Q91">
            <v>91</v>
          </cell>
          <cell r="R91">
            <v>31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154</v>
          </cell>
          <cell r="F94">
            <v>38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1740</v>
          </cell>
          <cell r="F98">
            <v>416</v>
          </cell>
          <cell r="G98">
            <v>0</v>
          </cell>
          <cell r="H98">
            <v>11</v>
          </cell>
          <cell r="I98">
            <v>0</v>
          </cell>
          <cell r="J98">
            <v>0</v>
          </cell>
          <cell r="K98">
            <v>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5333</v>
          </cell>
          <cell r="F99">
            <v>974</v>
          </cell>
          <cell r="G99">
            <v>156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</v>
          </cell>
          <cell r="N99">
            <v>0</v>
          </cell>
          <cell r="O99">
            <v>1</v>
          </cell>
          <cell r="P99">
            <v>3</v>
          </cell>
          <cell r="Q99">
            <v>0</v>
          </cell>
          <cell r="R99">
            <v>69</v>
          </cell>
        </row>
        <row r="100">
          <cell r="E100">
            <v>3740</v>
          </cell>
          <cell r="F100">
            <v>649</v>
          </cell>
          <cell r="G100">
            <v>4</v>
          </cell>
          <cell r="H100">
            <v>94</v>
          </cell>
          <cell r="I100">
            <v>0</v>
          </cell>
          <cell r="J100">
            <v>0</v>
          </cell>
          <cell r="K100">
            <v>0</v>
          </cell>
          <cell r="L100">
            <v>2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19</v>
          </cell>
          <cell r="R100">
            <v>71</v>
          </cell>
        </row>
        <row r="101">
          <cell r="E101">
            <v>3552</v>
          </cell>
          <cell r="F101">
            <v>1</v>
          </cell>
          <cell r="G101">
            <v>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</v>
          </cell>
          <cell r="N101">
            <v>3</v>
          </cell>
          <cell r="O101">
            <v>0</v>
          </cell>
          <cell r="P101">
            <v>0</v>
          </cell>
          <cell r="Q101">
            <v>16</v>
          </cell>
          <cell r="R101">
            <v>5</v>
          </cell>
        </row>
        <row r="102">
          <cell r="E102">
            <v>12785</v>
          </cell>
          <cell r="F102">
            <v>121</v>
          </cell>
          <cell r="G102">
            <v>100</v>
          </cell>
          <cell r="H102">
            <v>79</v>
          </cell>
          <cell r="I102">
            <v>0</v>
          </cell>
          <cell r="J102">
            <v>0</v>
          </cell>
          <cell r="K102">
            <v>3</v>
          </cell>
          <cell r="L102">
            <v>0</v>
          </cell>
          <cell r="M102">
            <v>2</v>
          </cell>
          <cell r="N102">
            <v>18</v>
          </cell>
          <cell r="O102">
            <v>4</v>
          </cell>
          <cell r="P102">
            <v>0</v>
          </cell>
          <cell r="Q102">
            <v>28</v>
          </cell>
          <cell r="R102">
            <v>0</v>
          </cell>
        </row>
        <row r="103">
          <cell r="E103">
            <v>4763</v>
          </cell>
          <cell r="F103">
            <v>351</v>
          </cell>
          <cell r="G103">
            <v>95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0</v>
          </cell>
          <cell r="M103">
            <v>1</v>
          </cell>
          <cell r="N103">
            <v>30</v>
          </cell>
          <cell r="O103">
            <v>0</v>
          </cell>
          <cell r="P103">
            <v>0</v>
          </cell>
          <cell r="Q103">
            <v>19</v>
          </cell>
          <cell r="R103">
            <v>3</v>
          </cell>
        </row>
        <row r="104">
          <cell r="E104">
            <v>9461</v>
          </cell>
          <cell r="F104">
            <v>565</v>
          </cell>
          <cell r="G104">
            <v>220</v>
          </cell>
          <cell r="H104">
            <v>138</v>
          </cell>
          <cell r="I104">
            <v>0</v>
          </cell>
          <cell r="J104">
            <v>0</v>
          </cell>
          <cell r="K104">
            <v>0</v>
          </cell>
          <cell r="L104">
            <v>3</v>
          </cell>
          <cell r="M104">
            <v>6</v>
          </cell>
          <cell r="N104">
            <v>10</v>
          </cell>
          <cell r="O104">
            <v>0</v>
          </cell>
          <cell r="P104">
            <v>0</v>
          </cell>
          <cell r="Q104">
            <v>77</v>
          </cell>
          <cell r="R104">
            <v>5</v>
          </cell>
        </row>
        <row r="105">
          <cell r="E105">
            <v>8534</v>
          </cell>
          <cell r="F105">
            <v>858</v>
          </cell>
          <cell r="G105">
            <v>200</v>
          </cell>
          <cell r="H105">
            <v>38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2</v>
          </cell>
          <cell r="O105">
            <v>0</v>
          </cell>
          <cell r="P105">
            <v>0</v>
          </cell>
          <cell r="Q105">
            <v>22</v>
          </cell>
          <cell r="R105">
            <v>1</v>
          </cell>
        </row>
        <row r="106">
          <cell r="E106">
            <v>7513</v>
          </cell>
          <cell r="F106">
            <v>794</v>
          </cell>
          <cell r="G106">
            <v>2</v>
          </cell>
          <cell r="H106">
            <v>28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17</v>
          </cell>
          <cell r="N106">
            <v>4</v>
          </cell>
          <cell r="O106">
            <v>2</v>
          </cell>
          <cell r="P106">
            <v>2</v>
          </cell>
          <cell r="Q106">
            <v>21</v>
          </cell>
          <cell r="R106">
            <v>7</v>
          </cell>
        </row>
        <row r="107">
          <cell r="E107">
            <v>4652</v>
          </cell>
          <cell r="F107">
            <v>193</v>
          </cell>
          <cell r="G107">
            <v>70</v>
          </cell>
          <cell r="H107">
            <v>16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35</v>
          </cell>
          <cell r="O107">
            <v>0</v>
          </cell>
          <cell r="P107">
            <v>0</v>
          </cell>
          <cell r="Q107">
            <v>20</v>
          </cell>
          <cell r="R107">
            <v>7</v>
          </cell>
        </row>
        <row r="108">
          <cell r="E108">
            <v>6908</v>
          </cell>
          <cell r="F108">
            <v>33</v>
          </cell>
          <cell r="G108">
            <v>185</v>
          </cell>
          <cell r="H108">
            <v>25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7</v>
          </cell>
          <cell r="O108">
            <v>0</v>
          </cell>
          <cell r="P108">
            <v>0</v>
          </cell>
          <cell r="Q108">
            <v>61</v>
          </cell>
          <cell r="R108">
            <v>0</v>
          </cell>
        </row>
        <row r="109">
          <cell r="E109">
            <v>6390</v>
          </cell>
          <cell r="F109">
            <v>455</v>
          </cell>
          <cell r="G109">
            <v>16</v>
          </cell>
          <cell r="H109">
            <v>27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</v>
          </cell>
          <cell r="N109">
            <v>0</v>
          </cell>
          <cell r="O109">
            <v>0</v>
          </cell>
          <cell r="P109">
            <v>0</v>
          </cell>
          <cell r="Q109">
            <v>15</v>
          </cell>
          <cell r="R109">
            <v>24</v>
          </cell>
        </row>
        <row r="110">
          <cell r="E110">
            <v>5484</v>
          </cell>
          <cell r="F110">
            <v>777</v>
          </cell>
          <cell r="G110">
            <v>47</v>
          </cell>
          <cell r="H110">
            <v>10</v>
          </cell>
          <cell r="I110">
            <v>0</v>
          </cell>
          <cell r="J110">
            <v>0</v>
          </cell>
          <cell r="K110">
            <v>4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58</v>
          </cell>
          <cell r="R110">
            <v>27</v>
          </cell>
        </row>
        <row r="111">
          <cell r="E111">
            <v>4161</v>
          </cell>
          <cell r="F111">
            <v>91</v>
          </cell>
          <cell r="G111">
            <v>46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37</v>
          </cell>
          <cell r="O111">
            <v>0</v>
          </cell>
          <cell r="P111">
            <v>0</v>
          </cell>
          <cell r="Q111">
            <v>8</v>
          </cell>
          <cell r="R111">
            <v>1</v>
          </cell>
        </row>
        <row r="112">
          <cell r="E112">
            <v>7346</v>
          </cell>
          <cell r="F112">
            <v>843</v>
          </cell>
          <cell r="G112">
            <v>144</v>
          </cell>
          <cell r="H112">
            <v>31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</v>
          </cell>
          <cell r="O112">
            <v>0</v>
          </cell>
          <cell r="P112">
            <v>0</v>
          </cell>
          <cell r="Q112">
            <v>12</v>
          </cell>
          <cell r="R112">
            <v>0</v>
          </cell>
        </row>
        <row r="113">
          <cell r="E113">
            <v>10623</v>
          </cell>
          <cell r="F113">
            <v>1840</v>
          </cell>
          <cell r="G113">
            <v>81</v>
          </cell>
          <cell r="H113">
            <v>13</v>
          </cell>
          <cell r="I113">
            <v>0</v>
          </cell>
          <cell r="J113">
            <v>0</v>
          </cell>
          <cell r="K113">
            <v>1</v>
          </cell>
          <cell r="L113">
            <v>0</v>
          </cell>
          <cell r="M113">
            <v>1</v>
          </cell>
          <cell r="N113">
            <v>213</v>
          </cell>
          <cell r="O113">
            <v>8</v>
          </cell>
          <cell r="P113">
            <v>7</v>
          </cell>
          <cell r="Q113">
            <v>65</v>
          </cell>
          <cell r="R113">
            <v>1</v>
          </cell>
        </row>
        <row r="114">
          <cell r="E114">
            <v>6917</v>
          </cell>
          <cell r="F114">
            <v>0</v>
          </cell>
          <cell r="G114">
            <v>0</v>
          </cell>
          <cell r="H114">
            <v>3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</v>
          </cell>
          <cell r="N114">
            <v>3</v>
          </cell>
          <cell r="O114">
            <v>3</v>
          </cell>
          <cell r="P114">
            <v>0</v>
          </cell>
          <cell r="Q114">
            <v>84</v>
          </cell>
          <cell r="R114">
            <v>36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15756</v>
          </cell>
          <cell r="F145">
            <v>3685</v>
          </cell>
          <cell r="G145">
            <v>376</v>
          </cell>
          <cell r="H145">
            <v>75</v>
          </cell>
          <cell r="I145">
            <v>0</v>
          </cell>
          <cell r="J145">
            <v>0</v>
          </cell>
          <cell r="K145">
            <v>13</v>
          </cell>
          <cell r="L145">
            <v>0</v>
          </cell>
          <cell r="M145">
            <v>11</v>
          </cell>
          <cell r="N145">
            <v>138</v>
          </cell>
          <cell r="O145">
            <v>0</v>
          </cell>
          <cell r="P145">
            <v>51</v>
          </cell>
          <cell r="Q145">
            <v>0</v>
          </cell>
          <cell r="R145">
            <v>25</v>
          </cell>
        </row>
        <row r="146">
          <cell r="E146">
            <v>22648</v>
          </cell>
          <cell r="F146">
            <v>3046</v>
          </cell>
          <cell r="G146">
            <v>706</v>
          </cell>
          <cell r="H146">
            <v>188</v>
          </cell>
          <cell r="I146">
            <v>0</v>
          </cell>
          <cell r="J146">
            <v>0</v>
          </cell>
          <cell r="K146">
            <v>0</v>
          </cell>
          <cell r="L146">
            <v>4</v>
          </cell>
          <cell r="M146">
            <v>13</v>
          </cell>
          <cell r="N146">
            <v>0</v>
          </cell>
          <cell r="O146">
            <v>2</v>
          </cell>
          <cell r="P146">
            <v>0</v>
          </cell>
          <cell r="Q146">
            <v>266</v>
          </cell>
          <cell r="R146">
            <v>37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</sheetData>
      <sheetData sheetId="1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</sheetData>
      <sheetData sheetId="2">
        <row r="37">
          <cell r="E37">
            <v>38719</v>
          </cell>
          <cell r="F37">
            <v>2226</v>
          </cell>
          <cell r="G37">
            <v>700</v>
          </cell>
          <cell r="H37">
            <v>1007</v>
          </cell>
          <cell r="I37">
            <v>0</v>
          </cell>
          <cell r="J37">
            <v>1</v>
          </cell>
          <cell r="K37">
            <v>4</v>
          </cell>
          <cell r="L37">
            <v>10</v>
          </cell>
          <cell r="M37">
            <v>5</v>
          </cell>
          <cell r="N37">
            <v>58</v>
          </cell>
          <cell r="O37">
            <v>3</v>
          </cell>
          <cell r="P37">
            <v>3</v>
          </cell>
          <cell r="Q37">
            <v>8</v>
          </cell>
          <cell r="R37">
            <v>119</v>
          </cell>
        </row>
        <row r="38">
          <cell r="E38">
            <v>11215</v>
          </cell>
          <cell r="F38">
            <v>697</v>
          </cell>
          <cell r="G38">
            <v>275</v>
          </cell>
          <cell r="H38">
            <v>323</v>
          </cell>
          <cell r="I38">
            <v>0</v>
          </cell>
          <cell r="J38">
            <v>0</v>
          </cell>
          <cell r="K38">
            <v>1</v>
          </cell>
          <cell r="L38">
            <v>7</v>
          </cell>
          <cell r="M38">
            <v>2</v>
          </cell>
          <cell r="N38">
            <v>41</v>
          </cell>
          <cell r="O38">
            <v>3</v>
          </cell>
          <cell r="P38">
            <v>3</v>
          </cell>
          <cell r="Q38">
            <v>3</v>
          </cell>
          <cell r="R38">
            <v>6</v>
          </cell>
        </row>
      </sheetData>
      <sheetData sheetId="3">
        <row r="37">
          <cell r="E37">
            <v>372</v>
          </cell>
          <cell r="F37">
            <v>239</v>
          </cell>
          <cell r="G37">
            <v>275</v>
          </cell>
          <cell r="H37">
            <v>138</v>
          </cell>
          <cell r="I37">
            <v>0</v>
          </cell>
          <cell r="J37">
            <v>0</v>
          </cell>
          <cell r="K37">
            <v>0</v>
          </cell>
          <cell r="L37">
            <v>7</v>
          </cell>
          <cell r="M37">
            <v>-1</v>
          </cell>
          <cell r="N37">
            <v>-22</v>
          </cell>
          <cell r="O37">
            <v>3</v>
          </cell>
          <cell r="P37">
            <v>2</v>
          </cell>
          <cell r="Q37">
            <v>0</v>
          </cell>
          <cell r="R37">
            <v>-39</v>
          </cell>
        </row>
        <row r="38">
          <cell r="E38">
            <v>-394</v>
          </cell>
          <cell r="F38">
            <v>-239</v>
          </cell>
          <cell r="G38">
            <v>-275</v>
          </cell>
          <cell r="H38">
            <v>-138</v>
          </cell>
          <cell r="I38">
            <v>0</v>
          </cell>
          <cell r="J38">
            <v>0</v>
          </cell>
          <cell r="K38">
            <v>12</v>
          </cell>
          <cell r="L38">
            <v>-7</v>
          </cell>
          <cell r="M38">
            <v>1</v>
          </cell>
          <cell r="N38">
            <v>22</v>
          </cell>
          <cell r="O38">
            <v>-3</v>
          </cell>
          <cell r="P38">
            <v>-2</v>
          </cell>
          <cell r="Q38">
            <v>10</v>
          </cell>
          <cell r="R38">
            <v>39</v>
          </cell>
        </row>
      </sheetData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</sheetNames>
    <sheetDataSet>
      <sheetData sheetId="0"/>
      <sheetData sheetId="1">
        <row r="34">
          <cell r="D34">
            <v>15129</v>
          </cell>
          <cell r="E34">
            <v>8182</v>
          </cell>
          <cell r="F34">
            <v>8182</v>
          </cell>
          <cell r="G34">
            <v>2454</v>
          </cell>
          <cell r="H34">
            <v>818</v>
          </cell>
          <cell r="I34">
            <v>818</v>
          </cell>
          <cell r="J34">
            <v>818</v>
          </cell>
        </row>
        <row r="35">
          <cell r="D35">
            <v>3831</v>
          </cell>
          <cell r="E35">
            <v>970</v>
          </cell>
          <cell r="F35">
            <v>970</v>
          </cell>
          <cell r="G35">
            <v>291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/>
      <sheetData sheetId="3">
        <row r="34">
          <cell r="D34">
            <v>251</v>
          </cell>
          <cell r="E34">
            <v>-867</v>
          </cell>
          <cell r="F34">
            <v>261</v>
          </cell>
          <cell r="G34">
            <v>148</v>
          </cell>
          <cell r="H34">
            <v>4</v>
          </cell>
          <cell r="I34">
            <v>47</v>
          </cell>
          <cell r="J34">
            <v>59</v>
          </cell>
        </row>
        <row r="35">
          <cell r="D35">
            <v>-251</v>
          </cell>
          <cell r="E35">
            <v>867</v>
          </cell>
          <cell r="F35">
            <v>-261</v>
          </cell>
          <cell r="G35">
            <v>-148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2"/>
  <sheetViews>
    <sheetView zoomScaleNormal="100" workbookViewId="0">
      <pane xSplit="4" ySplit="4" topLeftCell="E5" activePane="bottomRight" state="frozen"/>
      <selection activeCell="F306" sqref="F306"/>
      <selection pane="topRight" activeCell="F306" sqref="F306"/>
      <selection pane="bottomLeft" activeCell="F306" sqref="F306"/>
      <selection pane="bottomRight" activeCell="N86" sqref="N86"/>
    </sheetView>
  </sheetViews>
  <sheetFormatPr defaultRowHeight="12.75" x14ac:dyDescent="0.2"/>
  <cols>
    <col min="1" max="1" width="8.42578125" style="734" customWidth="1"/>
    <col min="2" max="2" width="11.5703125" style="734" customWidth="1"/>
    <col min="3" max="3" width="35.7109375" style="734" customWidth="1"/>
    <col min="4" max="4" width="9.140625" style="734" customWidth="1"/>
    <col min="5" max="5" width="11.5703125" style="734" customWidth="1"/>
    <col min="6" max="6" width="11.85546875" style="734" customWidth="1"/>
    <col min="7" max="9" width="11.7109375" style="734" customWidth="1"/>
    <col min="10" max="10" width="19.28515625" style="734" customWidth="1"/>
    <col min="11" max="11" width="8.140625" style="761" customWidth="1"/>
    <col min="12" max="12" width="12.140625" style="761" customWidth="1"/>
    <col min="13" max="13" width="11.140625" style="734" customWidth="1"/>
    <col min="14" max="14" width="14.5703125" style="734" customWidth="1"/>
    <col min="15" max="15" width="9.140625" style="744"/>
    <col min="16" max="241" width="9.140625" style="734"/>
    <col min="242" max="242" width="5.5703125" style="734" customWidth="1"/>
    <col min="243" max="243" width="11.5703125" style="734" customWidth="1"/>
    <col min="244" max="244" width="35.7109375" style="734" customWidth="1"/>
    <col min="245" max="245" width="9.140625" style="734" customWidth="1"/>
    <col min="246" max="246" width="11.5703125" style="734" customWidth="1"/>
    <col min="247" max="247" width="15.7109375" style="734" customWidth="1"/>
    <col min="248" max="248" width="13.42578125" style="734" customWidth="1"/>
    <col min="249" max="249" width="19.140625" style="734" customWidth="1"/>
    <col min="250" max="250" width="8.140625" style="734" customWidth="1"/>
    <col min="251" max="251" width="12.140625" style="734" customWidth="1"/>
    <col min="252" max="252" width="14.42578125" style="734" customWidth="1"/>
    <col min="253" max="253" width="13.5703125" style="734" customWidth="1"/>
    <col min="254" max="497" width="9.140625" style="734"/>
    <col min="498" max="498" width="5.5703125" style="734" customWidth="1"/>
    <col min="499" max="499" width="11.5703125" style="734" customWidth="1"/>
    <col min="500" max="500" width="35.7109375" style="734" customWidth="1"/>
    <col min="501" max="501" width="9.140625" style="734" customWidth="1"/>
    <col min="502" max="502" width="11.5703125" style="734" customWidth="1"/>
    <col min="503" max="503" width="15.7109375" style="734" customWidth="1"/>
    <col min="504" max="504" width="13.42578125" style="734" customWidth="1"/>
    <col min="505" max="505" width="19.140625" style="734" customWidth="1"/>
    <col min="506" max="506" width="8.140625" style="734" customWidth="1"/>
    <col min="507" max="507" width="12.140625" style="734" customWidth="1"/>
    <col min="508" max="508" width="14.42578125" style="734" customWidth="1"/>
    <col min="509" max="509" width="13.5703125" style="734" customWidth="1"/>
    <col min="510" max="753" width="9.140625" style="734"/>
    <col min="754" max="754" width="5.5703125" style="734" customWidth="1"/>
    <col min="755" max="755" width="11.5703125" style="734" customWidth="1"/>
    <col min="756" max="756" width="35.7109375" style="734" customWidth="1"/>
    <col min="757" max="757" width="9.140625" style="734" customWidth="1"/>
    <col min="758" max="758" width="11.5703125" style="734" customWidth="1"/>
    <col min="759" max="759" width="15.7109375" style="734" customWidth="1"/>
    <col min="760" max="760" width="13.42578125" style="734" customWidth="1"/>
    <col min="761" max="761" width="19.140625" style="734" customWidth="1"/>
    <col min="762" max="762" width="8.140625" style="734" customWidth="1"/>
    <col min="763" max="763" width="12.140625" style="734" customWidth="1"/>
    <col min="764" max="764" width="14.42578125" style="734" customWidth="1"/>
    <col min="765" max="765" width="13.5703125" style="734" customWidth="1"/>
    <col min="766" max="1009" width="9.140625" style="734"/>
    <col min="1010" max="1010" width="5.5703125" style="734" customWidth="1"/>
    <col min="1011" max="1011" width="11.5703125" style="734" customWidth="1"/>
    <col min="1012" max="1012" width="35.7109375" style="734" customWidth="1"/>
    <col min="1013" max="1013" width="9.140625" style="734" customWidth="1"/>
    <col min="1014" max="1014" width="11.5703125" style="734" customWidth="1"/>
    <col min="1015" max="1015" width="15.7109375" style="734" customWidth="1"/>
    <col min="1016" max="1016" width="13.42578125" style="734" customWidth="1"/>
    <col min="1017" max="1017" width="19.140625" style="734" customWidth="1"/>
    <col min="1018" max="1018" width="8.140625" style="734" customWidth="1"/>
    <col min="1019" max="1019" width="12.140625" style="734" customWidth="1"/>
    <col min="1020" max="1020" width="14.42578125" style="734" customWidth="1"/>
    <col min="1021" max="1021" width="13.5703125" style="734" customWidth="1"/>
    <col min="1022" max="1265" width="9.140625" style="734"/>
    <col min="1266" max="1266" width="5.5703125" style="734" customWidth="1"/>
    <col min="1267" max="1267" width="11.5703125" style="734" customWidth="1"/>
    <col min="1268" max="1268" width="35.7109375" style="734" customWidth="1"/>
    <col min="1269" max="1269" width="9.140625" style="734" customWidth="1"/>
    <col min="1270" max="1270" width="11.5703125" style="734" customWidth="1"/>
    <col min="1271" max="1271" width="15.7109375" style="734" customWidth="1"/>
    <col min="1272" max="1272" width="13.42578125" style="734" customWidth="1"/>
    <col min="1273" max="1273" width="19.140625" style="734" customWidth="1"/>
    <col min="1274" max="1274" width="8.140625" style="734" customWidth="1"/>
    <col min="1275" max="1275" width="12.140625" style="734" customWidth="1"/>
    <col min="1276" max="1276" width="14.42578125" style="734" customWidth="1"/>
    <col min="1277" max="1277" width="13.5703125" style="734" customWidth="1"/>
    <col min="1278" max="1521" width="9.140625" style="734"/>
    <col min="1522" max="1522" width="5.5703125" style="734" customWidth="1"/>
    <col min="1523" max="1523" width="11.5703125" style="734" customWidth="1"/>
    <col min="1524" max="1524" width="35.7109375" style="734" customWidth="1"/>
    <col min="1525" max="1525" width="9.140625" style="734" customWidth="1"/>
    <col min="1526" max="1526" width="11.5703125" style="734" customWidth="1"/>
    <col min="1527" max="1527" width="15.7109375" style="734" customWidth="1"/>
    <col min="1528" max="1528" width="13.42578125" style="734" customWidth="1"/>
    <col min="1529" max="1529" width="19.140625" style="734" customWidth="1"/>
    <col min="1530" max="1530" width="8.140625" style="734" customWidth="1"/>
    <col min="1531" max="1531" width="12.140625" style="734" customWidth="1"/>
    <col min="1532" max="1532" width="14.42578125" style="734" customWidth="1"/>
    <col min="1533" max="1533" width="13.5703125" style="734" customWidth="1"/>
    <col min="1534" max="1777" width="9.140625" style="734"/>
    <col min="1778" max="1778" width="5.5703125" style="734" customWidth="1"/>
    <col min="1779" max="1779" width="11.5703125" style="734" customWidth="1"/>
    <col min="1780" max="1780" width="35.7109375" style="734" customWidth="1"/>
    <col min="1781" max="1781" width="9.140625" style="734" customWidth="1"/>
    <col min="1782" max="1782" width="11.5703125" style="734" customWidth="1"/>
    <col min="1783" max="1783" width="15.7109375" style="734" customWidth="1"/>
    <col min="1784" max="1784" width="13.42578125" style="734" customWidth="1"/>
    <col min="1785" max="1785" width="19.140625" style="734" customWidth="1"/>
    <col min="1786" max="1786" width="8.140625" style="734" customWidth="1"/>
    <col min="1787" max="1787" width="12.140625" style="734" customWidth="1"/>
    <col min="1788" max="1788" width="14.42578125" style="734" customWidth="1"/>
    <col min="1789" max="1789" width="13.5703125" style="734" customWidth="1"/>
    <col min="1790" max="2033" width="9.140625" style="734"/>
    <col min="2034" max="2034" width="5.5703125" style="734" customWidth="1"/>
    <col min="2035" max="2035" width="11.5703125" style="734" customWidth="1"/>
    <col min="2036" max="2036" width="35.7109375" style="734" customWidth="1"/>
    <col min="2037" max="2037" width="9.140625" style="734" customWidth="1"/>
    <col min="2038" max="2038" width="11.5703125" style="734" customWidth="1"/>
    <col min="2039" max="2039" width="15.7109375" style="734" customWidth="1"/>
    <col min="2040" max="2040" width="13.42578125" style="734" customWidth="1"/>
    <col min="2041" max="2041" width="19.140625" style="734" customWidth="1"/>
    <col min="2042" max="2042" width="8.140625" style="734" customWidth="1"/>
    <col min="2043" max="2043" width="12.140625" style="734" customWidth="1"/>
    <col min="2044" max="2044" width="14.42578125" style="734" customWidth="1"/>
    <col min="2045" max="2045" width="13.5703125" style="734" customWidth="1"/>
    <col min="2046" max="2289" width="9.140625" style="734"/>
    <col min="2290" max="2290" width="5.5703125" style="734" customWidth="1"/>
    <col min="2291" max="2291" width="11.5703125" style="734" customWidth="1"/>
    <col min="2292" max="2292" width="35.7109375" style="734" customWidth="1"/>
    <col min="2293" max="2293" width="9.140625" style="734" customWidth="1"/>
    <col min="2294" max="2294" width="11.5703125" style="734" customWidth="1"/>
    <col min="2295" max="2295" width="15.7109375" style="734" customWidth="1"/>
    <col min="2296" max="2296" width="13.42578125" style="734" customWidth="1"/>
    <col min="2297" max="2297" width="19.140625" style="734" customWidth="1"/>
    <col min="2298" max="2298" width="8.140625" style="734" customWidth="1"/>
    <col min="2299" max="2299" width="12.140625" style="734" customWidth="1"/>
    <col min="2300" max="2300" width="14.42578125" style="734" customWidth="1"/>
    <col min="2301" max="2301" width="13.5703125" style="734" customWidth="1"/>
    <col min="2302" max="2545" width="9.140625" style="734"/>
    <col min="2546" max="2546" width="5.5703125" style="734" customWidth="1"/>
    <col min="2547" max="2547" width="11.5703125" style="734" customWidth="1"/>
    <col min="2548" max="2548" width="35.7109375" style="734" customWidth="1"/>
    <col min="2549" max="2549" width="9.140625" style="734" customWidth="1"/>
    <col min="2550" max="2550" width="11.5703125" style="734" customWidth="1"/>
    <col min="2551" max="2551" width="15.7109375" style="734" customWidth="1"/>
    <col min="2552" max="2552" width="13.42578125" style="734" customWidth="1"/>
    <col min="2553" max="2553" width="19.140625" style="734" customWidth="1"/>
    <col min="2554" max="2554" width="8.140625" style="734" customWidth="1"/>
    <col min="2555" max="2555" width="12.140625" style="734" customWidth="1"/>
    <col min="2556" max="2556" width="14.42578125" style="734" customWidth="1"/>
    <col min="2557" max="2557" width="13.5703125" style="734" customWidth="1"/>
    <col min="2558" max="2801" width="9.140625" style="734"/>
    <col min="2802" max="2802" width="5.5703125" style="734" customWidth="1"/>
    <col min="2803" max="2803" width="11.5703125" style="734" customWidth="1"/>
    <col min="2804" max="2804" width="35.7109375" style="734" customWidth="1"/>
    <col min="2805" max="2805" width="9.140625" style="734" customWidth="1"/>
    <col min="2806" max="2806" width="11.5703125" style="734" customWidth="1"/>
    <col min="2807" max="2807" width="15.7109375" style="734" customWidth="1"/>
    <col min="2808" max="2808" width="13.42578125" style="734" customWidth="1"/>
    <col min="2809" max="2809" width="19.140625" style="734" customWidth="1"/>
    <col min="2810" max="2810" width="8.140625" style="734" customWidth="1"/>
    <col min="2811" max="2811" width="12.140625" style="734" customWidth="1"/>
    <col min="2812" max="2812" width="14.42578125" style="734" customWidth="1"/>
    <col min="2813" max="2813" width="13.5703125" style="734" customWidth="1"/>
    <col min="2814" max="3057" width="9.140625" style="734"/>
    <col min="3058" max="3058" width="5.5703125" style="734" customWidth="1"/>
    <col min="3059" max="3059" width="11.5703125" style="734" customWidth="1"/>
    <col min="3060" max="3060" width="35.7109375" style="734" customWidth="1"/>
    <col min="3061" max="3061" width="9.140625" style="734" customWidth="1"/>
    <col min="3062" max="3062" width="11.5703125" style="734" customWidth="1"/>
    <col min="3063" max="3063" width="15.7109375" style="734" customWidth="1"/>
    <col min="3064" max="3064" width="13.42578125" style="734" customWidth="1"/>
    <col min="3065" max="3065" width="19.140625" style="734" customWidth="1"/>
    <col min="3066" max="3066" width="8.140625" style="734" customWidth="1"/>
    <col min="3067" max="3067" width="12.140625" style="734" customWidth="1"/>
    <col min="3068" max="3068" width="14.42578125" style="734" customWidth="1"/>
    <col min="3069" max="3069" width="13.5703125" style="734" customWidth="1"/>
    <col min="3070" max="3313" width="9.140625" style="734"/>
    <col min="3314" max="3314" width="5.5703125" style="734" customWidth="1"/>
    <col min="3315" max="3315" width="11.5703125" style="734" customWidth="1"/>
    <col min="3316" max="3316" width="35.7109375" style="734" customWidth="1"/>
    <col min="3317" max="3317" width="9.140625" style="734" customWidth="1"/>
    <col min="3318" max="3318" width="11.5703125" style="734" customWidth="1"/>
    <col min="3319" max="3319" width="15.7109375" style="734" customWidth="1"/>
    <col min="3320" max="3320" width="13.42578125" style="734" customWidth="1"/>
    <col min="3321" max="3321" width="19.140625" style="734" customWidth="1"/>
    <col min="3322" max="3322" width="8.140625" style="734" customWidth="1"/>
    <col min="3323" max="3323" width="12.140625" style="734" customWidth="1"/>
    <col min="3324" max="3324" width="14.42578125" style="734" customWidth="1"/>
    <col min="3325" max="3325" width="13.5703125" style="734" customWidth="1"/>
    <col min="3326" max="3569" width="9.140625" style="734"/>
    <col min="3570" max="3570" width="5.5703125" style="734" customWidth="1"/>
    <col min="3571" max="3571" width="11.5703125" style="734" customWidth="1"/>
    <col min="3572" max="3572" width="35.7109375" style="734" customWidth="1"/>
    <col min="3573" max="3573" width="9.140625" style="734" customWidth="1"/>
    <col min="3574" max="3574" width="11.5703125" style="734" customWidth="1"/>
    <col min="3575" max="3575" width="15.7109375" style="734" customWidth="1"/>
    <col min="3576" max="3576" width="13.42578125" style="734" customWidth="1"/>
    <col min="3577" max="3577" width="19.140625" style="734" customWidth="1"/>
    <col min="3578" max="3578" width="8.140625" style="734" customWidth="1"/>
    <col min="3579" max="3579" width="12.140625" style="734" customWidth="1"/>
    <col min="3580" max="3580" width="14.42578125" style="734" customWidth="1"/>
    <col min="3581" max="3581" width="13.5703125" style="734" customWidth="1"/>
    <col min="3582" max="3825" width="9.140625" style="734"/>
    <col min="3826" max="3826" width="5.5703125" style="734" customWidth="1"/>
    <col min="3827" max="3827" width="11.5703125" style="734" customWidth="1"/>
    <col min="3828" max="3828" width="35.7109375" style="734" customWidth="1"/>
    <col min="3829" max="3829" width="9.140625" style="734" customWidth="1"/>
    <col min="3830" max="3830" width="11.5703125" style="734" customWidth="1"/>
    <col min="3831" max="3831" width="15.7109375" style="734" customWidth="1"/>
    <col min="3832" max="3832" width="13.42578125" style="734" customWidth="1"/>
    <col min="3833" max="3833" width="19.140625" style="734" customWidth="1"/>
    <col min="3834" max="3834" width="8.140625" style="734" customWidth="1"/>
    <col min="3835" max="3835" width="12.140625" style="734" customWidth="1"/>
    <col min="3836" max="3836" width="14.42578125" style="734" customWidth="1"/>
    <col min="3837" max="3837" width="13.5703125" style="734" customWidth="1"/>
    <col min="3838" max="4081" width="9.140625" style="734"/>
    <col min="4082" max="4082" width="5.5703125" style="734" customWidth="1"/>
    <col min="4083" max="4083" width="11.5703125" style="734" customWidth="1"/>
    <col min="4084" max="4084" width="35.7109375" style="734" customWidth="1"/>
    <col min="4085" max="4085" width="9.140625" style="734" customWidth="1"/>
    <col min="4086" max="4086" width="11.5703125" style="734" customWidth="1"/>
    <col min="4087" max="4087" width="15.7109375" style="734" customWidth="1"/>
    <col min="4088" max="4088" width="13.42578125" style="734" customWidth="1"/>
    <col min="4089" max="4089" width="19.140625" style="734" customWidth="1"/>
    <col min="4090" max="4090" width="8.140625" style="734" customWidth="1"/>
    <col min="4091" max="4091" width="12.140625" style="734" customWidth="1"/>
    <col min="4092" max="4092" width="14.42578125" style="734" customWidth="1"/>
    <col min="4093" max="4093" width="13.5703125" style="734" customWidth="1"/>
    <col min="4094" max="4337" width="9.140625" style="734"/>
    <col min="4338" max="4338" width="5.5703125" style="734" customWidth="1"/>
    <col min="4339" max="4339" width="11.5703125" style="734" customWidth="1"/>
    <col min="4340" max="4340" width="35.7109375" style="734" customWidth="1"/>
    <col min="4341" max="4341" width="9.140625" style="734" customWidth="1"/>
    <col min="4342" max="4342" width="11.5703125" style="734" customWidth="1"/>
    <col min="4343" max="4343" width="15.7109375" style="734" customWidth="1"/>
    <col min="4344" max="4344" width="13.42578125" style="734" customWidth="1"/>
    <col min="4345" max="4345" width="19.140625" style="734" customWidth="1"/>
    <col min="4346" max="4346" width="8.140625" style="734" customWidth="1"/>
    <col min="4347" max="4347" width="12.140625" style="734" customWidth="1"/>
    <col min="4348" max="4348" width="14.42578125" style="734" customWidth="1"/>
    <col min="4349" max="4349" width="13.5703125" style="734" customWidth="1"/>
    <col min="4350" max="4593" width="9.140625" style="734"/>
    <col min="4594" max="4594" width="5.5703125" style="734" customWidth="1"/>
    <col min="4595" max="4595" width="11.5703125" style="734" customWidth="1"/>
    <col min="4596" max="4596" width="35.7109375" style="734" customWidth="1"/>
    <col min="4597" max="4597" width="9.140625" style="734" customWidth="1"/>
    <col min="4598" max="4598" width="11.5703125" style="734" customWidth="1"/>
    <col min="4599" max="4599" width="15.7109375" style="734" customWidth="1"/>
    <col min="4600" max="4600" width="13.42578125" style="734" customWidth="1"/>
    <col min="4601" max="4601" width="19.140625" style="734" customWidth="1"/>
    <col min="4602" max="4602" width="8.140625" style="734" customWidth="1"/>
    <col min="4603" max="4603" width="12.140625" style="734" customWidth="1"/>
    <col min="4604" max="4604" width="14.42578125" style="734" customWidth="1"/>
    <col min="4605" max="4605" width="13.5703125" style="734" customWidth="1"/>
    <col min="4606" max="4849" width="9.140625" style="734"/>
    <col min="4850" max="4850" width="5.5703125" style="734" customWidth="1"/>
    <col min="4851" max="4851" width="11.5703125" style="734" customWidth="1"/>
    <col min="4852" max="4852" width="35.7109375" style="734" customWidth="1"/>
    <col min="4853" max="4853" width="9.140625" style="734" customWidth="1"/>
    <col min="4854" max="4854" width="11.5703125" style="734" customWidth="1"/>
    <col min="4855" max="4855" width="15.7109375" style="734" customWidth="1"/>
    <col min="4856" max="4856" width="13.42578125" style="734" customWidth="1"/>
    <col min="4857" max="4857" width="19.140625" style="734" customWidth="1"/>
    <col min="4858" max="4858" width="8.140625" style="734" customWidth="1"/>
    <col min="4859" max="4859" width="12.140625" style="734" customWidth="1"/>
    <col min="4860" max="4860" width="14.42578125" style="734" customWidth="1"/>
    <col min="4861" max="4861" width="13.5703125" style="734" customWidth="1"/>
    <col min="4862" max="5105" width="9.140625" style="734"/>
    <col min="5106" max="5106" width="5.5703125" style="734" customWidth="1"/>
    <col min="5107" max="5107" width="11.5703125" style="734" customWidth="1"/>
    <col min="5108" max="5108" width="35.7109375" style="734" customWidth="1"/>
    <col min="5109" max="5109" width="9.140625" style="734" customWidth="1"/>
    <col min="5110" max="5110" width="11.5703125" style="734" customWidth="1"/>
    <col min="5111" max="5111" width="15.7109375" style="734" customWidth="1"/>
    <col min="5112" max="5112" width="13.42578125" style="734" customWidth="1"/>
    <col min="5113" max="5113" width="19.140625" style="734" customWidth="1"/>
    <col min="5114" max="5114" width="8.140625" style="734" customWidth="1"/>
    <col min="5115" max="5115" width="12.140625" style="734" customWidth="1"/>
    <col min="5116" max="5116" width="14.42578125" style="734" customWidth="1"/>
    <col min="5117" max="5117" width="13.5703125" style="734" customWidth="1"/>
    <col min="5118" max="5361" width="9.140625" style="734"/>
    <col min="5362" max="5362" width="5.5703125" style="734" customWidth="1"/>
    <col min="5363" max="5363" width="11.5703125" style="734" customWidth="1"/>
    <col min="5364" max="5364" width="35.7109375" style="734" customWidth="1"/>
    <col min="5365" max="5365" width="9.140625" style="734" customWidth="1"/>
    <col min="5366" max="5366" width="11.5703125" style="734" customWidth="1"/>
    <col min="5367" max="5367" width="15.7109375" style="734" customWidth="1"/>
    <col min="5368" max="5368" width="13.42578125" style="734" customWidth="1"/>
    <col min="5369" max="5369" width="19.140625" style="734" customWidth="1"/>
    <col min="5370" max="5370" width="8.140625" style="734" customWidth="1"/>
    <col min="5371" max="5371" width="12.140625" style="734" customWidth="1"/>
    <col min="5372" max="5372" width="14.42578125" style="734" customWidth="1"/>
    <col min="5373" max="5373" width="13.5703125" style="734" customWidth="1"/>
    <col min="5374" max="5617" width="9.140625" style="734"/>
    <col min="5618" max="5618" width="5.5703125" style="734" customWidth="1"/>
    <col min="5619" max="5619" width="11.5703125" style="734" customWidth="1"/>
    <col min="5620" max="5620" width="35.7109375" style="734" customWidth="1"/>
    <col min="5621" max="5621" width="9.140625" style="734" customWidth="1"/>
    <col min="5622" max="5622" width="11.5703125" style="734" customWidth="1"/>
    <col min="5623" max="5623" width="15.7109375" style="734" customWidth="1"/>
    <col min="5624" max="5624" width="13.42578125" style="734" customWidth="1"/>
    <col min="5625" max="5625" width="19.140625" style="734" customWidth="1"/>
    <col min="5626" max="5626" width="8.140625" style="734" customWidth="1"/>
    <col min="5627" max="5627" width="12.140625" style="734" customWidth="1"/>
    <col min="5628" max="5628" width="14.42578125" style="734" customWidth="1"/>
    <col min="5629" max="5629" width="13.5703125" style="734" customWidth="1"/>
    <col min="5630" max="5873" width="9.140625" style="734"/>
    <col min="5874" max="5874" width="5.5703125" style="734" customWidth="1"/>
    <col min="5875" max="5875" width="11.5703125" style="734" customWidth="1"/>
    <col min="5876" max="5876" width="35.7109375" style="734" customWidth="1"/>
    <col min="5877" max="5877" width="9.140625" style="734" customWidth="1"/>
    <col min="5878" max="5878" width="11.5703125" style="734" customWidth="1"/>
    <col min="5879" max="5879" width="15.7109375" style="734" customWidth="1"/>
    <col min="5880" max="5880" width="13.42578125" style="734" customWidth="1"/>
    <col min="5881" max="5881" width="19.140625" style="734" customWidth="1"/>
    <col min="5882" max="5882" width="8.140625" style="734" customWidth="1"/>
    <col min="5883" max="5883" width="12.140625" style="734" customWidth="1"/>
    <col min="5884" max="5884" width="14.42578125" style="734" customWidth="1"/>
    <col min="5885" max="5885" width="13.5703125" style="734" customWidth="1"/>
    <col min="5886" max="6129" width="9.140625" style="734"/>
    <col min="6130" max="6130" width="5.5703125" style="734" customWidth="1"/>
    <col min="6131" max="6131" width="11.5703125" style="734" customWidth="1"/>
    <col min="6132" max="6132" width="35.7109375" style="734" customWidth="1"/>
    <col min="6133" max="6133" width="9.140625" style="734" customWidth="1"/>
    <col min="6134" max="6134" width="11.5703125" style="734" customWidth="1"/>
    <col min="6135" max="6135" width="15.7109375" style="734" customWidth="1"/>
    <col min="6136" max="6136" width="13.42578125" style="734" customWidth="1"/>
    <col min="6137" max="6137" width="19.140625" style="734" customWidth="1"/>
    <col min="6138" max="6138" width="8.140625" style="734" customWidth="1"/>
    <col min="6139" max="6139" width="12.140625" style="734" customWidth="1"/>
    <col min="6140" max="6140" width="14.42578125" style="734" customWidth="1"/>
    <col min="6141" max="6141" width="13.5703125" style="734" customWidth="1"/>
    <col min="6142" max="6385" width="9.140625" style="734"/>
    <col min="6386" max="6386" width="5.5703125" style="734" customWidth="1"/>
    <col min="6387" max="6387" width="11.5703125" style="734" customWidth="1"/>
    <col min="6388" max="6388" width="35.7109375" style="734" customWidth="1"/>
    <col min="6389" max="6389" width="9.140625" style="734" customWidth="1"/>
    <col min="6390" max="6390" width="11.5703125" style="734" customWidth="1"/>
    <col min="6391" max="6391" width="15.7109375" style="734" customWidth="1"/>
    <col min="6392" max="6392" width="13.42578125" style="734" customWidth="1"/>
    <col min="6393" max="6393" width="19.140625" style="734" customWidth="1"/>
    <col min="6394" max="6394" width="8.140625" style="734" customWidth="1"/>
    <col min="6395" max="6395" width="12.140625" style="734" customWidth="1"/>
    <col min="6396" max="6396" width="14.42578125" style="734" customWidth="1"/>
    <col min="6397" max="6397" width="13.5703125" style="734" customWidth="1"/>
    <col min="6398" max="6641" width="9.140625" style="734"/>
    <col min="6642" max="6642" width="5.5703125" style="734" customWidth="1"/>
    <col min="6643" max="6643" width="11.5703125" style="734" customWidth="1"/>
    <col min="6644" max="6644" width="35.7109375" style="734" customWidth="1"/>
    <col min="6645" max="6645" width="9.140625" style="734" customWidth="1"/>
    <col min="6646" max="6646" width="11.5703125" style="734" customWidth="1"/>
    <col min="6647" max="6647" width="15.7109375" style="734" customWidth="1"/>
    <col min="6648" max="6648" width="13.42578125" style="734" customWidth="1"/>
    <col min="6649" max="6649" width="19.140625" style="734" customWidth="1"/>
    <col min="6650" max="6650" width="8.140625" style="734" customWidth="1"/>
    <col min="6651" max="6651" width="12.140625" style="734" customWidth="1"/>
    <col min="6652" max="6652" width="14.42578125" style="734" customWidth="1"/>
    <col min="6653" max="6653" width="13.5703125" style="734" customWidth="1"/>
    <col min="6654" max="6897" width="9.140625" style="734"/>
    <col min="6898" max="6898" width="5.5703125" style="734" customWidth="1"/>
    <col min="6899" max="6899" width="11.5703125" style="734" customWidth="1"/>
    <col min="6900" max="6900" width="35.7109375" style="734" customWidth="1"/>
    <col min="6901" max="6901" width="9.140625" style="734" customWidth="1"/>
    <col min="6902" max="6902" width="11.5703125" style="734" customWidth="1"/>
    <col min="6903" max="6903" width="15.7109375" style="734" customWidth="1"/>
    <col min="6904" max="6904" width="13.42578125" style="734" customWidth="1"/>
    <col min="6905" max="6905" width="19.140625" style="734" customWidth="1"/>
    <col min="6906" max="6906" width="8.140625" style="734" customWidth="1"/>
    <col min="6907" max="6907" width="12.140625" style="734" customWidth="1"/>
    <col min="6908" max="6908" width="14.42578125" style="734" customWidth="1"/>
    <col min="6909" max="6909" width="13.5703125" style="734" customWidth="1"/>
    <col min="6910" max="7153" width="9.140625" style="734"/>
    <col min="7154" max="7154" width="5.5703125" style="734" customWidth="1"/>
    <col min="7155" max="7155" width="11.5703125" style="734" customWidth="1"/>
    <col min="7156" max="7156" width="35.7109375" style="734" customWidth="1"/>
    <col min="7157" max="7157" width="9.140625" style="734" customWidth="1"/>
    <col min="7158" max="7158" width="11.5703125" style="734" customWidth="1"/>
    <col min="7159" max="7159" width="15.7109375" style="734" customWidth="1"/>
    <col min="7160" max="7160" width="13.42578125" style="734" customWidth="1"/>
    <col min="7161" max="7161" width="19.140625" style="734" customWidth="1"/>
    <col min="7162" max="7162" width="8.140625" style="734" customWidth="1"/>
    <col min="7163" max="7163" width="12.140625" style="734" customWidth="1"/>
    <col min="7164" max="7164" width="14.42578125" style="734" customWidth="1"/>
    <col min="7165" max="7165" width="13.5703125" style="734" customWidth="1"/>
    <col min="7166" max="7409" width="9.140625" style="734"/>
    <col min="7410" max="7410" width="5.5703125" style="734" customWidth="1"/>
    <col min="7411" max="7411" width="11.5703125" style="734" customWidth="1"/>
    <col min="7412" max="7412" width="35.7109375" style="734" customWidth="1"/>
    <col min="7413" max="7413" width="9.140625" style="734" customWidth="1"/>
    <col min="7414" max="7414" width="11.5703125" style="734" customWidth="1"/>
    <col min="7415" max="7415" width="15.7109375" style="734" customWidth="1"/>
    <col min="7416" max="7416" width="13.42578125" style="734" customWidth="1"/>
    <col min="7417" max="7417" width="19.140625" style="734" customWidth="1"/>
    <col min="7418" max="7418" width="8.140625" style="734" customWidth="1"/>
    <col min="7419" max="7419" width="12.140625" style="734" customWidth="1"/>
    <col min="7420" max="7420" width="14.42578125" style="734" customWidth="1"/>
    <col min="7421" max="7421" width="13.5703125" style="734" customWidth="1"/>
    <col min="7422" max="7665" width="9.140625" style="734"/>
    <col min="7666" max="7666" width="5.5703125" style="734" customWidth="1"/>
    <col min="7667" max="7667" width="11.5703125" style="734" customWidth="1"/>
    <col min="7668" max="7668" width="35.7109375" style="734" customWidth="1"/>
    <col min="7669" max="7669" width="9.140625" style="734" customWidth="1"/>
    <col min="7670" max="7670" width="11.5703125" style="734" customWidth="1"/>
    <col min="7671" max="7671" width="15.7109375" style="734" customWidth="1"/>
    <col min="7672" max="7672" width="13.42578125" style="734" customWidth="1"/>
    <col min="7673" max="7673" width="19.140625" style="734" customWidth="1"/>
    <col min="7674" max="7674" width="8.140625" style="734" customWidth="1"/>
    <col min="7675" max="7675" width="12.140625" style="734" customWidth="1"/>
    <col min="7676" max="7676" width="14.42578125" style="734" customWidth="1"/>
    <col min="7677" max="7677" width="13.5703125" style="734" customWidth="1"/>
    <col min="7678" max="7921" width="9.140625" style="734"/>
    <col min="7922" max="7922" width="5.5703125" style="734" customWidth="1"/>
    <col min="7923" max="7923" width="11.5703125" style="734" customWidth="1"/>
    <col min="7924" max="7924" width="35.7109375" style="734" customWidth="1"/>
    <col min="7925" max="7925" width="9.140625" style="734" customWidth="1"/>
    <col min="7926" max="7926" width="11.5703125" style="734" customWidth="1"/>
    <col min="7927" max="7927" width="15.7109375" style="734" customWidth="1"/>
    <col min="7928" max="7928" width="13.42578125" style="734" customWidth="1"/>
    <col min="7929" max="7929" width="19.140625" style="734" customWidth="1"/>
    <col min="7930" max="7930" width="8.140625" style="734" customWidth="1"/>
    <col min="7931" max="7931" width="12.140625" style="734" customWidth="1"/>
    <col min="7932" max="7932" width="14.42578125" style="734" customWidth="1"/>
    <col min="7933" max="7933" width="13.5703125" style="734" customWidth="1"/>
    <col min="7934" max="8177" width="9.140625" style="734"/>
    <col min="8178" max="8178" width="5.5703125" style="734" customWidth="1"/>
    <col min="8179" max="8179" width="11.5703125" style="734" customWidth="1"/>
    <col min="8180" max="8180" width="35.7109375" style="734" customWidth="1"/>
    <col min="8181" max="8181" width="9.140625" style="734" customWidth="1"/>
    <col min="8182" max="8182" width="11.5703125" style="734" customWidth="1"/>
    <col min="8183" max="8183" width="15.7109375" style="734" customWidth="1"/>
    <col min="8184" max="8184" width="13.42578125" style="734" customWidth="1"/>
    <col min="8185" max="8185" width="19.140625" style="734" customWidth="1"/>
    <col min="8186" max="8186" width="8.140625" style="734" customWidth="1"/>
    <col min="8187" max="8187" width="12.140625" style="734" customWidth="1"/>
    <col min="8188" max="8188" width="14.42578125" style="734" customWidth="1"/>
    <col min="8189" max="8189" width="13.5703125" style="734" customWidth="1"/>
    <col min="8190" max="8433" width="9.140625" style="734"/>
    <col min="8434" max="8434" width="5.5703125" style="734" customWidth="1"/>
    <col min="8435" max="8435" width="11.5703125" style="734" customWidth="1"/>
    <col min="8436" max="8436" width="35.7109375" style="734" customWidth="1"/>
    <col min="8437" max="8437" width="9.140625" style="734" customWidth="1"/>
    <col min="8438" max="8438" width="11.5703125" style="734" customWidth="1"/>
    <col min="8439" max="8439" width="15.7109375" style="734" customWidth="1"/>
    <col min="8440" max="8440" width="13.42578125" style="734" customWidth="1"/>
    <col min="8441" max="8441" width="19.140625" style="734" customWidth="1"/>
    <col min="8442" max="8442" width="8.140625" style="734" customWidth="1"/>
    <col min="8443" max="8443" width="12.140625" style="734" customWidth="1"/>
    <col min="8444" max="8444" width="14.42578125" style="734" customWidth="1"/>
    <col min="8445" max="8445" width="13.5703125" style="734" customWidth="1"/>
    <col min="8446" max="8689" width="9.140625" style="734"/>
    <col min="8690" max="8690" width="5.5703125" style="734" customWidth="1"/>
    <col min="8691" max="8691" width="11.5703125" style="734" customWidth="1"/>
    <col min="8692" max="8692" width="35.7109375" style="734" customWidth="1"/>
    <col min="8693" max="8693" width="9.140625" style="734" customWidth="1"/>
    <col min="8694" max="8694" width="11.5703125" style="734" customWidth="1"/>
    <col min="8695" max="8695" width="15.7109375" style="734" customWidth="1"/>
    <col min="8696" max="8696" width="13.42578125" style="734" customWidth="1"/>
    <col min="8697" max="8697" width="19.140625" style="734" customWidth="1"/>
    <col min="8698" max="8698" width="8.140625" style="734" customWidth="1"/>
    <col min="8699" max="8699" width="12.140625" style="734" customWidth="1"/>
    <col min="8700" max="8700" width="14.42578125" style="734" customWidth="1"/>
    <col min="8701" max="8701" width="13.5703125" style="734" customWidth="1"/>
    <col min="8702" max="8945" width="9.140625" style="734"/>
    <col min="8946" max="8946" width="5.5703125" style="734" customWidth="1"/>
    <col min="8947" max="8947" width="11.5703125" style="734" customWidth="1"/>
    <col min="8948" max="8948" width="35.7109375" style="734" customWidth="1"/>
    <col min="8949" max="8949" width="9.140625" style="734" customWidth="1"/>
    <col min="8950" max="8950" width="11.5703125" style="734" customWidth="1"/>
    <col min="8951" max="8951" width="15.7109375" style="734" customWidth="1"/>
    <col min="8952" max="8952" width="13.42578125" style="734" customWidth="1"/>
    <col min="8953" max="8953" width="19.140625" style="734" customWidth="1"/>
    <col min="8954" max="8954" width="8.140625" style="734" customWidth="1"/>
    <col min="8955" max="8955" width="12.140625" style="734" customWidth="1"/>
    <col min="8956" max="8956" width="14.42578125" style="734" customWidth="1"/>
    <col min="8957" max="8957" width="13.5703125" style="734" customWidth="1"/>
    <col min="8958" max="9201" width="9.140625" style="734"/>
    <col min="9202" max="9202" width="5.5703125" style="734" customWidth="1"/>
    <col min="9203" max="9203" width="11.5703125" style="734" customWidth="1"/>
    <col min="9204" max="9204" width="35.7109375" style="734" customWidth="1"/>
    <col min="9205" max="9205" width="9.140625" style="734" customWidth="1"/>
    <col min="9206" max="9206" width="11.5703125" style="734" customWidth="1"/>
    <col min="9207" max="9207" width="15.7109375" style="734" customWidth="1"/>
    <col min="9208" max="9208" width="13.42578125" style="734" customWidth="1"/>
    <col min="9209" max="9209" width="19.140625" style="734" customWidth="1"/>
    <col min="9210" max="9210" width="8.140625" style="734" customWidth="1"/>
    <col min="9211" max="9211" width="12.140625" style="734" customWidth="1"/>
    <col min="9212" max="9212" width="14.42578125" style="734" customWidth="1"/>
    <col min="9213" max="9213" width="13.5703125" style="734" customWidth="1"/>
    <col min="9214" max="9457" width="9.140625" style="734"/>
    <col min="9458" max="9458" width="5.5703125" style="734" customWidth="1"/>
    <col min="9459" max="9459" width="11.5703125" style="734" customWidth="1"/>
    <col min="9460" max="9460" width="35.7109375" style="734" customWidth="1"/>
    <col min="9461" max="9461" width="9.140625" style="734" customWidth="1"/>
    <col min="9462" max="9462" width="11.5703125" style="734" customWidth="1"/>
    <col min="9463" max="9463" width="15.7109375" style="734" customWidth="1"/>
    <col min="9464" max="9464" width="13.42578125" style="734" customWidth="1"/>
    <col min="9465" max="9465" width="19.140625" style="734" customWidth="1"/>
    <col min="9466" max="9466" width="8.140625" style="734" customWidth="1"/>
    <col min="9467" max="9467" width="12.140625" style="734" customWidth="1"/>
    <col min="9468" max="9468" width="14.42578125" style="734" customWidth="1"/>
    <col min="9469" max="9469" width="13.5703125" style="734" customWidth="1"/>
    <col min="9470" max="9713" width="9.140625" style="734"/>
    <col min="9714" max="9714" width="5.5703125" style="734" customWidth="1"/>
    <col min="9715" max="9715" width="11.5703125" style="734" customWidth="1"/>
    <col min="9716" max="9716" width="35.7109375" style="734" customWidth="1"/>
    <col min="9717" max="9717" width="9.140625" style="734" customWidth="1"/>
    <col min="9718" max="9718" width="11.5703125" style="734" customWidth="1"/>
    <col min="9719" max="9719" width="15.7109375" style="734" customWidth="1"/>
    <col min="9720" max="9720" width="13.42578125" style="734" customWidth="1"/>
    <col min="9721" max="9721" width="19.140625" style="734" customWidth="1"/>
    <col min="9722" max="9722" width="8.140625" style="734" customWidth="1"/>
    <col min="9723" max="9723" width="12.140625" style="734" customWidth="1"/>
    <col min="9724" max="9724" width="14.42578125" style="734" customWidth="1"/>
    <col min="9725" max="9725" width="13.5703125" style="734" customWidth="1"/>
    <col min="9726" max="9969" width="9.140625" style="734"/>
    <col min="9970" max="9970" width="5.5703125" style="734" customWidth="1"/>
    <col min="9971" max="9971" width="11.5703125" style="734" customWidth="1"/>
    <col min="9972" max="9972" width="35.7109375" style="734" customWidth="1"/>
    <col min="9973" max="9973" width="9.140625" style="734" customWidth="1"/>
    <col min="9974" max="9974" width="11.5703125" style="734" customWidth="1"/>
    <col min="9975" max="9975" width="15.7109375" style="734" customWidth="1"/>
    <col min="9976" max="9976" width="13.42578125" style="734" customWidth="1"/>
    <col min="9977" max="9977" width="19.140625" style="734" customWidth="1"/>
    <col min="9978" max="9978" width="8.140625" style="734" customWidth="1"/>
    <col min="9979" max="9979" width="12.140625" style="734" customWidth="1"/>
    <col min="9980" max="9980" width="14.42578125" style="734" customWidth="1"/>
    <col min="9981" max="9981" width="13.5703125" style="734" customWidth="1"/>
    <col min="9982" max="10225" width="9.140625" style="734"/>
    <col min="10226" max="10226" width="5.5703125" style="734" customWidth="1"/>
    <col min="10227" max="10227" width="11.5703125" style="734" customWidth="1"/>
    <col min="10228" max="10228" width="35.7109375" style="734" customWidth="1"/>
    <col min="10229" max="10229" width="9.140625" style="734" customWidth="1"/>
    <col min="10230" max="10230" width="11.5703125" style="734" customWidth="1"/>
    <col min="10231" max="10231" width="15.7109375" style="734" customWidth="1"/>
    <col min="10232" max="10232" width="13.42578125" style="734" customWidth="1"/>
    <col min="10233" max="10233" width="19.140625" style="734" customWidth="1"/>
    <col min="10234" max="10234" width="8.140625" style="734" customWidth="1"/>
    <col min="10235" max="10235" width="12.140625" style="734" customWidth="1"/>
    <col min="10236" max="10236" width="14.42578125" style="734" customWidth="1"/>
    <col min="10237" max="10237" width="13.5703125" style="734" customWidth="1"/>
    <col min="10238" max="10481" width="9.140625" style="734"/>
    <col min="10482" max="10482" width="5.5703125" style="734" customWidth="1"/>
    <col min="10483" max="10483" width="11.5703125" style="734" customWidth="1"/>
    <col min="10484" max="10484" width="35.7109375" style="734" customWidth="1"/>
    <col min="10485" max="10485" width="9.140625" style="734" customWidth="1"/>
    <col min="10486" max="10486" width="11.5703125" style="734" customWidth="1"/>
    <col min="10487" max="10487" width="15.7109375" style="734" customWidth="1"/>
    <col min="10488" max="10488" width="13.42578125" style="734" customWidth="1"/>
    <col min="10489" max="10489" width="19.140625" style="734" customWidth="1"/>
    <col min="10490" max="10490" width="8.140625" style="734" customWidth="1"/>
    <col min="10491" max="10491" width="12.140625" style="734" customWidth="1"/>
    <col min="10492" max="10492" width="14.42578125" style="734" customWidth="1"/>
    <col min="10493" max="10493" width="13.5703125" style="734" customWidth="1"/>
    <col min="10494" max="10737" width="9.140625" style="734"/>
    <col min="10738" max="10738" width="5.5703125" style="734" customWidth="1"/>
    <col min="10739" max="10739" width="11.5703125" style="734" customWidth="1"/>
    <col min="10740" max="10740" width="35.7109375" style="734" customWidth="1"/>
    <col min="10741" max="10741" width="9.140625" style="734" customWidth="1"/>
    <col min="10742" max="10742" width="11.5703125" style="734" customWidth="1"/>
    <col min="10743" max="10743" width="15.7109375" style="734" customWidth="1"/>
    <col min="10744" max="10744" width="13.42578125" style="734" customWidth="1"/>
    <col min="10745" max="10745" width="19.140625" style="734" customWidth="1"/>
    <col min="10746" max="10746" width="8.140625" style="734" customWidth="1"/>
    <col min="10747" max="10747" width="12.140625" style="734" customWidth="1"/>
    <col min="10748" max="10748" width="14.42578125" style="734" customWidth="1"/>
    <col min="10749" max="10749" width="13.5703125" style="734" customWidth="1"/>
    <col min="10750" max="10993" width="9.140625" style="734"/>
    <col min="10994" max="10994" width="5.5703125" style="734" customWidth="1"/>
    <col min="10995" max="10995" width="11.5703125" style="734" customWidth="1"/>
    <col min="10996" max="10996" width="35.7109375" style="734" customWidth="1"/>
    <col min="10997" max="10997" width="9.140625" style="734" customWidth="1"/>
    <col min="10998" max="10998" width="11.5703125" style="734" customWidth="1"/>
    <col min="10999" max="10999" width="15.7109375" style="734" customWidth="1"/>
    <col min="11000" max="11000" width="13.42578125" style="734" customWidth="1"/>
    <col min="11001" max="11001" width="19.140625" style="734" customWidth="1"/>
    <col min="11002" max="11002" width="8.140625" style="734" customWidth="1"/>
    <col min="11003" max="11003" width="12.140625" style="734" customWidth="1"/>
    <col min="11004" max="11004" width="14.42578125" style="734" customWidth="1"/>
    <col min="11005" max="11005" width="13.5703125" style="734" customWidth="1"/>
    <col min="11006" max="11249" width="9.140625" style="734"/>
    <col min="11250" max="11250" width="5.5703125" style="734" customWidth="1"/>
    <col min="11251" max="11251" width="11.5703125" style="734" customWidth="1"/>
    <col min="11252" max="11252" width="35.7109375" style="734" customWidth="1"/>
    <col min="11253" max="11253" width="9.140625" style="734" customWidth="1"/>
    <col min="11254" max="11254" width="11.5703125" style="734" customWidth="1"/>
    <col min="11255" max="11255" width="15.7109375" style="734" customWidth="1"/>
    <col min="11256" max="11256" width="13.42578125" style="734" customWidth="1"/>
    <col min="11257" max="11257" width="19.140625" style="734" customWidth="1"/>
    <col min="11258" max="11258" width="8.140625" style="734" customWidth="1"/>
    <col min="11259" max="11259" width="12.140625" style="734" customWidth="1"/>
    <col min="11260" max="11260" width="14.42578125" style="734" customWidth="1"/>
    <col min="11261" max="11261" width="13.5703125" style="734" customWidth="1"/>
    <col min="11262" max="11505" width="9.140625" style="734"/>
    <col min="11506" max="11506" width="5.5703125" style="734" customWidth="1"/>
    <col min="11507" max="11507" width="11.5703125" style="734" customWidth="1"/>
    <col min="11508" max="11508" width="35.7109375" style="734" customWidth="1"/>
    <col min="11509" max="11509" width="9.140625" style="734" customWidth="1"/>
    <col min="11510" max="11510" width="11.5703125" style="734" customWidth="1"/>
    <col min="11511" max="11511" width="15.7109375" style="734" customWidth="1"/>
    <col min="11512" max="11512" width="13.42578125" style="734" customWidth="1"/>
    <col min="11513" max="11513" width="19.140625" style="734" customWidth="1"/>
    <col min="11514" max="11514" width="8.140625" style="734" customWidth="1"/>
    <col min="11515" max="11515" width="12.140625" style="734" customWidth="1"/>
    <col min="11516" max="11516" width="14.42578125" style="734" customWidth="1"/>
    <col min="11517" max="11517" width="13.5703125" style="734" customWidth="1"/>
    <col min="11518" max="11761" width="9.140625" style="734"/>
    <col min="11762" max="11762" width="5.5703125" style="734" customWidth="1"/>
    <col min="11763" max="11763" width="11.5703125" style="734" customWidth="1"/>
    <col min="11764" max="11764" width="35.7109375" style="734" customWidth="1"/>
    <col min="11765" max="11765" width="9.140625" style="734" customWidth="1"/>
    <col min="11766" max="11766" width="11.5703125" style="734" customWidth="1"/>
    <col min="11767" max="11767" width="15.7109375" style="734" customWidth="1"/>
    <col min="11768" max="11768" width="13.42578125" style="734" customWidth="1"/>
    <col min="11769" max="11769" width="19.140625" style="734" customWidth="1"/>
    <col min="11770" max="11770" width="8.140625" style="734" customWidth="1"/>
    <col min="11771" max="11771" width="12.140625" style="734" customWidth="1"/>
    <col min="11772" max="11772" width="14.42578125" style="734" customWidth="1"/>
    <col min="11773" max="11773" width="13.5703125" style="734" customWidth="1"/>
    <col min="11774" max="12017" width="9.140625" style="734"/>
    <col min="12018" max="12018" width="5.5703125" style="734" customWidth="1"/>
    <col min="12019" max="12019" width="11.5703125" style="734" customWidth="1"/>
    <col min="12020" max="12020" width="35.7109375" style="734" customWidth="1"/>
    <col min="12021" max="12021" width="9.140625" style="734" customWidth="1"/>
    <col min="12022" max="12022" width="11.5703125" style="734" customWidth="1"/>
    <col min="12023" max="12023" width="15.7109375" style="734" customWidth="1"/>
    <col min="12024" max="12024" width="13.42578125" style="734" customWidth="1"/>
    <col min="12025" max="12025" width="19.140625" style="734" customWidth="1"/>
    <col min="12026" max="12026" width="8.140625" style="734" customWidth="1"/>
    <col min="12027" max="12027" width="12.140625" style="734" customWidth="1"/>
    <col min="12028" max="12028" width="14.42578125" style="734" customWidth="1"/>
    <col min="12029" max="12029" width="13.5703125" style="734" customWidth="1"/>
    <col min="12030" max="12273" width="9.140625" style="734"/>
    <col min="12274" max="12274" width="5.5703125" style="734" customWidth="1"/>
    <col min="12275" max="12275" width="11.5703125" style="734" customWidth="1"/>
    <col min="12276" max="12276" width="35.7109375" style="734" customWidth="1"/>
    <col min="12277" max="12277" width="9.140625" style="734" customWidth="1"/>
    <col min="12278" max="12278" width="11.5703125" style="734" customWidth="1"/>
    <col min="12279" max="12279" width="15.7109375" style="734" customWidth="1"/>
    <col min="12280" max="12280" width="13.42578125" style="734" customWidth="1"/>
    <col min="12281" max="12281" width="19.140625" style="734" customWidth="1"/>
    <col min="12282" max="12282" width="8.140625" style="734" customWidth="1"/>
    <col min="12283" max="12283" width="12.140625" style="734" customWidth="1"/>
    <col min="12284" max="12284" width="14.42578125" style="734" customWidth="1"/>
    <col min="12285" max="12285" width="13.5703125" style="734" customWidth="1"/>
    <col min="12286" max="12529" width="9.140625" style="734"/>
    <col min="12530" max="12530" width="5.5703125" style="734" customWidth="1"/>
    <col min="12531" max="12531" width="11.5703125" style="734" customWidth="1"/>
    <col min="12532" max="12532" width="35.7109375" style="734" customWidth="1"/>
    <col min="12533" max="12533" width="9.140625" style="734" customWidth="1"/>
    <col min="12534" max="12534" width="11.5703125" style="734" customWidth="1"/>
    <col min="12535" max="12535" width="15.7109375" style="734" customWidth="1"/>
    <col min="12536" max="12536" width="13.42578125" style="734" customWidth="1"/>
    <col min="12537" max="12537" width="19.140625" style="734" customWidth="1"/>
    <col min="12538" max="12538" width="8.140625" style="734" customWidth="1"/>
    <col min="12539" max="12539" width="12.140625" style="734" customWidth="1"/>
    <col min="12540" max="12540" width="14.42578125" style="734" customWidth="1"/>
    <col min="12541" max="12541" width="13.5703125" style="734" customWidth="1"/>
    <col min="12542" max="12785" width="9.140625" style="734"/>
    <col min="12786" max="12786" width="5.5703125" style="734" customWidth="1"/>
    <col min="12787" max="12787" width="11.5703125" style="734" customWidth="1"/>
    <col min="12788" max="12788" width="35.7109375" style="734" customWidth="1"/>
    <col min="12789" max="12789" width="9.140625" style="734" customWidth="1"/>
    <col min="12790" max="12790" width="11.5703125" style="734" customWidth="1"/>
    <col min="12791" max="12791" width="15.7109375" style="734" customWidth="1"/>
    <col min="12792" max="12792" width="13.42578125" style="734" customWidth="1"/>
    <col min="12793" max="12793" width="19.140625" style="734" customWidth="1"/>
    <col min="12794" max="12794" width="8.140625" style="734" customWidth="1"/>
    <col min="12795" max="12795" width="12.140625" style="734" customWidth="1"/>
    <col min="12796" max="12796" width="14.42578125" style="734" customWidth="1"/>
    <col min="12797" max="12797" width="13.5703125" style="734" customWidth="1"/>
    <col min="12798" max="13041" width="9.140625" style="734"/>
    <col min="13042" max="13042" width="5.5703125" style="734" customWidth="1"/>
    <col min="13043" max="13043" width="11.5703125" style="734" customWidth="1"/>
    <col min="13044" max="13044" width="35.7109375" style="734" customWidth="1"/>
    <col min="13045" max="13045" width="9.140625" style="734" customWidth="1"/>
    <col min="13046" max="13046" width="11.5703125" style="734" customWidth="1"/>
    <col min="13047" max="13047" width="15.7109375" style="734" customWidth="1"/>
    <col min="13048" max="13048" width="13.42578125" style="734" customWidth="1"/>
    <col min="13049" max="13049" width="19.140625" style="734" customWidth="1"/>
    <col min="13050" max="13050" width="8.140625" style="734" customWidth="1"/>
    <col min="13051" max="13051" width="12.140625" style="734" customWidth="1"/>
    <col min="13052" max="13052" width="14.42578125" style="734" customWidth="1"/>
    <col min="13053" max="13053" width="13.5703125" style="734" customWidth="1"/>
    <col min="13054" max="13297" width="9.140625" style="734"/>
    <col min="13298" max="13298" width="5.5703125" style="734" customWidth="1"/>
    <col min="13299" max="13299" width="11.5703125" style="734" customWidth="1"/>
    <col min="13300" max="13300" width="35.7109375" style="734" customWidth="1"/>
    <col min="13301" max="13301" width="9.140625" style="734" customWidth="1"/>
    <col min="13302" max="13302" width="11.5703125" style="734" customWidth="1"/>
    <col min="13303" max="13303" width="15.7109375" style="734" customWidth="1"/>
    <col min="13304" max="13304" width="13.42578125" style="734" customWidth="1"/>
    <col min="13305" max="13305" width="19.140625" style="734" customWidth="1"/>
    <col min="13306" max="13306" width="8.140625" style="734" customWidth="1"/>
    <col min="13307" max="13307" width="12.140625" style="734" customWidth="1"/>
    <col min="13308" max="13308" width="14.42578125" style="734" customWidth="1"/>
    <col min="13309" max="13309" width="13.5703125" style="734" customWidth="1"/>
    <col min="13310" max="13553" width="9.140625" style="734"/>
    <col min="13554" max="13554" width="5.5703125" style="734" customWidth="1"/>
    <col min="13555" max="13555" width="11.5703125" style="734" customWidth="1"/>
    <col min="13556" max="13556" width="35.7109375" style="734" customWidth="1"/>
    <col min="13557" max="13557" width="9.140625" style="734" customWidth="1"/>
    <col min="13558" max="13558" width="11.5703125" style="734" customWidth="1"/>
    <col min="13559" max="13559" width="15.7109375" style="734" customWidth="1"/>
    <col min="13560" max="13560" width="13.42578125" style="734" customWidth="1"/>
    <col min="13561" max="13561" width="19.140625" style="734" customWidth="1"/>
    <col min="13562" max="13562" width="8.140625" style="734" customWidth="1"/>
    <col min="13563" max="13563" width="12.140625" style="734" customWidth="1"/>
    <col min="13564" max="13564" width="14.42578125" style="734" customWidth="1"/>
    <col min="13565" max="13565" width="13.5703125" style="734" customWidth="1"/>
    <col min="13566" max="13809" width="9.140625" style="734"/>
    <col min="13810" max="13810" width="5.5703125" style="734" customWidth="1"/>
    <col min="13811" max="13811" width="11.5703125" style="734" customWidth="1"/>
    <col min="13812" max="13812" width="35.7109375" style="734" customWidth="1"/>
    <col min="13813" max="13813" width="9.140625" style="734" customWidth="1"/>
    <col min="13814" max="13814" width="11.5703125" style="734" customWidth="1"/>
    <col min="13815" max="13815" width="15.7109375" style="734" customWidth="1"/>
    <col min="13816" max="13816" width="13.42578125" style="734" customWidth="1"/>
    <col min="13817" max="13817" width="19.140625" style="734" customWidth="1"/>
    <col min="13818" max="13818" width="8.140625" style="734" customWidth="1"/>
    <col min="13819" max="13819" width="12.140625" style="734" customWidth="1"/>
    <col min="13820" max="13820" width="14.42578125" style="734" customWidth="1"/>
    <col min="13821" max="13821" width="13.5703125" style="734" customWidth="1"/>
    <col min="13822" max="14065" width="9.140625" style="734"/>
    <col min="14066" max="14066" width="5.5703125" style="734" customWidth="1"/>
    <col min="14067" max="14067" width="11.5703125" style="734" customWidth="1"/>
    <col min="14068" max="14068" width="35.7109375" style="734" customWidth="1"/>
    <col min="14069" max="14069" width="9.140625" style="734" customWidth="1"/>
    <col min="14070" max="14070" width="11.5703125" style="734" customWidth="1"/>
    <col min="14071" max="14071" width="15.7109375" style="734" customWidth="1"/>
    <col min="14072" max="14072" width="13.42578125" style="734" customWidth="1"/>
    <col min="14073" max="14073" width="19.140625" style="734" customWidth="1"/>
    <col min="14074" max="14074" width="8.140625" style="734" customWidth="1"/>
    <col min="14075" max="14075" width="12.140625" style="734" customWidth="1"/>
    <col min="14076" max="14076" width="14.42578125" style="734" customWidth="1"/>
    <col min="14077" max="14077" width="13.5703125" style="734" customWidth="1"/>
    <col min="14078" max="14321" width="9.140625" style="734"/>
    <col min="14322" max="14322" width="5.5703125" style="734" customWidth="1"/>
    <col min="14323" max="14323" width="11.5703125" style="734" customWidth="1"/>
    <col min="14324" max="14324" width="35.7109375" style="734" customWidth="1"/>
    <col min="14325" max="14325" width="9.140625" style="734" customWidth="1"/>
    <col min="14326" max="14326" width="11.5703125" style="734" customWidth="1"/>
    <col min="14327" max="14327" width="15.7109375" style="734" customWidth="1"/>
    <col min="14328" max="14328" width="13.42578125" style="734" customWidth="1"/>
    <col min="14329" max="14329" width="19.140625" style="734" customWidth="1"/>
    <col min="14330" max="14330" width="8.140625" style="734" customWidth="1"/>
    <col min="14331" max="14331" width="12.140625" style="734" customWidth="1"/>
    <col min="14332" max="14332" width="14.42578125" style="734" customWidth="1"/>
    <col min="14333" max="14333" width="13.5703125" style="734" customWidth="1"/>
    <col min="14334" max="14577" width="9.140625" style="734"/>
    <col min="14578" max="14578" width="5.5703125" style="734" customWidth="1"/>
    <col min="14579" max="14579" width="11.5703125" style="734" customWidth="1"/>
    <col min="14580" max="14580" width="35.7109375" style="734" customWidth="1"/>
    <col min="14581" max="14581" width="9.140625" style="734" customWidth="1"/>
    <col min="14582" max="14582" width="11.5703125" style="734" customWidth="1"/>
    <col min="14583" max="14583" width="15.7109375" style="734" customWidth="1"/>
    <col min="14584" max="14584" width="13.42578125" style="734" customWidth="1"/>
    <col min="14585" max="14585" width="19.140625" style="734" customWidth="1"/>
    <col min="14586" max="14586" width="8.140625" style="734" customWidth="1"/>
    <col min="14587" max="14587" width="12.140625" style="734" customWidth="1"/>
    <col min="14588" max="14588" width="14.42578125" style="734" customWidth="1"/>
    <col min="14589" max="14589" width="13.5703125" style="734" customWidth="1"/>
    <col min="14590" max="14833" width="9.140625" style="734"/>
    <col min="14834" max="14834" width="5.5703125" style="734" customWidth="1"/>
    <col min="14835" max="14835" width="11.5703125" style="734" customWidth="1"/>
    <col min="14836" max="14836" width="35.7109375" style="734" customWidth="1"/>
    <col min="14837" max="14837" width="9.140625" style="734" customWidth="1"/>
    <col min="14838" max="14838" width="11.5703125" style="734" customWidth="1"/>
    <col min="14839" max="14839" width="15.7109375" style="734" customWidth="1"/>
    <col min="14840" max="14840" width="13.42578125" style="734" customWidth="1"/>
    <col min="14841" max="14841" width="19.140625" style="734" customWidth="1"/>
    <col min="14842" max="14842" width="8.140625" style="734" customWidth="1"/>
    <col min="14843" max="14843" width="12.140625" style="734" customWidth="1"/>
    <col min="14844" max="14844" width="14.42578125" style="734" customWidth="1"/>
    <col min="14845" max="14845" width="13.5703125" style="734" customWidth="1"/>
    <col min="14846" max="15089" width="9.140625" style="734"/>
    <col min="15090" max="15090" width="5.5703125" style="734" customWidth="1"/>
    <col min="15091" max="15091" width="11.5703125" style="734" customWidth="1"/>
    <col min="15092" max="15092" width="35.7109375" style="734" customWidth="1"/>
    <col min="15093" max="15093" width="9.140625" style="734" customWidth="1"/>
    <col min="15094" max="15094" width="11.5703125" style="734" customWidth="1"/>
    <col min="15095" max="15095" width="15.7109375" style="734" customWidth="1"/>
    <col min="15096" max="15096" width="13.42578125" style="734" customWidth="1"/>
    <col min="15097" max="15097" width="19.140625" style="734" customWidth="1"/>
    <col min="15098" max="15098" width="8.140625" style="734" customWidth="1"/>
    <col min="15099" max="15099" width="12.140625" style="734" customWidth="1"/>
    <col min="15100" max="15100" width="14.42578125" style="734" customWidth="1"/>
    <col min="15101" max="15101" width="13.5703125" style="734" customWidth="1"/>
    <col min="15102" max="15345" width="9.140625" style="734"/>
    <col min="15346" max="15346" width="5.5703125" style="734" customWidth="1"/>
    <col min="15347" max="15347" width="11.5703125" style="734" customWidth="1"/>
    <col min="15348" max="15348" width="35.7109375" style="734" customWidth="1"/>
    <col min="15349" max="15349" width="9.140625" style="734" customWidth="1"/>
    <col min="15350" max="15350" width="11.5703125" style="734" customWidth="1"/>
    <col min="15351" max="15351" width="15.7109375" style="734" customWidth="1"/>
    <col min="15352" max="15352" width="13.42578125" style="734" customWidth="1"/>
    <col min="15353" max="15353" width="19.140625" style="734" customWidth="1"/>
    <col min="15354" max="15354" width="8.140625" style="734" customWidth="1"/>
    <col min="15355" max="15355" width="12.140625" style="734" customWidth="1"/>
    <col min="15356" max="15356" width="14.42578125" style="734" customWidth="1"/>
    <col min="15357" max="15357" width="13.5703125" style="734" customWidth="1"/>
    <col min="15358" max="15601" width="9.140625" style="734"/>
    <col min="15602" max="15602" width="5.5703125" style="734" customWidth="1"/>
    <col min="15603" max="15603" width="11.5703125" style="734" customWidth="1"/>
    <col min="15604" max="15604" width="35.7109375" style="734" customWidth="1"/>
    <col min="15605" max="15605" width="9.140625" style="734" customWidth="1"/>
    <col min="15606" max="15606" width="11.5703125" style="734" customWidth="1"/>
    <col min="15607" max="15607" width="15.7109375" style="734" customWidth="1"/>
    <col min="15608" max="15608" width="13.42578125" style="734" customWidth="1"/>
    <col min="15609" max="15609" width="19.140625" style="734" customWidth="1"/>
    <col min="15610" max="15610" width="8.140625" style="734" customWidth="1"/>
    <col min="15611" max="15611" width="12.140625" style="734" customWidth="1"/>
    <col min="15612" max="15612" width="14.42578125" style="734" customWidth="1"/>
    <col min="15613" max="15613" width="13.5703125" style="734" customWidth="1"/>
    <col min="15614" max="15857" width="9.140625" style="734"/>
    <col min="15858" max="15858" width="5.5703125" style="734" customWidth="1"/>
    <col min="15859" max="15859" width="11.5703125" style="734" customWidth="1"/>
    <col min="15860" max="15860" width="35.7109375" style="734" customWidth="1"/>
    <col min="15861" max="15861" width="9.140625" style="734" customWidth="1"/>
    <col min="15862" max="15862" width="11.5703125" style="734" customWidth="1"/>
    <col min="15863" max="15863" width="15.7109375" style="734" customWidth="1"/>
    <col min="15864" max="15864" width="13.42578125" style="734" customWidth="1"/>
    <col min="15865" max="15865" width="19.140625" style="734" customWidth="1"/>
    <col min="15866" max="15866" width="8.140625" style="734" customWidth="1"/>
    <col min="15867" max="15867" width="12.140625" style="734" customWidth="1"/>
    <col min="15868" max="15868" width="14.42578125" style="734" customWidth="1"/>
    <col min="15869" max="15869" width="13.5703125" style="734" customWidth="1"/>
    <col min="15870" max="16113" width="9.140625" style="734"/>
    <col min="16114" max="16114" width="5.5703125" style="734" customWidth="1"/>
    <col min="16115" max="16115" width="11.5703125" style="734" customWidth="1"/>
    <col min="16116" max="16116" width="35.7109375" style="734" customWidth="1"/>
    <col min="16117" max="16117" width="9.140625" style="734" customWidth="1"/>
    <col min="16118" max="16118" width="11.5703125" style="734" customWidth="1"/>
    <col min="16119" max="16119" width="15.7109375" style="734" customWidth="1"/>
    <col min="16120" max="16120" width="13.42578125" style="734" customWidth="1"/>
    <col min="16121" max="16121" width="19.140625" style="734" customWidth="1"/>
    <col min="16122" max="16122" width="8.140625" style="734" customWidth="1"/>
    <col min="16123" max="16123" width="12.140625" style="734" customWidth="1"/>
    <col min="16124" max="16124" width="14.42578125" style="734" customWidth="1"/>
    <col min="16125" max="16125" width="13.5703125" style="734" customWidth="1"/>
    <col min="16126" max="16384" width="9.140625" style="734"/>
  </cols>
  <sheetData>
    <row r="1" spans="1:15" ht="20.25" customHeight="1" x14ac:dyDescent="0.2">
      <c r="A1" s="929" t="s">
        <v>549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</row>
    <row r="2" spans="1:15" ht="20.25" customHeight="1" x14ac:dyDescent="0.2">
      <c r="A2" s="936" t="s">
        <v>550</v>
      </c>
      <c r="B2" s="937" t="s">
        <v>1</v>
      </c>
      <c r="C2" s="937" t="s">
        <v>551</v>
      </c>
      <c r="D2" s="938" t="s">
        <v>552</v>
      </c>
      <c r="E2" s="932" t="s">
        <v>812</v>
      </c>
      <c r="F2" s="930" t="s">
        <v>4</v>
      </c>
      <c r="G2" s="931"/>
      <c r="H2" s="931"/>
      <c r="I2" s="931"/>
      <c r="J2" s="931"/>
      <c r="K2" s="932" t="s">
        <v>553</v>
      </c>
      <c r="L2" s="745" t="s">
        <v>4</v>
      </c>
      <c r="M2" s="932" t="s">
        <v>813</v>
      </c>
      <c r="N2" s="933" t="s">
        <v>554</v>
      </c>
      <c r="O2" s="932" t="s">
        <v>469</v>
      </c>
    </row>
    <row r="3" spans="1:15" ht="36" customHeight="1" x14ac:dyDescent="0.2">
      <c r="A3" s="936"/>
      <c r="B3" s="937"/>
      <c r="C3" s="937"/>
      <c r="D3" s="938"/>
      <c r="E3" s="932"/>
      <c r="F3" s="932" t="s">
        <v>555</v>
      </c>
      <c r="G3" s="933" t="s">
        <v>556</v>
      </c>
      <c r="H3" s="745" t="s">
        <v>757</v>
      </c>
      <c r="I3" s="745" t="s">
        <v>758</v>
      </c>
      <c r="J3" s="932" t="s">
        <v>557</v>
      </c>
      <c r="K3" s="932"/>
      <c r="L3" s="932" t="s">
        <v>558</v>
      </c>
      <c r="M3" s="932"/>
      <c r="N3" s="934"/>
      <c r="O3" s="932"/>
    </row>
    <row r="4" spans="1:15" ht="27" customHeight="1" x14ac:dyDescent="0.2">
      <c r="A4" s="936"/>
      <c r="B4" s="937"/>
      <c r="C4" s="937"/>
      <c r="D4" s="938"/>
      <c r="E4" s="932"/>
      <c r="F4" s="932"/>
      <c r="G4" s="935"/>
      <c r="H4" s="745" t="s">
        <v>759</v>
      </c>
      <c r="I4" s="745" t="s">
        <v>760</v>
      </c>
      <c r="J4" s="932"/>
      <c r="K4" s="932"/>
      <c r="L4" s="932"/>
      <c r="M4" s="932"/>
      <c r="N4" s="935"/>
      <c r="O4" s="932"/>
    </row>
    <row r="5" spans="1:15" x14ac:dyDescent="0.2">
      <c r="A5" s="731">
        <v>1</v>
      </c>
      <c r="B5" s="189" t="s">
        <v>44</v>
      </c>
      <c r="C5" s="732" t="s">
        <v>45</v>
      </c>
      <c r="D5" s="733" t="s">
        <v>559</v>
      </c>
      <c r="E5" s="730">
        <v>3076</v>
      </c>
      <c r="F5" s="730">
        <v>0</v>
      </c>
      <c r="G5" s="730">
        <v>0</v>
      </c>
      <c r="H5" s="730">
        <v>80</v>
      </c>
      <c r="I5" s="730">
        <v>0</v>
      </c>
      <c r="J5" s="730">
        <v>2996</v>
      </c>
      <c r="K5" s="733"/>
      <c r="L5" s="733"/>
      <c r="M5" s="730">
        <v>3076</v>
      </c>
      <c r="N5" s="730">
        <v>0</v>
      </c>
      <c r="O5" s="730">
        <f>M5+N5</f>
        <v>3076</v>
      </c>
    </row>
    <row r="6" spans="1:15" ht="11.25" customHeight="1" x14ac:dyDescent="0.2">
      <c r="A6" s="731">
        <v>2</v>
      </c>
      <c r="B6" s="93" t="s">
        <v>187</v>
      </c>
      <c r="C6" s="732" t="s">
        <v>188</v>
      </c>
      <c r="D6" s="733" t="s">
        <v>559</v>
      </c>
      <c r="E6" s="730">
        <v>1859</v>
      </c>
      <c r="F6" s="730">
        <v>0</v>
      </c>
      <c r="G6" s="730">
        <v>0</v>
      </c>
      <c r="H6" s="730"/>
      <c r="I6" s="730"/>
      <c r="J6" s="730">
        <v>1859</v>
      </c>
      <c r="K6" s="733"/>
      <c r="L6" s="733"/>
      <c r="M6" s="730">
        <v>1859</v>
      </c>
      <c r="N6" s="730">
        <v>0</v>
      </c>
      <c r="O6" s="730">
        <f t="shared" ref="O6:O65" si="0">M6+N6</f>
        <v>1859</v>
      </c>
    </row>
    <row r="7" spans="1:15" x14ac:dyDescent="0.2">
      <c r="A7" s="731">
        <v>3</v>
      </c>
      <c r="B7" s="189" t="s">
        <v>46</v>
      </c>
      <c r="C7" s="732" t="s">
        <v>47</v>
      </c>
      <c r="D7" s="733" t="s">
        <v>559</v>
      </c>
      <c r="E7" s="730">
        <v>3983</v>
      </c>
      <c r="F7" s="730">
        <v>0</v>
      </c>
      <c r="G7" s="730">
        <v>0</v>
      </c>
      <c r="H7" s="730"/>
      <c r="I7" s="730"/>
      <c r="J7" s="730">
        <v>3983</v>
      </c>
      <c r="K7" s="733"/>
      <c r="L7" s="733"/>
      <c r="M7" s="730">
        <v>3983</v>
      </c>
      <c r="N7" s="730">
        <v>0</v>
      </c>
      <c r="O7" s="730">
        <f t="shared" si="0"/>
        <v>3983</v>
      </c>
    </row>
    <row r="8" spans="1:15" x14ac:dyDescent="0.2">
      <c r="A8" s="731">
        <v>4</v>
      </c>
      <c r="B8" s="94" t="s">
        <v>16</v>
      </c>
      <c r="C8" s="732" t="s">
        <v>17</v>
      </c>
      <c r="D8" s="733" t="s">
        <v>559</v>
      </c>
      <c r="E8" s="730">
        <v>2183</v>
      </c>
      <c r="F8" s="730">
        <v>0</v>
      </c>
      <c r="G8" s="730">
        <v>0</v>
      </c>
      <c r="H8" s="730">
        <v>1</v>
      </c>
      <c r="I8" s="730">
        <v>0</v>
      </c>
      <c r="J8" s="730">
        <v>2182</v>
      </c>
      <c r="K8" s="733"/>
      <c r="L8" s="733"/>
      <c r="M8" s="730">
        <v>2183</v>
      </c>
      <c r="N8" s="730">
        <v>0</v>
      </c>
      <c r="O8" s="730">
        <f t="shared" si="0"/>
        <v>2183</v>
      </c>
    </row>
    <row r="9" spans="1:15" x14ac:dyDescent="0.2">
      <c r="A9" s="731">
        <v>5</v>
      </c>
      <c r="B9" s="189" t="s">
        <v>48</v>
      </c>
      <c r="C9" s="732" t="s">
        <v>49</v>
      </c>
      <c r="D9" s="733" t="s">
        <v>559</v>
      </c>
      <c r="E9" s="730">
        <v>6424</v>
      </c>
      <c r="F9" s="730">
        <v>0</v>
      </c>
      <c r="G9" s="730">
        <v>0</v>
      </c>
      <c r="H9" s="730">
        <v>250</v>
      </c>
      <c r="I9" s="730">
        <v>35</v>
      </c>
      <c r="J9" s="730">
        <v>6139</v>
      </c>
      <c r="K9" s="733"/>
      <c r="L9" s="733"/>
      <c r="M9" s="730">
        <v>6424</v>
      </c>
      <c r="N9" s="730">
        <v>0</v>
      </c>
      <c r="O9" s="730">
        <f t="shared" si="0"/>
        <v>6424</v>
      </c>
    </row>
    <row r="10" spans="1:15" x14ac:dyDescent="0.2">
      <c r="A10" s="731">
        <v>6</v>
      </c>
      <c r="B10" s="94" t="s">
        <v>101</v>
      </c>
      <c r="C10" s="732" t="s">
        <v>102</v>
      </c>
      <c r="D10" s="733" t="s">
        <v>559</v>
      </c>
      <c r="E10" s="730">
        <v>2920</v>
      </c>
      <c r="F10" s="730">
        <v>1</v>
      </c>
      <c r="G10" s="730">
        <v>0</v>
      </c>
      <c r="H10" s="730">
        <v>5</v>
      </c>
      <c r="I10" s="730">
        <v>0</v>
      </c>
      <c r="J10" s="730">
        <v>2914</v>
      </c>
      <c r="K10" s="733"/>
      <c r="L10" s="733"/>
      <c r="M10" s="730">
        <v>2920</v>
      </c>
      <c r="N10" s="730">
        <v>0</v>
      </c>
      <c r="O10" s="730">
        <f t="shared" si="0"/>
        <v>2920</v>
      </c>
    </row>
    <row r="11" spans="1:15" x14ac:dyDescent="0.2">
      <c r="A11" s="731">
        <v>7</v>
      </c>
      <c r="B11" s="93" t="s">
        <v>18</v>
      </c>
      <c r="C11" s="732" t="s">
        <v>19</v>
      </c>
      <c r="D11" s="733" t="s">
        <v>559</v>
      </c>
      <c r="E11" s="730">
        <v>1780</v>
      </c>
      <c r="F11" s="730">
        <v>3</v>
      </c>
      <c r="G11" s="730">
        <v>0</v>
      </c>
      <c r="H11" s="730"/>
      <c r="I11" s="730"/>
      <c r="J11" s="730">
        <v>1777</v>
      </c>
      <c r="K11" s="733"/>
      <c r="L11" s="733"/>
      <c r="M11" s="730">
        <v>1780</v>
      </c>
      <c r="N11" s="730">
        <v>0</v>
      </c>
      <c r="O11" s="730">
        <f t="shared" si="0"/>
        <v>1780</v>
      </c>
    </row>
    <row r="12" spans="1:15" x14ac:dyDescent="0.2">
      <c r="A12" s="731">
        <v>8</v>
      </c>
      <c r="B12" s="189" t="s">
        <v>189</v>
      </c>
      <c r="C12" s="732" t="s">
        <v>190</v>
      </c>
      <c r="D12" s="733" t="s">
        <v>559</v>
      </c>
      <c r="E12" s="730">
        <v>2100</v>
      </c>
      <c r="F12" s="730">
        <v>0</v>
      </c>
      <c r="G12" s="730">
        <v>0</v>
      </c>
      <c r="H12" s="730"/>
      <c r="I12" s="730"/>
      <c r="J12" s="730">
        <v>2100</v>
      </c>
      <c r="K12" s="733"/>
      <c r="L12" s="733"/>
      <c r="M12" s="730">
        <v>2100</v>
      </c>
      <c r="N12" s="730">
        <v>0</v>
      </c>
      <c r="O12" s="730">
        <f t="shared" si="0"/>
        <v>2100</v>
      </c>
    </row>
    <row r="13" spans="1:15" ht="12" customHeight="1" x14ac:dyDescent="0.2">
      <c r="A13" s="731">
        <v>9</v>
      </c>
      <c r="B13" s="746" t="s">
        <v>105</v>
      </c>
      <c r="C13" s="732" t="s">
        <v>106</v>
      </c>
      <c r="D13" s="733" t="s">
        <v>559</v>
      </c>
      <c r="E13" s="730">
        <v>2272</v>
      </c>
      <c r="F13" s="730">
        <v>0</v>
      </c>
      <c r="G13" s="730">
        <v>0</v>
      </c>
      <c r="H13" s="730"/>
      <c r="I13" s="730"/>
      <c r="J13" s="730">
        <v>2272</v>
      </c>
      <c r="K13" s="733"/>
      <c r="L13" s="733"/>
      <c r="M13" s="730">
        <v>2272</v>
      </c>
      <c r="N13" s="730">
        <v>0</v>
      </c>
      <c r="O13" s="730">
        <f t="shared" si="0"/>
        <v>2272</v>
      </c>
    </row>
    <row r="14" spans="1:15" x14ac:dyDescent="0.2">
      <c r="A14" s="731">
        <v>10</v>
      </c>
      <c r="B14" s="189" t="s">
        <v>191</v>
      </c>
      <c r="C14" s="732" t="s">
        <v>192</v>
      </c>
      <c r="D14" s="733" t="s">
        <v>559</v>
      </c>
      <c r="E14" s="730">
        <v>5032</v>
      </c>
      <c r="F14" s="730">
        <v>0</v>
      </c>
      <c r="G14" s="730">
        <v>0</v>
      </c>
      <c r="H14" s="730"/>
      <c r="I14" s="730"/>
      <c r="J14" s="730">
        <v>5032</v>
      </c>
      <c r="K14" s="733"/>
      <c r="L14" s="733"/>
      <c r="M14" s="730">
        <v>5032</v>
      </c>
      <c r="N14" s="730">
        <v>0</v>
      </c>
      <c r="O14" s="730">
        <f t="shared" si="0"/>
        <v>5032</v>
      </c>
    </row>
    <row r="15" spans="1:15" x14ac:dyDescent="0.2">
      <c r="A15" s="731">
        <v>11</v>
      </c>
      <c r="B15" s="93" t="s">
        <v>193</v>
      </c>
      <c r="C15" s="732" t="s">
        <v>194</v>
      </c>
      <c r="D15" s="733" t="s">
        <v>559</v>
      </c>
      <c r="E15" s="730">
        <v>2491</v>
      </c>
      <c r="F15" s="730">
        <v>0</v>
      </c>
      <c r="G15" s="730">
        <v>0</v>
      </c>
      <c r="H15" s="730"/>
      <c r="I15" s="730"/>
      <c r="J15" s="730">
        <v>2491</v>
      </c>
      <c r="K15" s="733"/>
      <c r="L15" s="733"/>
      <c r="M15" s="730">
        <v>2491</v>
      </c>
      <c r="N15" s="730">
        <v>0</v>
      </c>
      <c r="O15" s="730">
        <f t="shared" si="0"/>
        <v>2491</v>
      </c>
    </row>
    <row r="16" spans="1:15" x14ac:dyDescent="0.2">
      <c r="A16" s="731">
        <v>12</v>
      </c>
      <c r="B16" s="93" t="s">
        <v>195</v>
      </c>
      <c r="C16" s="732" t="s">
        <v>196</v>
      </c>
      <c r="D16" s="733" t="s">
        <v>559</v>
      </c>
      <c r="E16" s="730">
        <v>3406</v>
      </c>
      <c r="F16" s="730">
        <v>2</v>
      </c>
      <c r="G16" s="730">
        <v>0</v>
      </c>
      <c r="H16" s="730">
        <v>4</v>
      </c>
      <c r="I16" s="730">
        <v>0</v>
      </c>
      <c r="J16" s="730">
        <v>3400</v>
      </c>
      <c r="K16" s="733"/>
      <c r="L16" s="733"/>
      <c r="M16" s="730">
        <v>3406</v>
      </c>
      <c r="N16" s="730">
        <v>0</v>
      </c>
      <c r="O16" s="730">
        <f t="shared" si="0"/>
        <v>3406</v>
      </c>
    </row>
    <row r="17" spans="1:15" x14ac:dyDescent="0.2">
      <c r="A17" s="731">
        <v>13</v>
      </c>
      <c r="B17" s="94" t="s">
        <v>22</v>
      </c>
      <c r="C17" s="732" t="s">
        <v>23</v>
      </c>
      <c r="D17" s="733" t="s">
        <v>559</v>
      </c>
      <c r="E17" s="730">
        <v>1969</v>
      </c>
      <c r="F17" s="730">
        <v>0</v>
      </c>
      <c r="G17" s="730">
        <v>0</v>
      </c>
      <c r="H17" s="730"/>
      <c r="I17" s="730"/>
      <c r="J17" s="730">
        <v>1969</v>
      </c>
      <c r="K17" s="733"/>
      <c r="L17" s="733"/>
      <c r="M17" s="730">
        <v>1969</v>
      </c>
      <c r="N17" s="730">
        <v>0</v>
      </c>
      <c r="O17" s="730">
        <f t="shared" si="0"/>
        <v>1969</v>
      </c>
    </row>
    <row r="18" spans="1:15" x14ac:dyDescent="0.2">
      <c r="A18" s="731">
        <v>14</v>
      </c>
      <c r="B18" s="94" t="s">
        <v>52</v>
      </c>
      <c r="C18" s="732" t="s">
        <v>53</v>
      </c>
      <c r="D18" s="733" t="s">
        <v>559</v>
      </c>
      <c r="E18" s="730">
        <v>1601</v>
      </c>
      <c r="F18" s="730">
        <v>0</v>
      </c>
      <c r="G18" s="730">
        <v>0</v>
      </c>
      <c r="H18" s="730">
        <v>1</v>
      </c>
      <c r="I18" s="730">
        <v>0</v>
      </c>
      <c r="J18" s="730">
        <v>1600</v>
      </c>
      <c r="K18" s="733"/>
      <c r="L18" s="733"/>
      <c r="M18" s="730">
        <v>1601</v>
      </c>
      <c r="N18" s="730">
        <v>0</v>
      </c>
      <c r="O18" s="730">
        <f t="shared" si="0"/>
        <v>1601</v>
      </c>
    </row>
    <row r="19" spans="1:15" x14ac:dyDescent="0.2">
      <c r="A19" s="731">
        <v>15</v>
      </c>
      <c r="B19" s="94" t="s">
        <v>24</v>
      </c>
      <c r="C19" s="732" t="s">
        <v>25</v>
      </c>
      <c r="D19" s="733" t="s">
        <v>559</v>
      </c>
      <c r="E19" s="730">
        <v>2372</v>
      </c>
      <c r="F19" s="730">
        <v>0</v>
      </c>
      <c r="G19" s="730">
        <v>0</v>
      </c>
      <c r="H19" s="730"/>
      <c r="I19" s="730"/>
      <c r="J19" s="730">
        <v>2372</v>
      </c>
      <c r="K19" s="733"/>
      <c r="L19" s="733"/>
      <c r="M19" s="730">
        <v>2372</v>
      </c>
      <c r="N19" s="730">
        <v>0</v>
      </c>
      <c r="O19" s="730">
        <f t="shared" si="0"/>
        <v>2372</v>
      </c>
    </row>
    <row r="20" spans="1:15" x14ac:dyDescent="0.2">
      <c r="A20" s="731">
        <v>16</v>
      </c>
      <c r="B20" s="189" t="s">
        <v>107</v>
      </c>
      <c r="C20" s="732" t="s">
        <v>108</v>
      </c>
      <c r="D20" s="733" t="s">
        <v>559</v>
      </c>
      <c r="E20" s="730">
        <v>3369</v>
      </c>
      <c r="F20" s="730">
        <v>1</v>
      </c>
      <c r="G20" s="730">
        <v>0</v>
      </c>
      <c r="H20" s="730"/>
      <c r="I20" s="730"/>
      <c r="J20" s="730">
        <v>3368</v>
      </c>
      <c r="K20" s="733"/>
      <c r="L20" s="733"/>
      <c r="M20" s="730">
        <v>3369</v>
      </c>
      <c r="N20" s="730">
        <v>0</v>
      </c>
      <c r="O20" s="730">
        <f t="shared" si="0"/>
        <v>3369</v>
      </c>
    </row>
    <row r="21" spans="1:15" x14ac:dyDescent="0.2">
      <c r="A21" s="731">
        <v>17</v>
      </c>
      <c r="B21" s="93" t="s">
        <v>109</v>
      </c>
      <c r="C21" s="732" t="s">
        <v>110</v>
      </c>
      <c r="D21" s="733" t="s">
        <v>559</v>
      </c>
      <c r="E21" s="730">
        <v>4143</v>
      </c>
      <c r="F21" s="730">
        <v>0</v>
      </c>
      <c r="G21" s="730">
        <v>0</v>
      </c>
      <c r="H21" s="730">
        <v>31</v>
      </c>
      <c r="I21" s="730">
        <v>0</v>
      </c>
      <c r="J21" s="730">
        <v>4112</v>
      </c>
      <c r="K21" s="733"/>
      <c r="L21" s="733"/>
      <c r="M21" s="730">
        <v>4143</v>
      </c>
      <c r="N21" s="730">
        <v>0</v>
      </c>
      <c r="O21" s="730">
        <f t="shared" si="0"/>
        <v>4143</v>
      </c>
    </row>
    <row r="22" spans="1:15" x14ac:dyDescent="0.2">
      <c r="A22" s="731">
        <v>18</v>
      </c>
      <c r="B22" s="189" t="s">
        <v>111</v>
      </c>
      <c r="C22" s="732" t="s">
        <v>112</v>
      </c>
      <c r="D22" s="733" t="s">
        <v>559</v>
      </c>
      <c r="E22" s="730">
        <v>1561</v>
      </c>
      <c r="F22" s="730">
        <v>0</v>
      </c>
      <c r="G22" s="730">
        <v>0</v>
      </c>
      <c r="H22" s="730"/>
      <c r="I22" s="730"/>
      <c r="J22" s="730">
        <v>1561</v>
      </c>
      <c r="K22" s="733"/>
      <c r="L22" s="733"/>
      <c r="M22" s="730">
        <v>1561</v>
      </c>
      <c r="N22" s="730">
        <v>0</v>
      </c>
      <c r="O22" s="730">
        <f t="shared" si="0"/>
        <v>1561</v>
      </c>
    </row>
    <row r="23" spans="1:15" x14ac:dyDescent="0.2">
      <c r="A23" s="731">
        <v>19</v>
      </c>
      <c r="B23" s="94" t="s">
        <v>54</v>
      </c>
      <c r="C23" s="732" t="s">
        <v>55</v>
      </c>
      <c r="D23" s="733" t="s">
        <v>559</v>
      </c>
      <c r="E23" s="730">
        <v>1524</v>
      </c>
      <c r="F23" s="730">
        <v>0</v>
      </c>
      <c r="G23" s="730">
        <v>0</v>
      </c>
      <c r="H23" s="730"/>
      <c r="I23" s="730"/>
      <c r="J23" s="730">
        <v>1524</v>
      </c>
      <c r="K23" s="733"/>
      <c r="L23" s="733"/>
      <c r="M23" s="730">
        <v>1524</v>
      </c>
      <c r="N23" s="730">
        <v>0</v>
      </c>
      <c r="O23" s="730">
        <f t="shared" si="0"/>
        <v>1524</v>
      </c>
    </row>
    <row r="24" spans="1:15" x14ac:dyDescent="0.2">
      <c r="A24" s="731">
        <v>20</v>
      </c>
      <c r="B24" s="94" t="s">
        <v>197</v>
      </c>
      <c r="C24" s="732" t="s">
        <v>198</v>
      </c>
      <c r="D24" s="733" t="s">
        <v>559</v>
      </c>
      <c r="E24" s="730">
        <v>3483</v>
      </c>
      <c r="F24" s="730">
        <v>0</v>
      </c>
      <c r="G24" s="730">
        <v>0</v>
      </c>
      <c r="H24" s="730"/>
      <c r="I24" s="730"/>
      <c r="J24" s="730">
        <v>3483</v>
      </c>
      <c r="K24" s="733"/>
      <c r="L24" s="733"/>
      <c r="M24" s="730">
        <v>3483</v>
      </c>
      <c r="N24" s="730">
        <v>0</v>
      </c>
      <c r="O24" s="730">
        <f t="shared" si="0"/>
        <v>3483</v>
      </c>
    </row>
    <row r="25" spans="1:15" x14ac:dyDescent="0.2">
      <c r="A25" s="731">
        <v>21</v>
      </c>
      <c r="B25" s="93" t="s">
        <v>81</v>
      </c>
      <c r="C25" s="732" t="s">
        <v>82</v>
      </c>
      <c r="D25" s="733" t="s">
        <v>559</v>
      </c>
      <c r="E25" s="730">
        <v>2813</v>
      </c>
      <c r="F25" s="730">
        <v>0</v>
      </c>
      <c r="G25" s="730">
        <v>0</v>
      </c>
      <c r="H25" s="730">
        <v>8</v>
      </c>
      <c r="I25" s="730">
        <v>0</v>
      </c>
      <c r="J25" s="730">
        <v>2805</v>
      </c>
      <c r="K25" s="733"/>
      <c r="L25" s="733"/>
      <c r="M25" s="730">
        <v>2813</v>
      </c>
      <c r="N25" s="730">
        <v>0</v>
      </c>
      <c r="O25" s="730">
        <f t="shared" si="0"/>
        <v>2813</v>
      </c>
    </row>
    <row r="26" spans="1:15" x14ac:dyDescent="0.2">
      <c r="A26" s="731">
        <v>22</v>
      </c>
      <c r="B26" s="189" t="s">
        <v>30</v>
      </c>
      <c r="C26" s="732" t="s">
        <v>31</v>
      </c>
      <c r="D26" s="733" t="s">
        <v>559</v>
      </c>
      <c r="E26" s="730">
        <v>1950</v>
      </c>
      <c r="F26" s="730">
        <v>2</v>
      </c>
      <c r="G26" s="730">
        <v>0</v>
      </c>
      <c r="H26" s="730"/>
      <c r="I26" s="730"/>
      <c r="J26" s="730">
        <v>1948</v>
      </c>
      <c r="K26" s="733"/>
      <c r="L26" s="733"/>
      <c r="M26" s="730">
        <v>1950</v>
      </c>
      <c r="N26" s="730">
        <v>0</v>
      </c>
      <c r="O26" s="730">
        <f t="shared" si="0"/>
        <v>1950</v>
      </c>
    </row>
    <row r="27" spans="1:15" x14ac:dyDescent="0.2">
      <c r="A27" s="731">
        <v>23</v>
      </c>
      <c r="B27" s="189" t="s">
        <v>32</v>
      </c>
      <c r="C27" s="732" t="s">
        <v>33</v>
      </c>
      <c r="D27" s="733" t="s">
        <v>559</v>
      </c>
      <c r="E27" s="730">
        <v>2882</v>
      </c>
      <c r="F27" s="730">
        <v>0</v>
      </c>
      <c r="G27" s="730">
        <v>0</v>
      </c>
      <c r="H27" s="730">
        <v>1</v>
      </c>
      <c r="I27" s="730">
        <v>0</v>
      </c>
      <c r="J27" s="730">
        <v>2881</v>
      </c>
      <c r="K27" s="733"/>
      <c r="L27" s="733"/>
      <c r="M27" s="730">
        <v>2882</v>
      </c>
      <c r="N27" s="730">
        <v>0</v>
      </c>
      <c r="O27" s="730">
        <f t="shared" si="0"/>
        <v>2882</v>
      </c>
    </row>
    <row r="28" spans="1:15" x14ac:dyDescent="0.2">
      <c r="A28" s="731">
        <v>24</v>
      </c>
      <c r="B28" s="94" t="s">
        <v>199</v>
      </c>
      <c r="C28" s="732" t="s">
        <v>200</v>
      </c>
      <c r="D28" s="733" t="s">
        <v>559</v>
      </c>
      <c r="E28" s="730">
        <v>4506</v>
      </c>
      <c r="F28" s="730">
        <v>2</v>
      </c>
      <c r="G28" s="730">
        <v>0</v>
      </c>
      <c r="H28" s="730">
        <v>1</v>
      </c>
      <c r="I28" s="730">
        <v>0</v>
      </c>
      <c r="J28" s="730">
        <v>4503</v>
      </c>
      <c r="K28" s="733"/>
      <c r="L28" s="733"/>
      <c r="M28" s="730">
        <v>4506</v>
      </c>
      <c r="N28" s="730">
        <v>0</v>
      </c>
      <c r="O28" s="730">
        <f t="shared" si="0"/>
        <v>4506</v>
      </c>
    </row>
    <row r="29" spans="1:15" x14ac:dyDescent="0.2">
      <c r="A29" s="731">
        <v>25</v>
      </c>
      <c r="B29" s="189" t="s">
        <v>201</v>
      </c>
      <c r="C29" s="732" t="s">
        <v>202</v>
      </c>
      <c r="D29" s="733" t="s">
        <v>559</v>
      </c>
      <c r="E29" s="730">
        <v>1637</v>
      </c>
      <c r="F29" s="730">
        <v>0</v>
      </c>
      <c r="G29" s="730">
        <v>0</v>
      </c>
      <c r="H29" s="730"/>
      <c r="I29" s="730"/>
      <c r="J29" s="730">
        <v>1637</v>
      </c>
      <c r="K29" s="733"/>
      <c r="L29" s="733"/>
      <c r="M29" s="730">
        <v>1637</v>
      </c>
      <c r="N29" s="730">
        <v>0</v>
      </c>
      <c r="O29" s="730">
        <f t="shared" si="0"/>
        <v>1637</v>
      </c>
    </row>
    <row r="30" spans="1:15" x14ac:dyDescent="0.2">
      <c r="A30" s="731">
        <v>26</v>
      </c>
      <c r="B30" s="189" t="s">
        <v>34</v>
      </c>
      <c r="C30" s="732" t="s">
        <v>35</v>
      </c>
      <c r="D30" s="733" t="s">
        <v>559</v>
      </c>
      <c r="E30" s="730">
        <v>2065</v>
      </c>
      <c r="F30" s="730">
        <v>0</v>
      </c>
      <c r="G30" s="730">
        <v>0</v>
      </c>
      <c r="H30" s="730"/>
      <c r="I30" s="730"/>
      <c r="J30" s="730">
        <v>2065</v>
      </c>
      <c r="K30" s="733"/>
      <c r="L30" s="733"/>
      <c r="M30" s="730">
        <v>2065</v>
      </c>
      <c r="N30" s="730">
        <v>0</v>
      </c>
      <c r="O30" s="730">
        <f t="shared" si="0"/>
        <v>2065</v>
      </c>
    </row>
    <row r="31" spans="1:15" x14ac:dyDescent="0.2">
      <c r="A31" s="731">
        <v>27</v>
      </c>
      <c r="B31" s="93" t="s">
        <v>85</v>
      </c>
      <c r="C31" s="732" t="s">
        <v>86</v>
      </c>
      <c r="D31" s="733" t="s">
        <v>559</v>
      </c>
      <c r="E31" s="730">
        <v>3151</v>
      </c>
      <c r="F31" s="730">
        <v>0</v>
      </c>
      <c r="G31" s="730">
        <v>0</v>
      </c>
      <c r="H31" s="730">
        <v>2</v>
      </c>
      <c r="I31" s="730">
        <v>0</v>
      </c>
      <c r="J31" s="730">
        <v>3149</v>
      </c>
      <c r="K31" s="733"/>
      <c r="L31" s="733"/>
      <c r="M31" s="730">
        <v>3151</v>
      </c>
      <c r="N31" s="730">
        <v>0</v>
      </c>
      <c r="O31" s="730">
        <f t="shared" si="0"/>
        <v>3151</v>
      </c>
    </row>
    <row r="32" spans="1:15" x14ac:dyDescent="0.2">
      <c r="A32" s="731">
        <v>28</v>
      </c>
      <c r="B32" s="94" t="s">
        <v>203</v>
      </c>
      <c r="C32" s="732" t="s">
        <v>204</v>
      </c>
      <c r="D32" s="733" t="s">
        <v>559</v>
      </c>
      <c r="E32" s="730">
        <v>2485</v>
      </c>
      <c r="F32" s="730">
        <v>0</v>
      </c>
      <c r="G32" s="730">
        <v>0</v>
      </c>
      <c r="H32" s="730"/>
      <c r="I32" s="730"/>
      <c r="J32" s="730">
        <v>2485</v>
      </c>
      <c r="K32" s="733"/>
      <c r="L32" s="733"/>
      <c r="M32" s="730">
        <v>2485</v>
      </c>
      <c r="N32" s="730">
        <v>0</v>
      </c>
      <c r="O32" s="730">
        <f t="shared" si="0"/>
        <v>2485</v>
      </c>
    </row>
    <row r="33" spans="1:15" x14ac:dyDescent="0.2">
      <c r="A33" s="731">
        <v>29</v>
      </c>
      <c r="B33" s="189" t="s">
        <v>36</v>
      </c>
      <c r="C33" s="732" t="s">
        <v>37</v>
      </c>
      <c r="D33" s="733" t="s">
        <v>559</v>
      </c>
      <c r="E33" s="730">
        <v>2610</v>
      </c>
      <c r="F33" s="730">
        <v>0</v>
      </c>
      <c r="G33" s="730">
        <v>0</v>
      </c>
      <c r="H33" s="730"/>
      <c r="I33" s="730"/>
      <c r="J33" s="730">
        <v>2610</v>
      </c>
      <c r="K33" s="733"/>
      <c r="L33" s="733"/>
      <c r="M33" s="730">
        <v>2610</v>
      </c>
      <c r="N33" s="730">
        <v>0</v>
      </c>
      <c r="O33" s="730">
        <f t="shared" si="0"/>
        <v>2610</v>
      </c>
    </row>
    <row r="34" spans="1:15" x14ac:dyDescent="0.2">
      <c r="A34" s="731">
        <v>30</v>
      </c>
      <c r="B34" s="93" t="s">
        <v>113</v>
      </c>
      <c r="C34" s="732" t="s">
        <v>114</v>
      </c>
      <c r="D34" s="733" t="s">
        <v>559</v>
      </c>
      <c r="E34" s="730">
        <v>2983</v>
      </c>
      <c r="F34" s="730">
        <v>0</v>
      </c>
      <c r="G34" s="730">
        <v>0</v>
      </c>
      <c r="H34" s="730">
        <v>3</v>
      </c>
      <c r="I34" s="730">
        <v>0</v>
      </c>
      <c r="J34" s="730">
        <v>2980</v>
      </c>
      <c r="K34" s="733"/>
      <c r="L34" s="733"/>
      <c r="M34" s="730">
        <v>2983</v>
      </c>
      <c r="N34" s="730">
        <v>0</v>
      </c>
      <c r="O34" s="730">
        <f t="shared" si="0"/>
        <v>2983</v>
      </c>
    </row>
    <row r="35" spans="1:15" x14ac:dyDescent="0.2">
      <c r="A35" s="731">
        <v>31</v>
      </c>
      <c r="B35" s="747" t="s">
        <v>89</v>
      </c>
      <c r="C35" s="732" t="s">
        <v>90</v>
      </c>
      <c r="D35" s="733" t="s">
        <v>559</v>
      </c>
      <c r="E35" s="730">
        <v>3248</v>
      </c>
      <c r="F35" s="730">
        <v>0</v>
      </c>
      <c r="G35" s="730">
        <v>0</v>
      </c>
      <c r="H35" s="730">
        <v>4</v>
      </c>
      <c r="I35" s="730">
        <v>0</v>
      </c>
      <c r="J35" s="730">
        <v>3244</v>
      </c>
      <c r="K35" s="733"/>
      <c r="L35" s="733"/>
      <c r="M35" s="730">
        <v>3248</v>
      </c>
      <c r="N35" s="730">
        <v>0</v>
      </c>
      <c r="O35" s="730">
        <f t="shared" si="0"/>
        <v>3248</v>
      </c>
    </row>
    <row r="36" spans="1:15" x14ac:dyDescent="0.2">
      <c r="A36" s="731">
        <v>32</v>
      </c>
      <c r="B36" s="189" t="s">
        <v>209</v>
      </c>
      <c r="C36" s="732" t="s">
        <v>210</v>
      </c>
      <c r="D36" s="733" t="s">
        <v>559</v>
      </c>
      <c r="E36" s="730">
        <v>1934</v>
      </c>
      <c r="F36" s="730">
        <v>0</v>
      </c>
      <c r="G36" s="730">
        <v>0</v>
      </c>
      <c r="H36" s="730">
        <v>3</v>
      </c>
      <c r="I36" s="730">
        <v>0</v>
      </c>
      <c r="J36" s="730">
        <v>1931</v>
      </c>
      <c r="K36" s="733"/>
      <c r="L36" s="733"/>
      <c r="M36" s="730">
        <v>1934</v>
      </c>
      <c r="N36" s="730">
        <v>0</v>
      </c>
      <c r="O36" s="730">
        <f t="shared" si="0"/>
        <v>1934</v>
      </c>
    </row>
    <row r="37" spans="1:15" x14ac:dyDescent="0.2">
      <c r="A37" s="731">
        <v>33</v>
      </c>
      <c r="B37" s="189" t="s">
        <v>115</v>
      </c>
      <c r="C37" s="732" t="s">
        <v>116</v>
      </c>
      <c r="D37" s="733" t="s">
        <v>559</v>
      </c>
      <c r="E37" s="730">
        <v>4229</v>
      </c>
      <c r="F37" s="730">
        <v>0</v>
      </c>
      <c r="G37" s="730">
        <v>0</v>
      </c>
      <c r="H37" s="730">
        <v>7</v>
      </c>
      <c r="I37" s="730">
        <v>0</v>
      </c>
      <c r="J37" s="730">
        <v>4222</v>
      </c>
      <c r="K37" s="733"/>
      <c r="L37" s="733"/>
      <c r="M37" s="730">
        <v>4229</v>
      </c>
      <c r="N37" s="730">
        <v>0</v>
      </c>
      <c r="O37" s="730">
        <f t="shared" si="0"/>
        <v>4229</v>
      </c>
    </row>
    <row r="38" spans="1:15" x14ac:dyDescent="0.2">
      <c r="A38" s="731">
        <v>34</v>
      </c>
      <c r="B38" s="94" t="s">
        <v>91</v>
      </c>
      <c r="C38" s="732" t="s">
        <v>92</v>
      </c>
      <c r="D38" s="733" t="s">
        <v>559</v>
      </c>
      <c r="E38" s="730">
        <v>1971</v>
      </c>
      <c r="F38" s="730">
        <v>0</v>
      </c>
      <c r="G38" s="730">
        <v>0</v>
      </c>
      <c r="H38" s="730"/>
      <c r="I38" s="730"/>
      <c r="J38" s="730">
        <v>1971</v>
      </c>
      <c r="K38" s="733"/>
      <c r="L38" s="733"/>
      <c r="M38" s="730">
        <v>1971</v>
      </c>
      <c r="N38" s="730">
        <v>0</v>
      </c>
      <c r="O38" s="730">
        <f t="shared" si="0"/>
        <v>1971</v>
      </c>
    </row>
    <row r="39" spans="1:15" x14ac:dyDescent="0.2">
      <c r="A39" s="731">
        <v>35</v>
      </c>
      <c r="B39" s="94" t="s">
        <v>93</v>
      </c>
      <c r="C39" s="732" t="s">
        <v>94</v>
      </c>
      <c r="D39" s="733" t="s">
        <v>559</v>
      </c>
      <c r="E39" s="730">
        <v>2741</v>
      </c>
      <c r="F39" s="730">
        <v>0</v>
      </c>
      <c r="G39" s="730">
        <v>0</v>
      </c>
      <c r="H39" s="730"/>
      <c r="I39" s="730"/>
      <c r="J39" s="730">
        <v>2741</v>
      </c>
      <c r="K39" s="733"/>
      <c r="L39" s="733"/>
      <c r="M39" s="730">
        <v>2741</v>
      </c>
      <c r="N39" s="730">
        <v>0</v>
      </c>
      <c r="O39" s="730">
        <f t="shared" si="0"/>
        <v>2741</v>
      </c>
    </row>
    <row r="40" spans="1:15" x14ac:dyDescent="0.2">
      <c r="A40" s="731">
        <v>36</v>
      </c>
      <c r="B40" s="189" t="s">
        <v>95</v>
      </c>
      <c r="C40" s="732" t="s">
        <v>96</v>
      </c>
      <c r="D40" s="733" t="s">
        <v>559</v>
      </c>
      <c r="E40" s="730">
        <v>1551</v>
      </c>
      <c r="F40" s="730">
        <v>0</v>
      </c>
      <c r="G40" s="730">
        <v>0</v>
      </c>
      <c r="H40" s="730"/>
      <c r="I40" s="730"/>
      <c r="J40" s="730">
        <v>1551</v>
      </c>
      <c r="K40" s="733"/>
      <c r="L40" s="733"/>
      <c r="M40" s="730">
        <v>1551</v>
      </c>
      <c r="N40" s="730">
        <v>0</v>
      </c>
      <c r="O40" s="730">
        <f t="shared" si="0"/>
        <v>1551</v>
      </c>
    </row>
    <row r="41" spans="1:15" x14ac:dyDescent="0.2">
      <c r="A41" s="731">
        <v>37</v>
      </c>
      <c r="B41" s="189" t="s">
        <v>211</v>
      </c>
      <c r="C41" s="732" t="s">
        <v>212</v>
      </c>
      <c r="D41" s="733" t="s">
        <v>559</v>
      </c>
      <c r="E41" s="730">
        <v>2751</v>
      </c>
      <c r="F41" s="730">
        <v>0</v>
      </c>
      <c r="G41" s="730">
        <v>0</v>
      </c>
      <c r="H41" s="730"/>
      <c r="I41" s="730"/>
      <c r="J41" s="730">
        <v>2751</v>
      </c>
      <c r="K41" s="733"/>
      <c r="L41" s="733"/>
      <c r="M41" s="730">
        <v>2751</v>
      </c>
      <c r="N41" s="730">
        <v>0</v>
      </c>
      <c r="O41" s="730">
        <f t="shared" si="0"/>
        <v>2751</v>
      </c>
    </row>
    <row r="42" spans="1:15" x14ac:dyDescent="0.2">
      <c r="A42" s="731">
        <v>38</v>
      </c>
      <c r="B42" s="94" t="s">
        <v>213</v>
      </c>
      <c r="C42" s="732" t="s">
        <v>214</v>
      </c>
      <c r="D42" s="733" t="s">
        <v>559</v>
      </c>
      <c r="E42" s="730">
        <v>4091</v>
      </c>
      <c r="F42" s="730">
        <v>0</v>
      </c>
      <c r="G42" s="730">
        <v>0</v>
      </c>
      <c r="H42" s="730">
        <v>5</v>
      </c>
      <c r="I42" s="730">
        <v>0</v>
      </c>
      <c r="J42" s="730">
        <v>4086</v>
      </c>
      <c r="K42" s="733"/>
      <c r="L42" s="733"/>
      <c r="M42" s="730">
        <v>4091</v>
      </c>
      <c r="N42" s="730">
        <v>0</v>
      </c>
      <c r="O42" s="730">
        <f t="shared" si="0"/>
        <v>4091</v>
      </c>
    </row>
    <row r="43" spans="1:15" x14ac:dyDescent="0.2">
      <c r="A43" s="731">
        <v>39</v>
      </c>
      <c r="B43" s="189" t="s">
        <v>119</v>
      </c>
      <c r="C43" s="732" t="s">
        <v>120</v>
      </c>
      <c r="D43" s="733" t="s">
        <v>559</v>
      </c>
      <c r="E43" s="730">
        <v>2501</v>
      </c>
      <c r="F43" s="730">
        <v>0</v>
      </c>
      <c r="G43" s="730">
        <v>0</v>
      </c>
      <c r="H43" s="730"/>
      <c r="I43" s="730"/>
      <c r="J43" s="730">
        <v>2501</v>
      </c>
      <c r="K43" s="733"/>
      <c r="L43" s="733"/>
      <c r="M43" s="730">
        <v>2501</v>
      </c>
      <c r="N43" s="730">
        <v>0</v>
      </c>
      <c r="O43" s="730">
        <f t="shared" si="0"/>
        <v>2501</v>
      </c>
    </row>
    <row r="44" spans="1:15" x14ac:dyDescent="0.2">
      <c r="A44" s="731">
        <v>40</v>
      </c>
      <c r="B44" s="93" t="s">
        <v>215</v>
      </c>
      <c r="C44" s="732" t="s">
        <v>216</v>
      </c>
      <c r="D44" s="733" t="s">
        <v>559</v>
      </c>
      <c r="E44" s="730">
        <v>2059</v>
      </c>
      <c r="F44" s="730">
        <v>0</v>
      </c>
      <c r="G44" s="730">
        <v>0</v>
      </c>
      <c r="H44" s="730"/>
      <c r="I44" s="730"/>
      <c r="J44" s="730">
        <v>2059</v>
      </c>
      <c r="K44" s="733"/>
      <c r="L44" s="733"/>
      <c r="M44" s="730">
        <v>2059</v>
      </c>
      <c r="N44" s="730">
        <v>0</v>
      </c>
      <c r="O44" s="730">
        <f t="shared" si="0"/>
        <v>2059</v>
      </c>
    </row>
    <row r="45" spans="1:15" x14ac:dyDescent="0.2">
      <c r="A45" s="731">
        <v>41</v>
      </c>
      <c r="B45" s="189" t="s">
        <v>38</v>
      </c>
      <c r="C45" s="732" t="s">
        <v>39</v>
      </c>
      <c r="D45" s="733" t="s">
        <v>559</v>
      </c>
      <c r="E45" s="730">
        <v>5154</v>
      </c>
      <c r="F45" s="730">
        <v>0</v>
      </c>
      <c r="G45" s="730">
        <v>0</v>
      </c>
      <c r="H45" s="730">
        <v>17</v>
      </c>
      <c r="I45" s="730">
        <v>0</v>
      </c>
      <c r="J45" s="730">
        <v>5137</v>
      </c>
      <c r="K45" s="733"/>
      <c r="L45" s="733"/>
      <c r="M45" s="730">
        <v>5154</v>
      </c>
      <c r="N45" s="730">
        <v>0</v>
      </c>
      <c r="O45" s="730">
        <f t="shared" si="0"/>
        <v>5154</v>
      </c>
    </row>
    <row r="46" spans="1:15" x14ac:dyDescent="0.2">
      <c r="A46" s="731">
        <v>42</v>
      </c>
      <c r="B46" s="94" t="s">
        <v>167</v>
      </c>
      <c r="C46" s="732" t="s">
        <v>560</v>
      </c>
      <c r="D46" s="733" t="s">
        <v>559</v>
      </c>
      <c r="E46" s="730">
        <v>875</v>
      </c>
      <c r="F46" s="730">
        <v>0</v>
      </c>
      <c r="G46" s="730">
        <v>0</v>
      </c>
      <c r="H46" s="730"/>
      <c r="I46" s="730"/>
      <c r="J46" s="730">
        <v>875</v>
      </c>
      <c r="K46" s="733"/>
      <c r="L46" s="733"/>
      <c r="M46" s="730">
        <v>875</v>
      </c>
      <c r="N46" s="730">
        <v>0</v>
      </c>
      <c r="O46" s="730">
        <f t="shared" si="0"/>
        <v>875</v>
      </c>
    </row>
    <row r="47" spans="1:15" x14ac:dyDescent="0.2">
      <c r="A47" s="731">
        <v>43</v>
      </c>
      <c r="B47" s="94" t="s">
        <v>163</v>
      </c>
      <c r="C47" s="732" t="s">
        <v>561</v>
      </c>
      <c r="D47" s="733" t="s">
        <v>562</v>
      </c>
      <c r="E47" s="730">
        <v>2823</v>
      </c>
      <c r="F47" s="730">
        <v>0</v>
      </c>
      <c r="G47" s="730">
        <v>0</v>
      </c>
      <c r="H47" s="730"/>
      <c r="I47" s="730"/>
      <c r="J47" s="730">
        <v>2823</v>
      </c>
      <c r="K47" s="733"/>
      <c r="L47" s="733"/>
      <c r="M47" s="730">
        <v>2823</v>
      </c>
      <c r="N47" s="730">
        <v>900</v>
      </c>
      <c r="O47" s="730">
        <f t="shared" si="0"/>
        <v>3723</v>
      </c>
    </row>
    <row r="48" spans="1:15" x14ac:dyDescent="0.2">
      <c r="A48" s="731">
        <v>44</v>
      </c>
      <c r="B48" s="189" t="s">
        <v>70</v>
      </c>
      <c r="C48" s="732" t="s">
        <v>563</v>
      </c>
      <c r="D48" s="733" t="s">
        <v>562</v>
      </c>
      <c r="E48" s="730">
        <v>5098</v>
      </c>
      <c r="F48" s="730">
        <v>0</v>
      </c>
      <c r="G48" s="730">
        <v>0</v>
      </c>
      <c r="H48" s="730"/>
      <c r="I48" s="730"/>
      <c r="J48" s="730">
        <v>5098</v>
      </c>
      <c r="K48" s="733"/>
      <c r="L48" s="733"/>
      <c r="M48" s="730">
        <v>5098</v>
      </c>
      <c r="N48" s="730">
        <v>360</v>
      </c>
      <c r="O48" s="730">
        <f t="shared" si="0"/>
        <v>5458</v>
      </c>
    </row>
    <row r="49" spans="1:15" x14ac:dyDescent="0.2">
      <c r="A49" s="731">
        <v>45</v>
      </c>
      <c r="B49" s="189" t="s">
        <v>280</v>
      </c>
      <c r="C49" s="732" t="s">
        <v>281</v>
      </c>
      <c r="D49" s="733" t="s">
        <v>562</v>
      </c>
      <c r="E49" s="730">
        <v>21976</v>
      </c>
      <c r="F49" s="730">
        <v>0</v>
      </c>
      <c r="G49" s="730">
        <v>8377</v>
      </c>
      <c r="H49" s="730"/>
      <c r="I49" s="730"/>
      <c r="J49" s="730">
        <v>13599</v>
      </c>
      <c r="K49" s="733"/>
      <c r="L49" s="733"/>
      <c r="M49" s="730">
        <v>21976</v>
      </c>
      <c r="N49" s="730">
        <v>0</v>
      </c>
      <c r="O49" s="730">
        <f t="shared" si="0"/>
        <v>21976</v>
      </c>
    </row>
    <row r="50" spans="1:15" x14ac:dyDescent="0.2">
      <c r="A50" s="731">
        <v>46</v>
      </c>
      <c r="B50" s="94" t="s">
        <v>103</v>
      </c>
      <c r="C50" s="732" t="s">
        <v>104</v>
      </c>
      <c r="D50" s="733" t="s">
        <v>564</v>
      </c>
      <c r="E50" s="730">
        <v>13032</v>
      </c>
      <c r="F50" s="730">
        <v>6</v>
      </c>
      <c r="G50" s="730">
        <v>0</v>
      </c>
      <c r="H50" s="730">
        <v>361</v>
      </c>
      <c r="I50" s="730">
        <v>91</v>
      </c>
      <c r="J50" s="730">
        <v>12574</v>
      </c>
      <c r="K50" s="733"/>
      <c r="L50" s="733"/>
      <c r="M50" s="730">
        <v>13032</v>
      </c>
      <c r="N50" s="730">
        <v>0</v>
      </c>
      <c r="O50" s="730">
        <f t="shared" si="0"/>
        <v>13032</v>
      </c>
    </row>
    <row r="51" spans="1:15" x14ac:dyDescent="0.2">
      <c r="A51" s="731">
        <v>47</v>
      </c>
      <c r="B51" s="189" t="s">
        <v>20</v>
      </c>
      <c r="C51" s="732" t="s">
        <v>21</v>
      </c>
      <c r="D51" s="733" t="s">
        <v>564</v>
      </c>
      <c r="E51" s="730">
        <v>8803</v>
      </c>
      <c r="F51" s="730">
        <v>0</v>
      </c>
      <c r="G51" s="730">
        <v>0</v>
      </c>
      <c r="H51" s="730">
        <v>550</v>
      </c>
      <c r="I51" s="730">
        <v>160</v>
      </c>
      <c r="J51" s="730">
        <v>8093</v>
      </c>
      <c r="K51" s="733"/>
      <c r="L51" s="733"/>
      <c r="M51" s="730">
        <v>8803</v>
      </c>
      <c r="N51" s="730">
        <v>0</v>
      </c>
      <c r="O51" s="730">
        <f t="shared" si="0"/>
        <v>8803</v>
      </c>
    </row>
    <row r="52" spans="1:15" x14ac:dyDescent="0.2">
      <c r="A52" s="731">
        <v>48</v>
      </c>
      <c r="B52" s="189" t="s">
        <v>161</v>
      </c>
      <c r="C52" s="732" t="s">
        <v>565</v>
      </c>
      <c r="D52" s="733" t="s">
        <v>564</v>
      </c>
      <c r="E52" s="730">
        <v>10218</v>
      </c>
      <c r="F52" s="730">
        <v>1</v>
      </c>
      <c r="G52" s="730">
        <v>1680</v>
      </c>
      <c r="H52" s="730">
        <v>636</v>
      </c>
      <c r="I52" s="730">
        <v>570</v>
      </c>
      <c r="J52" s="730">
        <v>7331</v>
      </c>
      <c r="K52" s="733"/>
      <c r="L52" s="733"/>
      <c r="M52" s="730">
        <v>10218</v>
      </c>
      <c r="N52" s="730">
        <v>400</v>
      </c>
      <c r="O52" s="730">
        <f t="shared" si="0"/>
        <v>10618</v>
      </c>
    </row>
    <row r="53" spans="1:15" x14ac:dyDescent="0.2">
      <c r="A53" s="731">
        <v>49</v>
      </c>
      <c r="B53" s="94" t="s">
        <v>28</v>
      </c>
      <c r="C53" s="732" t="s">
        <v>29</v>
      </c>
      <c r="D53" s="733" t="s">
        <v>564</v>
      </c>
      <c r="E53" s="730">
        <v>7908</v>
      </c>
      <c r="F53" s="730">
        <v>0</v>
      </c>
      <c r="G53" s="730">
        <v>0</v>
      </c>
      <c r="H53" s="730">
        <v>140</v>
      </c>
      <c r="I53" s="730">
        <v>20</v>
      </c>
      <c r="J53" s="730">
        <v>7748</v>
      </c>
      <c r="K53" s="733"/>
      <c r="L53" s="733"/>
      <c r="M53" s="730">
        <v>7908</v>
      </c>
      <c r="N53" s="730">
        <v>0</v>
      </c>
      <c r="O53" s="730">
        <f t="shared" si="0"/>
        <v>7908</v>
      </c>
    </row>
    <row r="54" spans="1:15" x14ac:dyDescent="0.2">
      <c r="A54" s="731">
        <v>50</v>
      </c>
      <c r="B54" s="94" t="s">
        <v>87</v>
      </c>
      <c r="C54" s="732" t="s">
        <v>88</v>
      </c>
      <c r="D54" s="733" t="s">
        <v>564</v>
      </c>
      <c r="E54" s="730">
        <v>9882</v>
      </c>
      <c r="F54" s="730">
        <v>3</v>
      </c>
      <c r="G54" s="730">
        <v>0</v>
      </c>
      <c r="H54" s="730">
        <v>229</v>
      </c>
      <c r="I54" s="730">
        <v>111</v>
      </c>
      <c r="J54" s="730">
        <v>9539</v>
      </c>
      <c r="K54" s="733"/>
      <c r="L54" s="733"/>
      <c r="M54" s="730">
        <v>9882</v>
      </c>
      <c r="N54" s="730">
        <v>0</v>
      </c>
      <c r="O54" s="730">
        <f t="shared" si="0"/>
        <v>9882</v>
      </c>
    </row>
    <row r="55" spans="1:15" x14ac:dyDescent="0.2">
      <c r="A55" s="731">
        <v>51</v>
      </c>
      <c r="B55" s="189" t="s">
        <v>117</v>
      </c>
      <c r="C55" s="732" t="s">
        <v>118</v>
      </c>
      <c r="D55" s="733" t="s">
        <v>564</v>
      </c>
      <c r="E55" s="730">
        <v>18910</v>
      </c>
      <c r="F55" s="730">
        <v>15</v>
      </c>
      <c r="G55" s="730">
        <v>1260</v>
      </c>
      <c r="H55" s="730">
        <v>600</v>
      </c>
      <c r="I55" s="730">
        <v>250</v>
      </c>
      <c r="J55" s="730">
        <v>16785</v>
      </c>
      <c r="K55" s="733"/>
      <c r="L55" s="733"/>
      <c r="M55" s="730">
        <v>18910</v>
      </c>
      <c r="N55" s="730">
        <v>0</v>
      </c>
      <c r="O55" s="730">
        <f t="shared" si="0"/>
        <v>18910</v>
      </c>
    </row>
    <row r="56" spans="1:15" x14ac:dyDescent="0.2">
      <c r="A56" s="731">
        <v>52</v>
      </c>
      <c r="B56" s="94" t="s">
        <v>56</v>
      </c>
      <c r="C56" s="748" t="s">
        <v>57</v>
      </c>
      <c r="D56" s="733" t="s">
        <v>564</v>
      </c>
      <c r="E56" s="730">
        <v>8944</v>
      </c>
      <c r="F56" s="730">
        <v>22</v>
      </c>
      <c r="G56" s="730">
        <v>0</v>
      </c>
      <c r="H56" s="730">
        <v>230</v>
      </c>
      <c r="I56" s="730">
        <v>93</v>
      </c>
      <c r="J56" s="730">
        <v>8599</v>
      </c>
      <c r="K56" s="733"/>
      <c r="L56" s="733"/>
      <c r="M56" s="730">
        <v>8944</v>
      </c>
      <c r="N56" s="730">
        <v>416</v>
      </c>
      <c r="O56" s="730">
        <f t="shared" si="0"/>
        <v>9360</v>
      </c>
    </row>
    <row r="57" spans="1:15" x14ac:dyDescent="0.2">
      <c r="A57" s="731">
        <v>53</v>
      </c>
      <c r="B57" s="189" t="s">
        <v>185</v>
      </c>
      <c r="C57" s="732" t="s">
        <v>568</v>
      </c>
      <c r="D57" s="733" t="s">
        <v>564</v>
      </c>
      <c r="E57" s="730">
        <v>6303</v>
      </c>
      <c r="F57" s="730">
        <v>0</v>
      </c>
      <c r="G57" s="730">
        <v>0</v>
      </c>
      <c r="H57" s="730"/>
      <c r="I57" s="730"/>
      <c r="J57" s="730">
        <v>6303</v>
      </c>
      <c r="K57" s="733"/>
      <c r="L57" s="733"/>
      <c r="M57" s="730">
        <v>6303</v>
      </c>
      <c r="N57" s="730">
        <v>710</v>
      </c>
      <c r="O57" s="730">
        <f t="shared" si="0"/>
        <v>7013</v>
      </c>
    </row>
    <row r="58" spans="1:15" x14ac:dyDescent="0.2">
      <c r="A58" s="731">
        <v>54</v>
      </c>
      <c r="B58" s="189" t="s">
        <v>393</v>
      </c>
      <c r="C58" s="732" t="s">
        <v>394</v>
      </c>
      <c r="D58" s="733" t="s">
        <v>564</v>
      </c>
      <c r="E58" s="730">
        <v>0</v>
      </c>
      <c r="F58" s="730">
        <v>0</v>
      </c>
      <c r="G58" s="730">
        <v>0</v>
      </c>
      <c r="H58" s="730"/>
      <c r="I58" s="730"/>
      <c r="J58" s="730">
        <v>0</v>
      </c>
      <c r="K58" s="733"/>
      <c r="L58" s="733"/>
      <c r="M58" s="730">
        <v>0</v>
      </c>
      <c r="N58" s="730">
        <v>300</v>
      </c>
      <c r="O58" s="730">
        <f t="shared" si="0"/>
        <v>300</v>
      </c>
    </row>
    <row r="59" spans="1:15" x14ac:dyDescent="0.2">
      <c r="A59" s="731">
        <v>55</v>
      </c>
      <c r="B59" s="189" t="s">
        <v>243</v>
      </c>
      <c r="C59" s="732" t="s">
        <v>385</v>
      </c>
      <c r="D59" s="733" t="s">
        <v>564</v>
      </c>
      <c r="E59" s="730">
        <v>314</v>
      </c>
      <c r="F59" s="730">
        <v>0</v>
      </c>
      <c r="G59" s="730">
        <v>0</v>
      </c>
      <c r="H59" s="730"/>
      <c r="I59" s="730"/>
      <c r="J59" s="730">
        <v>314</v>
      </c>
      <c r="K59" s="733"/>
      <c r="L59" s="733"/>
      <c r="M59" s="730">
        <v>314</v>
      </c>
      <c r="N59" s="730">
        <v>0</v>
      </c>
      <c r="O59" s="730">
        <f t="shared" si="0"/>
        <v>314</v>
      </c>
    </row>
    <row r="60" spans="1:15" x14ac:dyDescent="0.2">
      <c r="A60" s="731">
        <v>56</v>
      </c>
      <c r="B60" s="189" t="s">
        <v>123</v>
      </c>
      <c r="C60" s="732" t="s">
        <v>569</v>
      </c>
      <c r="D60" s="733" t="s">
        <v>570</v>
      </c>
      <c r="E60" s="730">
        <v>530</v>
      </c>
      <c r="F60" s="730">
        <v>0</v>
      </c>
      <c r="G60" s="730">
        <v>0</v>
      </c>
      <c r="H60" s="730"/>
      <c r="I60" s="730"/>
      <c r="J60" s="730">
        <v>530</v>
      </c>
      <c r="K60" s="730">
        <v>450</v>
      </c>
      <c r="L60" s="730">
        <v>0</v>
      </c>
      <c r="M60" s="730">
        <v>980</v>
      </c>
      <c r="N60" s="730">
        <v>0</v>
      </c>
      <c r="O60" s="730">
        <f t="shared" si="0"/>
        <v>980</v>
      </c>
    </row>
    <row r="61" spans="1:15" x14ac:dyDescent="0.2">
      <c r="A61" s="749">
        <v>57</v>
      </c>
      <c r="B61" s="96" t="s">
        <v>205</v>
      </c>
      <c r="C61" s="737" t="s">
        <v>206</v>
      </c>
      <c r="D61" s="740" t="s">
        <v>570</v>
      </c>
      <c r="E61" s="735">
        <v>3305</v>
      </c>
      <c r="F61" s="735">
        <v>0</v>
      </c>
      <c r="G61" s="735">
        <v>0</v>
      </c>
      <c r="H61" s="735">
        <v>3</v>
      </c>
      <c r="I61" s="735"/>
      <c r="J61" s="735">
        <v>3302</v>
      </c>
      <c r="K61" s="735">
        <v>94</v>
      </c>
      <c r="L61" s="735">
        <v>0</v>
      </c>
      <c r="M61" s="735">
        <v>3399</v>
      </c>
      <c r="N61" s="735">
        <v>0</v>
      </c>
      <c r="O61" s="735">
        <f t="shared" ref="O61" si="1">O62+O63</f>
        <v>3399</v>
      </c>
    </row>
    <row r="62" spans="1:15" x14ac:dyDescent="0.2">
      <c r="A62" s="742"/>
      <c r="B62" s="189"/>
      <c r="C62" s="736" t="s">
        <v>573</v>
      </c>
      <c r="D62" s="733" t="s">
        <v>801</v>
      </c>
      <c r="E62" s="730">
        <v>2906</v>
      </c>
      <c r="F62" s="730">
        <v>0</v>
      </c>
      <c r="G62" s="730">
        <v>0</v>
      </c>
      <c r="H62" s="730">
        <v>3</v>
      </c>
      <c r="I62" s="730">
        <v>0</v>
      </c>
      <c r="J62" s="730">
        <v>2903</v>
      </c>
      <c r="K62" s="730"/>
      <c r="L62" s="730"/>
      <c r="M62" s="730">
        <v>2906</v>
      </c>
      <c r="N62" s="730">
        <v>0</v>
      </c>
      <c r="O62" s="730">
        <f t="shared" si="0"/>
        <v>2906</v>
      </c>
    </row>
    <row r="63" spans="1:15" x14ac:dyDescent="0.2">
      <c r="A63" s="742"/>
      <c r="B63" s="189"/>
      <c r="C63" s="736" t="s">
        <v>573</v>
      </c>
      <c r="D63" s="733" t="s">
        <v>572</v>
      </c>
      <c r="E63" s="730">
        <v>399</v>
      </c>
      <c r="F63" s="730">
        <v>0</v>
      </c>
      <c r="G63" s="730">
        <v>0</v>
      </c>
      <c r="H63" s="730"/>
      <c r="I63" s="730"/>
      <c r="J63" s="730">
        <v>399</v>
      </c>
      <c r="K63" s="730">
        <v>94</v>
      </c>
      <c r="L63" s="730">
        <v>0</v>
      </c>
      <c r="M63" s="730">
        <v>493</v>
      </c>
      <c r="N63" s="730">
        <v>0</v>
      </c>
      <c r="O63" s="730">
        <f t="shared" si="0"/>
        <v>493</v>
      </c>
    </row>
    <row r="64" spans="1:15" x14ac:dyDescent="0.2">
      <c r="A64" s="749">
        <v>58</v>
      </c>
      <c r="B64" s="96" t="s">
        <v>97</v>
      </c>
      <c r="C64" s="737" t="s">
        <v>566</v>
      </c>
      <c r="D64" s="740" t="s">
        <v>570</v>
      </c>
      <c r="E64" s="735">
        <v>555</v>
      </c>
      <c r="F64" s="735">
        <v>3</v>
      </c>
      <c r="G64" s="735">
        <v>0</v>
      </c>
      <c r="H64" s="735"/>
      <c r="I64" s="735"/>
      <c r="J64" s="735">
        <v>552</v>
      </c>
      <c r="K64" s="735">
        <v>150</v>
      </c>
      <c r="L64" s="735">
        <v>5</v>
      </c>
      <c r="M64" s="735">
        <v>705</v>
      </c>
      <c r="N64" s="730">
        <v>0</v>
      </c>
      <c r="O64" s="735">
        <f t="shared" ref="O64" si="2">SUM(O65:O66)</f>
        <v>705</v>
      </c>
    </row>
    <row r="65" spans="1:15" x14ac:dyDescent="0.2">
      <c r="A65" s="742"/>
      <c r="B65" s="189"/>
      <c r="C65" s="736" t="s">
        <v>573</v>
      </c>
      <c r="D65" s="733" t="s">
        <v>564</v>
      </c>
      <c r="E65" s="730">
        <v>358</v>
      </c>
      <c r="F65" s="730">
        <v>3</v>
      </c>
      <c r="G65" s="730">
        <v>0</v>
      </c>
      <c r="H65" s="730"/>
      <c r="I65" s="730"/>
      <c r="J65" s="730">
        <v>355</v>
      </c>
      <c r="K65" s="730"/>
      <c r="L65" s="730"/>
      <c r="M65" s="730">
        <v>358</v>
      </c>
      <c r="N65" s="730">
        <v>0</v>
      </c>
      <c r="O65" s="730">
        <f t="shared" si="0"/>
        <v>358</v>
      </c>
    </row>
    <row r="66" spans="1:15" x14ac:dyDescent="0.2">
      <c r="A66" s="742"/>
      <c r="B66" s="189"/>
      <c r="C66" s="736" t="s">
        <v>573</v>
      </c>
      <c r="D66" s="733" t="s">
        <v>572</v>
      </c>
      <c r="E66" s="730">
        <v>197</v>
      </c>
      <c r="F66" s="730">
        <v>0</v>
      </c>
      <c r="G66" s="730">
        <v>0</v>
      </c>
      <c r="H66" s="730"/>
      <c r="I66" s="730"/>
      <c r="J66" s="730">
        <v>197</v>
      </c>
      <c r="K66" s="730">
        <v>150</v>
      </c>
      <c r="L66" s="730">
        <v>5</v>
      </c>
      <c r="M66" s="730">
        <v>347</v>
      </c>
      <c r="N66" s="730">
        <v>0</v>
      </c>
      <c r="O66" s="730">
        <f>M66+N66</f>
        <v>347</v>
      </c>
    </row>
    <row r="67" spans="1:15" x14ac:dyDescent="0.2">
      <c r="A67" s="749">
        <v>59</v>
      </c>
      <c r="B67" s="96" t="s">
        <v>83</v>
      </c>
      <c r="C67" s="737" t="s">
        <v>84</v>
      </c>
      <c r="D67" s="740" t="s">
        <v>570</v>
      </c>
      <c r="E67" s="735">
        <v>11065</v>
      </c>
      <c r="F67" s="735">
        <v>30</v>
      </c>
      <c r="G67" s="735">
        <v>0</v>
      </c>
      <c r="H67" s="735">
        <v>400</v>
      </c>
      <c r="I67" s="735">
        <v>164</v>
      </c>
      <c r="J67" s="735">
        <v>10471</v>
      </c>
      <c r="K67" s="735">
        <v>130</v>
      </c>
      <c r="L67" s="735">
        <v>0</v>
      </c>
      <c r="M67" s="735">
        <v>11195</v>
      </c>
      <c r="N67" s="730">
        <v>0</v>
      </c>
      <c r="O67" s="735">
        <f t="shared" ref="O67" si="3">SUM(O68:O69)</f>
        <v>11195</v>
      </c>
    </row>
    <row r="68" spans="1:15" x14ac:dyDescent="0.2">
      <c r="A68" s="742"/>
      <c r="B68" s="189"/>
      <c r="C68" s="736" t="s">
        <v>573</v>
      </c>
      <c r="D68" s="733" t="s">
        <v>564</v>
      </c>
      <c r="E68" s="730">
        <v>8591</v>
      </c>
      <c r="F68" s="730">
        <v>30</v>
      </c>
      <c r="G68" s="730">
        <v>0</v>
      </c>
      <c r="H68" s="730">
        <v>400</v>
      </c>
      <c r="I68" s="730">
        <v>164</v>
      </c>
      <c r="J68" s="730">
        <v>7997</v>
      </c>
      <c r="K68" s="730"/>
      <c r="L68" s="730"/>
      <c r="M68" s="730">
        <v>8591</v>
      </c>
      <c r="N68" s="730">
        <v>0</v>
      </c>
      <c r="O68" s="730">
        <f t="shared" ref="O68:O72" si="4">M68+N68</f>
        <v>8591</v>
      </c>
    </row>
    <row r="69" spans="1:15" x14ac:dyDescent="0.2">
      <c r="A69" s="742"/>
      <c r="B69" s="189"/>
      <c r="C69" s="736" t="s">
        <v>573</v>
      </c>
      <c r="D69" s="733" t="s">
        <v>572</v>
      </c>
      <c r="E69" s="730">
        <v>2474</v>
      </c>
      <c r="F69" s="730">
        <v>0</v>
      </c>
      <c r="G69" s="730">
        <v>0</v>
      </c>
      <c r="H69" s="730"/>
      <c r="I69" s="730"/>
      <c r="J69" s="730">
        <v>2474</v>
      </c>
      <c r="K69" s="730">
        <v>130</v>
      </c>
      <c r="L69" s="730">
        <v>0</v>
      </c>
      <c r="M69" s="730">
        <v>2604</v>
      </c>
      <c r="N69" s="730">
        <v>0</v>
      </c>
      <c r="O69" s="730">
        <f t="shared" si="4"/>
        <v>2604</v>
      </c>
    </row>
    <row r="70" spans="1:15" x14ac:dyDescent="0.2">
      <c r="A70" s="749">
        <v>60</v>
      </c>
      <c r="B70" s="96" t="s">
        <v>68</v>
      </c>
      <c r="C70" s="737" t="s">
        <v>567</v>
      </c>
      <c r="D70" s="733" t="s">
        <v>570</v>
      </c>
      <c r="E70" s="735">
        <v>7161</v>
      </c>
      <c r="F70" s="735">
        <v>7</v>
      </c>
      <c r="G70" s="735">
        <v>0</v>
      </c>
      <c r="H70" s="735"/>
      <c r="I70" s="735"/>
      <c r="J70" s="735">
        <v>7154</v>
      </c>
      <c r="K70" s="735">
        <v>0</v>
      </c>
      <c r="L70" s="735">
        <v>0</v>
      </c>
      <c r="M70" s="735">
        <v>7161</v>
      </c>
      <c r="N70" s="730">
        <v>0</v>
      </c>
      <c r="O70" s="735">
        <f t="shared" ref="O70" si="5">O71+O72</f>
        <v>7161</v>
      </c>
    </row>
    <row r="71" spans="1:15" x14ac:dyDescent="0.2">
      <c r="A71" s="742"/>
      <c r="B71" s="189"/>
      <c r="C71" s="736" t="s">
        <v>573</v>
      </c>
      <c r="D71" s="733" t="s">
        <v>564</v>
      </c>
      <c r="E71" s="730">
        <v>6071</v>
      </c>
      <c r="F71" s="730">
        <v>7</v>
      </c>
      <c r="G71" s="730">
        <v>0</v>
      </c>
      <c r="H71" s="730"/>
      <c r="I71" s="730"/>
      <c r="J71" s="730">
        <v>6064</v>
      </c>
      <c r="K71" s="730"/>
      <c r="L71" s="730"/>
      <c r="M71" s="730">
        <v>6071</v>
      </c>
      <c r="N71" s="730">
        <v>0</v>
      </c>
      <c r="O71" s="730">
        <f t="shared" si="4"/>
        <v>6071</v>
      </c>
    </row>
    <row r="72" spans="1:15" x14ac:dyDescent="0.2">
      <c r="A72" s="742"/>
      <c r="B72" s="189"/>
      <c r="C72" s="736" t="s">
        <v>573</v>
      </c>
      <c r="D72" s="733" t="s">
        <v>572</v>
      </c>
      <c r="E72" s="730">
        <v>1090</v>
      </c>
      <c r="F72" s="730">
        <v>0</v>
      </c>
      <c r="G72" s="730">
        <v>0</v>
      </c>
      <c r="H72" s="730"/>
      <c r="I72" s="730"/>
      <c r="J72" s="730">
        <v>1090</v>
      </c>
      <c r="K72" s="730">
        <v>0</v>
      </c>
      <c r="L72" s="730">
        <v>0</v>
      </c>
      <c r="M72" s="730">
        <v>1090</v>
      </c>
      <c r="N72" s="730">
        <v>0</v>
      </c>
      <c r="O72" s="730">
        <f t="shared" si="4"/>
        <v>1090</v>
      </c>
    </row>
    <row r="73" spans="1:15" s="741" customFormat="1" x14ac:dyDescent="0.2">
      <c r="A73" s="749">
        <v>61</v>
      </c>
      <c r="B73" s="95" t="s">
        <v>77</v>
      </c>
      <c r="C73" s="737" t="s">
        <v>571</v>
      </c>
      <c r="D73" s="740" t="s">
        <v>572</v>
      </c>
      <c r="E73" s="735">
        <v>10991</v>
      </c>
      <c r="F73" s="735">
        <v>164</v>
      </c>
      <c r="G73" s="735">
        <v>0</v>
      </c>
      <c r="H73" s="735">
        <v>470</v>
      </c>
      <c r="I73" s="735">
        <v>400</v>
      </c>
      <c r="J73" s="735">
        <v>9957</v>
      </c>
      <c r="K73" s="735">
        <v>125</v>
      </c>
      <c r="L73" s="735">
        <v>0</v>
      </c>
      <c r="M73" s="735">
        <v>11116</v>
      </c>
      <c r="N73" s="730">
        <v>412</v>
      </c>
      <c r="O73" s="735">
        <f>SUM(O74:O75)</f>
        <v>11528</v>
      </c>
    </row>
    <row r="74" spans="1:15" x14ac:dyDescent="0.2">
      <c r="A74" s="742"/>
      <c r="B74" s="731"/>
      <c r="C74" s="736" t="s">
        <v>573</v>
      </c>
      <c r="D74" s="733" t="s">
        <v>562</v>
      </c>
      <c r="E74" s="730">
        <v>9971</v>
      </c>
      <c r="F74" s="730">
        <v>164</v>
      </c>
      <c r="G74" s="730">
        <v>0</v>
      </c>
      <c r="H74" s="730">
        <v>470</v>
      </c>
      <c r="I74" s="730">
        <v>400</v>
      </c>
      <c r="J74" s="730">
        <v>8937</v>
      </c>
      <c r="K74" s="733"/>
      <c r="L74" s="733"/>
      <c r="M74" s="730">
        <v>9971</v>
      </c>
      <c r="N74" s="730">
        <v>412</v>
      </c>
      <c r="O74" s="730">
        <f t="shared" ref="O74:O75" si="6">M74+N74</f>
        <v>10383</v>
      </c>
    </row>
    <row r="75" spans="1:15" x14ac:dyDescent="0.2">
      <c r="A75" s="742"/>
      <c r="B75" s="731"/>
      <c r="C75" s="736" t="s">
        <v>573</v>
      </c>
      <c r="D75" s="733" t="s">
        <v>572</v>
      </c>
      <c r="E75" s="730">
        <v>1020</v>
      </c>
      <c r="F75" s="730">
        <v>0</v>
      </c>
      <c r="G75" s="730">
        <v>0</v>
      </c>
      <c r="H75" s="730"/>
      <c r="I75" s="730"/>
      <c r="J75" s="730">
        <v>1020</v>
      </c>
      <c r="K75" s="730">
        <v>125</v>
      </c>
      <c r="L75" s="730">
        <v>0</v>
      </c>
      <c r="M75" s="730">
        <v>1145</v>
      </c>
      <c r="N75" s="730">
        <v>0</v>
      </c>
      <c r="O75" s="730">
        <f t="shared" si="6"/>
        <v>1145</v>
      </c>
    </row>
    <row r="76" spans="1:15" s="741" customFormat="1" x14ac:dyDescent="0.2">
      <c r="A76" s="749">
        <v>62</v>
      </c>
      <c r="B76" s="95" t="s">
        <v>207</v>
      </c>
      <c r="C76" s="737" t="s">
        <v>208</v>
      </c>
      <c r="D76" s="740" t="s">
        <v>572</v>
      </c>
      <c r="E76" s="735">
        <v>4657</v>
      </c>
      <c r="F76" s="735">
        <v>105</v>
      </c>
      <c r="G76" s="735">
        <v>0</v>
      </c>
      <c r="H76" s="735">
        <v>560</v>
      </c>
      <c r="I76" s="735">
        <v>200</v>
      </c>
      <c r="J76" s="735">
        <v>3792</v>
      </c>
      <c r="K76" s="735">
        <v>253</v>
      </c>
      <c r="L76" s="735">
        <v>0</v>
      </c>
      <c r="M76" s="735">
        <v>4910</v>
      </c>
      <c r="N76" s="730">
        <v>422</v>
      </c>
      <c r="O76" s="735">
        <f>SUM(O77:O78)</f>
        <v>5332</v>
      </c>
    </row>
    <row r="77" spans="1:15" x14ac:dyDescent="0.2">
      <c r="A77" s="742"/>
      <c r="B77" s="731"/>
      <c r="C77" s="736" t="s">
        <v>573</v>
      </c>
      <c r="D77" s="733" t="s">
        <v>562</v>
      </c>
      <c r="E77" s="730">
        <v>3641</v>
      </c>
      <c r="F77" s="730">
        <v>105</v>
      </c>
      <c r="G77" s="730">
        <v>0</v>
      </c>
      <c r="H77" s="730">
        <v>560</v>
      </c>
      <c r="I77" s="730">
        <v>200</v>
      </c>
      <c r="J77" s="730">
        <v>2776</v>
      </c>
      <c r="K77" s="733"/>
      <c r="L77" s="733"/>
      <c r="M77" s="730">
        <v>3641</v>
      </c>
      <c r="N77" s="730">
        <v>422</v>
      </c>
      <c r="O77" s="730">
        <f t="shared" ref="O77:O78" si="7">M77+N77</f>
        <v>4063</v>
      </c>
    </row>
    <row r="78" spans="1:15" x14ac:dyDescent="0.2">
      <c r="A78" s="742"/>
      <c r="B78" s="731"/>
      <c r="C78" s="736" t="s">
        <v>573</v>
      </c>
      <c r="D78" s="742" t="s">
        <v>572</v>
      </c>
      <c r="E78" s="739">
        <v>1016</v>
      </c>
      <c r="F78" s="738">
        <v>0</v>
      </c>
      <c r="G78" s="739">
        <v>0</v>
      </c>
      <c r="H78" s="739"/>
      <c r="I78" s="739"/>
      <c r="J78" s="739">
        <v>1016</v>
      </c>
      <c r="K78" s="743">
        <v>253</v>
      </c>
      <c r="L78" s="743">
        <v>0</v>
      </c>
      <c r="M78" s="730">
        <v>1269</v>
      </c>
      <c r="N78" s="730">
        <v>0</v>
      </c>
      <c r="O78" s="730">
        <f t="shared" si="7"/>
        <v>1269</v>
      </c>
    </row>
    <row r="79" spans="1:15" s="741" customFormat="1" x14ac:dyDescent="0.2">
      <c r="A79" s="749">
        <v>63</v>
      </c>
      <c r="B79" s="96" t="s">
        <v>50</v>
      </c>
      <c r="C79" s="737" t="s">
        <v>51</v>
      </c>
      <c r="D79" s="740" t="s">
        <v>572</v>
      </c>
      <c r="E79" s="735">
        <v>17366</v>
      </c>
      <c r="F79" s="735">
        <v>137</v>
      </c>
      <c r="G79" s="735">
        <v>0</v>
      </c>
      <c r="H79" s="735">
        <v>1200</v>
      </c>
      <c r="I79" s="735">
        <v>488</v>
      </c>
      <c r="J79" s="735">
        <v>15541</v>
      </c>
      <c r="K79" s="735">
        <v>203</v>
      </c>
      <c r="L79" s="735">
        <v>0</v>
      </c>
      <c r="M79" s="735">
        <v>17569</v>
      </c>
      <c r="N79" s="730">
        <v>375</v>
      </c>
      <c r="O79" s="735">
        <f>SUM(O80:O81)</f>
        <v>17944</v>
      </c>
    </row>
    <row r="80" spans="1:15" x14ac:dyDescent="0.2">
      <c r="A80" s="742"/>
      <c r="B80" s="731"/>
      <c r="C80" s="736" t="s">
        <v>573</v>
      </c>
      <c r="D80" s="733" t="s">
        <v>562</v>
      </c>
      <c r="E80" s="730">
        <v>15567</v>
      </c>
      <c r="F80" s="730">
        <v>137</v>
      </c>
      <c r="G80" s="730">
        <v>0</v>
      </c>
      <c r="H80" s="730">
        <v>1200</v>
      </c>
      <c r="I80" s="730">
        <v>488</v>
      </c>
      <c r="J80" s="730">
        <v>13742</v>
      </c>
      <c r="K80" s="733"/>
      <c r="L80" s="733"/>
      <c r="M80" s="730">
        <v>15567</v>
      </c>
      <c r="N80" s="730">
        <v>375</v>
      </c>
      <c r="O80" s="730">
        <f t="shared" ref="O80:O81" si="8">M80+N80</f>
        <v>15942</v>
      </c>
    </row>
    <row r="81" spans="1:15" x14ac:dyDescent="0.2">
      <c r="A81" s="742"/>
      <c r="B81" s="731"/>
      <c r="C81" s="736" t="s">
        <v>573</v>
      </c>
      <c r="D81" s="738" t="s">
        <v>574</v>
      </c>
      <c r="E81" s="739">
        <v>1799</v>
      </c>
      <c r="F81" s="738">
        <v>0</v>
      </c>
      <c r="G81" s="739">
        <v>0</v>
      </c>
      <c r="H81" s="739"/>
      <c r="I81" s="739"/>
      <c r="J81" s="739">
        <v>1799</v>
      </c>
      <c r="K81" s="743">
        <v>203</v>
      </c>
      <c r="L81" s="743">
        <v>0</v>
      </c>
      <c r="M81" s="730">
        <v>2002</v>
      </c>
      <c r="N81" s="730">
        <v>0</v>
      </c>
      <c r="O81" s="730">
        <f t="shared" si="8"/>
        <v>2002</v>
      </c>
    </row>
    <row r="82" spans="1:15" s="741" customFormat="1" x14ac:dyDescent="0.2">
      <c r="A82" s="749">
        <v>64</v>
      </c>
      <c r="B82" s="96" t="s">
        <v>99</v>
      </c>
      <c r="C82" s="737" t="s">
        <v>575</v>
      </c>
      <c r="D82" s="740" t="s">
        <v>572</v>
      </c>
      <c r="E82" s="735">
        <v>15581</v>
      </c>
      <c r="F82" s="735">
        <v>172</v>
      </c>
      <c r="G82" s="735">
        <v>0</v>
      </c>
      <c r="H82" s="735">
        <v>700</v>
      </c>
      <c r="I82" s="735">
        <v>347</v>
      </c>
      <c r="J82" s="735">
        <v>14362</v>
      </c>
      <c r="K82" s="735">
        <v>20</v>
      </c>
      <c r="L82" s="735">
        <v>10</v>
      </c>
      <c r="M82" s="735">
        <v>15601</v>
      </c>
      <c r="N82" s="730">
        <v>773</v>
      </c>
      <c r="O82" s="735">
        <f>SUM(O83:O84)</f>
        <v>16374</v>
      </c>
    </row>
    <row r="83" spans="1:15" x14ac:dyDescent="0.2">
      <c r="A83" s="742"/>
      <c r="B83" s="731"/>
      <c r="C83" s="736" t="s">
        <v>573</v>
      </c>
      <c r="D83" s="733" t="s">
        <v>564</v>
      </c>
      <c r="E83" s="730">
        <v>14622</v>
      </c>
      <c r="F83" s="730">
        <v>27</v>
      </c>
      <c r="G83" s="730">
        <v>0</v>
      </c>
      <c r="H83" s="730">
        <v>700</v>
      </c>
      <c r="I83" s="730">
        <v>347</v>
      </c>
      <c r="J83" s="730">
        <v>13548</v>
      </c>
      <c r="K83" s="733"/>
      <c r="L83" s="733"/>
      <c r="M83" s="730">
        <v>14622</v>
      </c>
      <c r="N83" s="730">
        <v>773</v>
      </c>
      <c r="O83" s="730">
        <f t="shared" ref="O83:O84" si="9">M83+N83</f>
        <v>15395</v>
      </c>
    </row>
    <row r="84" spans="1:15" x14ac:dyDescent="0.2">
      <c r="A84" s="742"/>
      <c r="B84" s="731"/>
      <c r="C84" s="736" t="s">
        <v>573</v>
      </c>
      <c r="D84" s="733" t="s">
        <v>572</v>
      </c>
      <c r="E84" s="739">
        <v>959</v>
      </c>
      <c r="F84" s="739">
        <v>145</v>
      </c>
      <c r="G84" s="739">
        <v>0</v>
      </c>
      <c r="H84" s="739"/>
      <c r="I84" s="739"/>
      <c r="J84" s="739">
        <v>814</v>
      </c>
      <c r="K84" s="743">
        <v>20</v>
      </c>
      <c r="L84" s="743">
        <v>10</v>
      </c>
      <c r="M84" s="730">
        <v>979</v>
      </c>
      <c r="N84" s="730">
        <v>0</v>
      </c>
      <c r="O84" s="730">
        <f t="shared" si="9"/>
        <v>979</v>
      </c>
    </row>
    <row r="85" spans="1:15" s="741" customFormat="1" x14ac:dyDescent="0.2">
      <c r="A85" s="749">
        <v>65</v>
      </c>
      <c r="B85" s="96" t="s">
        <v>26</v>
      </c>
      <c r="C85" s="737" t="s">
        <v>576</v>
      </c>
      <c r="D85" s="740" t="s">
        <v>572</v>
      </c>
      <c r="E85" s="735">
        <v>21176</v>
      </c>
      <c r="F85" s="735">
        <v>141</v>
      </c>
      <c r="G85" s="735">
        <v>0</v>
      </c>
      <c r="H85" s="735">
        <v>620</v>
      </c>
      <c r="I85" s="735">
        <v>350</v>
      </c>
      <c r="J85" s="735">
        <v>20065</v>
      </c>
      <c r="K85" s="735">
        <v>269</v>
      </c>
      <c r="L85" s="735">
        <v>0</v>
      </c>
      <c r="M85" s="735">
        <v>21445</v>
      </c>
      <c r="N85" s="730">
        <v>759</v>
      </c>
      <c r="O85" s="735">
        <f>SUM(O86:O87)</f>
        <v>22204</v>
      </c>
    </row>
    <row r="86" spans="1:15" x14ac:dyDescent="0.2">
      <c r="A86" s="742"/>
      <c r="B86" s="731"/>
      <c r="C86" s="736" t="s">
        <v>573</v>
      </c>
      <c r="D86" s="733" t="s">
        <v>564</v>
      </c>
      <c r="E86" s="730">
        <v>20984</v>
      </c>
      <c r="F86" s="730">
        <v>141</v>
      </c>
      <c r="G86" s="730">
        <v>0</v>
      </c>
      <c r="H86" s="730">
        <v>620</v>
      </c>
      <c r="I86" s="730">
        <v>350</v>
      </c>
      <c r="J86" s="730">
        <v>19873</v>
      </c>
      <c r="K86" s="733"/>
      <c r="L86" s="733"/>
      <c r="M86" s="730">
        <v>20984</v>
      </c>
      <c r="N86" s="730">
        <v>759</v>
      </c>
      <c r="O86" s="730">
        <f t="shared" ref="O86:O87" si="10">M86+N86</f>
        <v>21743</v>
      </c>
    </row>
    <row r="87" spans="1:15" x14ac:dyDescent="0.2">
      <c r="A87" s="742"/>
      <c r="B87" s="731"/>
      <c r="C87" s="736" t="s">
        <v>573</v>
      </c>
      <c r="D87" s="733" t="s">
        <v>572</v>
      </c>
      <c r="E87" s="730">
        <v>192</v>
      </c>
      <c r="F87" s="730">
        <v>0</v>
      </c>
      <c r="G87" s="730">
        <v>0</v>
      </c>
      <c r="H87" s="730"/>
      <c r="I87" s="730"/>
      <c r="J87" s="730">
        <v>192</v>
      </c>
      <c r="K87" s="750">
        <v>269</v>
      </c>
      <c r="L87" s="750">
        <v>0</v>
      </c>
      <c r="M87" s="730">
        <v>461</v>
      </c>
      <c r="N87" s="730">
        <v>0</v>
      </c>
      <c r="O87" s="730">
        <f t="shared" si="10"/>
        <v>461</v>
      </c>
    </row>
    <row r="88" spans="1:15" s="741" customFormat="1" x14ac:dyDescent="0.2">
      <c r="A88" s="749">
        <v>66</v>
      </c>
      <c r="B88" s="751" t="s">
        <v>79</v>
      </c>
      <c r="C88" s="737" t="s">
        <v>577</v>
      </c>
      <c r="D88" s="740" t="s">
        <v>572</v>
      </c>
      <c r="E88" s="735">
        <v>17919</v>
      </c>
      <c r="F88" s="735">
        <v>124</v>
      </c>
      <c r="G88" s="735">
        <v>0</v>
      </c>
      <c r="H88" s="735">
        <v>450</v>
      </c>
      <c r="I88" s="735">
        <v>264</v>
      </c>
      <c r="J88" s="735">
        <v>17081</v>
      </c>
      <c r="K88" s="735">
        <v>467</v>
      </c>
      <c r="L88" s="735">
        <v>0</v>
      </c>
      <c r="M88" s="735">
        <v>18386</v>
      </c>
      <c r="N88" s="730">
        <v>0</v>
      </c>
      <c r="O88" s="735">
        <f>O89+O90</f>
        <v>18386</v>
      </c>
    </row>
    <row r="89" spans="1:15" x14ac:dyDescent="0.2">
      <c r="A89" s="742"/>
      <c r="B89" s="731"/>
      <c r="C89" s="736" t="s">
        <v>573</v>
      </c>
      <c r="D89" s="733" t="s">
        <v>562</v>
      </c>
      <c r="E89" s="730">
        <v>16178</v>
      </c>
      <c r="F89" s="730">
        <v>124</v>
      </c>
      <c r="G89" s="730">
        <v>0</v>
      </c>
      <c r="H89" s="730">
        <v>450</v>
      </c>
      <c r="I89" s="730">
        <v>264</v>
      </c>
      <c r="J89" s="730">
        <v>15340</v>
      </c>
      <c r="K89" s="733"/>
      <c r="L89" s="733"/>
      <c r="M89" s="730">
        <v>16178</v>
      </c>
      <c r="N89" s="730">
        <v>0</v>
      </c>
      <c r="O89" s="730">
        <f t="shared" ref="O89:O90" si="11">M89+N89</f>
        <v>16178</v>
      </c>
    </row>
    <row r="90" spans="1:15" x14ac:dyDescent="0.2">
      <c r="A90" s="742"/>
      <c r="B90" s="731"/>
      <c r="C90" s="736" t="s">
        <v>573</v>
      </c>
      <c r="D90" s="742" t="s">
        <v>572</v>
      </c>
      <c r="E90" s="739">
        <v>1741</v>
      </c>
      <c r="F90" s="739">
        <v>0</v>
      </c>
      <c r="G90" s="739">
        <v>0</v>
      </c>
      <c r="H90" s="730"/>
      <c r="I90" s="730"/>
      <c r="J90" s="739">
        <v>1741</v>
      </c>
      <c r="K90" s="750">
        <v>467</v>
      </c>
      <c r="L90" s="750">
        <v>0</v>
      </c>
      <c r="M90" s="730">
        <v>2208</v>
      </c>
      <c r="N90" s="730">
        <v>0</v>
      </c>
      <c r="O90" s="730">
        <f t="shared" si="11"/>
        <v>2208</v>
      </c>
    </row>
    <row r="91" spans="1:15" s="741" customFormat="1" x14ac:dyDescent="0.2">
      <c r="A91" s="749">
        <v>67</v>
      </c>
      <c r="B91" s="751" t="s">
        <v>66</v>
      </c>
      <c r="C91" s="737" t="s">
        <v>578</v>
      </c>
      <c r="D91" s="740" t="s">
        <v>572</v>
      </c>
      <c r="E91" s="735">
        <v>32904</v>
      </c>
      <c r="F91" s="735">
        <v>651</v>
      </c>
      <c r="G91" s="735">
        <v>0</v>
      </c>
      <c r="H91" s="735">
        <v>1750</v>
      </c>
      <c r="I91" s="735">
        <v>980</v>
      </c>
      <c r="J91" s="735">
        <v>29523</v>
      </c>
      <c r="K91" s="735">
        <v>1204</v>
      </c>
      <c r="L91" s="735">
        <v>145</v>
      </c>
      <c r="M91" s="735">
        <v>34108</v>
      </c>
      <c r="N91" s="730">
        <v>840</v>
      </c>
      <c r="O91" s="735">
        <f>O92+O93</f>
        <v>34948</v>
      </c>
    </row>
    <row r="92" spans="1:15" x14ac:dyDescent="0.2">
      <c r="A92" s="742"/>
      <c r="B92" s="731"/>
      <c r="C92" s="736" t="s">
        <v>573</v>
      </c>
      <c r="D92" s="733" t="s">
        <v>562</v>
      </c>
      <c r="E92" s="730">
        <v>23576</v>
      </c>
      <c r="F92" s="730">
        <v>178</v>
      </c>
      <c r="G92" s="730">
        <v>0</v>
      </c>
      <c r="H92" s="730">
        <v>1750</v>
      </c>
      <c r="I92" s="730">
        <v>980</v>
      </c>
      <c r="J92" s="730">
        <v>20668</v>
      </c>
      <c r="K92" s="733"/>
      <c r="L92" s="733"/>
      <c r="M92" s="730">
        <v>23576</v>
      </c>
      <c r="N92" s="730">
        <v>840</v>
      </c>
      <c r="O92" s="730">
        <f t="shared" ref="O92:O93" si="12">M92+N92</f>
        <v>24416</v>
      </c>
    </row>
    <row r="93" spans="1:15" x14ac:dyDescent="0.2">
      <c r="A93" s="742"/>
      <c r="B93" s="731"/>
      <c r="C93" s="736" t="s">
        <v>573</v>
      </c>
      <c r="D93" s="742" t="s">
        <v>572</v>
      </c>
      <c r="E93" s="739">
        <v>9328</v>
      </c>
      <c r="F93" s="739">
        <v>473</v>
      </c>
      <c r="G93" s="739">
        <v>0</v>
      </c>
      <c r="H93" s="739"/>
      <c r="I93" s="739"/>
      <c r="J93" s="739">
        <v>8855</v>
      </c>
      <c r="K93" s="743">
        <v>1204</v>
      </c>
      <c r="L93" s="743">
        <v>145</v>
      </c>
      <c r="M93" s="730">
        <v>10532</v>
      </c>
      <c r="N93" s="730">
        <v>0</v>
      </c>
      <c r="O93" s="730">
        <f t="shared" si="12"/>
        <v>10532</v>
      </c>
    </row>
    <row r="94" spans="1:15" s="741" customFormat="1" x14ac:dyDescent="0.2">
      <c r="A94" s="749">
        <v>68</v>
      </c>
      <c r="B94" s="751" t="s">
        <v>169</v>
      </c>
      <c r="C94" s="737" t="s">
        <v>402</v>
      </c>
      <c r="D94" s="740" t="s">
        <v>572</v>
      </c>
      <c r="E94" s="735">
        <v>11652</v>
      </c>
      <c r="F94" s="735">
        <v>642</v>
      </c>
      <c r="G94" s="735">
        <v>0</v>
      </c>
      <c r="H94" s="735"/>
      <c r="I94" s="735"/>
      <c r="J94" s="735">
        <v>11010</v>
      </c>
      <c r="K94" s="735">
        <v>369</v>
      </c>
      <c r="L94" s="735">
        <v>0</v>
      </c>
      <c r="M94" s="735">
        <v>12021</v>
      </c>
      <c r="N94" s="730">
        <v>727</v>
      </c>
      <c r="O94" s="735">
        <f>SUM(O95:O96)</f>
        <v>12748</v>
      </c>
    </row>
    <row r="95" spans="1:15" x14ac:dyDescent="0.2">
      <c r="A95" s="742"/>
      <c r="B95" s="731"/>
      <c r="C95" s="736" t="s">
        <v>573</v>
      </c>
      <c r="D95" s="733" t="s">
        <v>564</v>
      </c>
      <c r="E95" s="730">
        <v>5949</v>
      </c>
      <c r="F95" s="730">
        <v>84</v>
      </c>
      <c r="G95" s="730">
        <v>0</v>
      </c>
      <c r="H95" s="730"/>
      <c r="I95" s="730"/>
      <c r="J95" s="730">
        <v>5865</v>
      </c>
      <c r="K95" s="733"/>
      <c r="L95" s="733"/>
      <c r="M95" s="730">
        <v>5949</v>
      </c>
      <c r="N95" s="730">
        <v>727</v>
      </c>
      <c r="O95" s="730">
        <f t="shared" ref="O95:O96" si="13">M95+N95</f>
        <v>6676</v>
      </c>
    </row>
    <row r="96" spans="1:15" x14ac:dyDescent="0.2">
      <c r="A96" s="742"/>
      <c r="B96" s="731"/>
      <c r="C96" s="736" t="s">
        <v>573</v>
      </c>
      <c r="D96" s="742" t="s">
        <v>572</v>
      </c>
      <c r="E96" s="739">
        <v>5703</v>
      </c>
      <c r="F96" s="739">
        <v>558</v>
      </c>
      <c r="G96" s="739">
        <v>0</v>
      </c>
      <c r="H96" s="739"/>
      <c r="I96" s="739"/>
      <c r="J96" s="739">
        <v>5145</v>
      </c>
      <c r="K96" s="743">
        <v>369</v>
      </c>
      <c r="L96" s="743">
        <v>0</v>
      </c>
      <c r="M96" s="730">
        <v>6072</v>
      </c>
      <c r="N96" s="730">
        <v>0</v>
      </c>
      <c r="O96" s="730">
        <f t="shared" si="13"/>
        <v>6072</v>
      </c>
    </row>
    <row r="97" spans="1:15" s="741" customFormat="1" x14ac:dyDescent="0.2">
      <c r="A97" s="749">
        <v>69</v>
      </c>
      <c r="B97" s="96" t="s">
        <v>165</v>
      </c>
      <c r="C97" s="737" t="s">
        <v>579</v>
      </c>
      <c r="D97" s="740" t="s">
        <v>572</v>
      </c>
      <c r="E97" s="735">
        <v>22405</v>
      </c>
      <c r="F97" s="735">
        <v>1</v>
      </c>
      <c r="G97" s="735">
        <v>0</v>
      </c>
      <c r="H97" s="735">
        <v>1190</v>
      </c>
      <c r="I97" s="735">
        <v>677</v>
      </c>
      <c r="J97" s="735">
        <v>20537</v>
      </c>
      <c r="K97" s="735">
        <v>1190</v>
      </c>
      <c r="L97" s="735">
        <v>0</v>
      </c>
      <c r="M97" s="735">
        <v>23595</v>
      </c>
      <c r="N97" s="730">
        <v>1047</v>
      </c>
      <c r="O97" s="735">
        <f>SUM(O98:O99)</f>
        <v>24642</v>
      </c>
    </row>
    <row r="98" spans="1:15" x14ac:dyDescent="0.2">
      <c r="A98" s="742"/>
      <c r="B98" s="731"/>
      <c r="C98" s="736" t="s">
        <v>573</v>
      </c>
      <c r="D98" s="733" t="s">
        <v>564</v>
      </c>
      <c r="E98" s="730">
        <v>17571</v>
      </c>
      <c r="F98" s="730">
        <v>1</v>
      </c>
      <c r="G98" s="730">
        <v>0</v>
      </c>
      <c r="H98" s="730">
        <v>1190</v>
      </c>
      <c r="I98" s="730">
        <v>677</v>
      </c>
      <c r="J98" s="730">
        <v>15703</v>
      </c>
      <c r="K98" s="733"/>
      <c r="L98" s="733"/>
      <c r="M98" s="730">
        <v>17571</v>
      </c>
      <c r="N98" s="730">
        <v>1047</v>
      </c>
      <c r="O98" s="730">
        <f t="shared" ref="O98:O99" si="14">M98+N98</f>
        <v>18618</v>
      </c>
    </row>
    <row r="99" spans="1:15" x14ac:dyDescent="0.2">
      <c r="A99" s="742"/>
      <c r="B99" s="731"/>
      <c r="C99" s="736" t="s">
        <v>573</v>
      </c>
      <c r="D99" s="733" t="s">
        <v>572</v>
      </c>
      <c r="E99" s="730">
        <v>4834</v>
      </c>
      <c r="F99" s="730">
        <v>0</v>
      </c>
      <c r="G99" s="730">
        <v>0</v>
      </c>
      <c r="H99" s="730"/>
      <c r="I99" s="730"/>
      <c r="J99" s="730">
        <v>4834</v>
      </c>
      <c r="K99" s="750">
        <v>1190</v>
      </c>
      <c r="L99" s="750">
        <v>0</v>
      </c>
      <c r="M99" s="730">
        <v>6024</v>
      </c>
      <c r="N99" s="730">
        <v>0</v>
      </c>
      <c r="O99" s="730">
        <f t="shared" si="14"/>
        <v>6024</v>
      </c>
    </row>
    <row r="100" spans="1:15" s="741" customFormat="1" x14ac:dyDescent="0.2">
      <c r="A100" s="749">
        <v>70</v>
      </c>
      <c r="B100" s="751" t="s">
        <v>175</v>
      </c>
      <c r="C100" s="737" t="s">
        <v>749</v>
      </c>
      <c r="D100" s="740" t="s">
        <v>572</v>
      </c>
      <c r="E100" s="735">
        <v>9724</v>
      </c>
      <c r="F100" s="735">
        <v>0</v>
      </c>
      <c r="G100" s="735">
        <v>0</v>
      </c>
      <c r="H100" s="735">
        <v>1745</v>
      </c>
      <c r="I100" s="735">
        <v>1615</v>
      </c>
      <c r="J100" s="735">
        <v>6364</v>
      </c>
      <c r="K100" s="735">
        <v>120</v>
      </c>
      <c r="L100" s="735">
        <v>0</v>
      </c>
      <c r="M100" s="735">
        <v>9844</v>
      </c>
      <c r="N100" s="730">
        <v>0</v>
      </c>
      <c r="O100" s="735">
        <f>O101+O102</f>
        <v>9844</v>
      </c>
    </row>
    <row r="101" spans="1:15" x14ac:dyDescent="0.2">
      <c r="A101" s="742"/>
      <c r="B101" s="731"/>
      <c r="C101" s="736" t="s">
        <v>573</v>
      </c>
      <c r="D101" s="733" t="s">
        <v>562</v>
      </c>
      <c r="E101" s="730">
        <v>3390</v>
      </c>
      <c r="F101" s="730">
        <v>0</v>
      </c>
      <c r="G101" s="730">
        <v>0</v>
      </c>
      <c r="H101" s="730">
        <v>1745</v>
      </c>
      <c r="I101" s="730">
        <v>1615</v>
      </c>
      <c r="J101" s="730">
        <v>30</v>
      </c>
      <c r="K101" s="733"/>
      <c r="L101" s="733"/>
      <c r="M101" s="730">
        <v>3390</v>
      </c>
      <c r="N101" s="730">
        <v>0</v>
      </c>
      <c r="O101" s="730">
        <f t="shared" ref="O101:O102" si="15">M101+N101</f>
        <v>3390</v>
      </c>
    </row>
    <row r="102" spans="1:15" ht="15.75" customHeight="1" x14ac:dyDescent="0.2">
      <c r="A102" s="742"/>
      <c r="B102" s="731"/>
      <c r="C102" s="736" t="s">
        <v>573</v>
      </c>
      <c r="D102" s="742" t="s">
        <v>572</v>
      </c>
      <c r="E102" s="739">
        <v>6334</v>
      </c>
      <c r="F102" s="739">
        <v>0</v>
      </c>
      <c r="G102" s="739">
        <v>0</v>
      </c>
      <c r="H102" s="739"/>
      <c r="I102" s="739"/>
      <c r="J102" s="739">
        <v>6334</v>
      </c>
      <c r="K102" s="739">
        <v>120</v>
      </c>
      <c r="L102" s="739">
        <v>0</v>
      </c>
      <c r="M102" s="752">
        <v>6454</v>
      </c>
      <c r="N102" s="730">
        <v>0</v>
      </c>
      <c r="O102" s="730">
        <f t="shared" si="15"/>
        <v>6454</v>
      </c>
    </row>
    <row r="103" spans="1:15" s="741" customFormat="1" x14ac:dyDescent="0.2">
      <c r="A103" s="749">
        <v>71</v>
      </c>
      <c r="B103" s="95" t="s">
        <v>58</v>
      </c>
      <c r="C103" s="737" t="s">
        <v>580</v>
      </c>
      <c r="D103" s="740" t="s">
        <v>572</v>
      </c>
      <c r="E103" s="735">
        <v>11079</v>
      </c>
      <c r="F103" s="735">
        <v>2</v>
      </c>
      <c r="G103" s="735">
        <v>540</v>
      </c>
      <c r="H103" s="735">
        <v>540</v>
      </c>
      <c r="I103" s="735">
        <v>223</v>
      </c>
      <c r="J103" s="735">
        <v>9774</v>
      </c>
      <c r="K103" s="735">
        <v>138</v>
      </c>
      <c r="L103" s="735">
        <v>0</v>
      </c>
      <c r="M103" s="735">
        <v>11217</v>
      </c>
      <c r="N103" s="730">
        <v>220</v>
      </c>
      <c r="O103" s="735">
        <f t="shared" ref="O103" si="16">O104+O105</f>
        <v>11437</v>
      </c>
    </row>
    <row r="104" spans="1:15" x14ac:dyDescent="0.2">
      <c r="A104" s="742"/>
      <c r="B104" s="731"/>
      <c r="C104" s="736" t="s">
        <v>573</v>
      </c>
      <c r="D104" s="733" t="s">
        <v>564</v>
      </c>
      <c r="E104" s="730">
        <v>9786</v>
      </c>
      <c r="F104" s="730">
        <v>2</v>
      </c>
      <c r="G104" s="730">
        <v>540</v>
      </c>
      <c r="H104" s="730">
        <v>540</v>
      </c>
      <c r="I104" s="730">
        <v>223</v>
      </c>
      <c r="J104" s="730">
        <v>8481</v>
      </c>
      <c r="K104" s="733"/>
      <c r="L104" s="733"/>
      <c r="M104" s="730">
        <v>9786</v>
      </c>
      <c r="N104" s="730">
        <v>220</v>
      </c>
      <c r="O104" s="730">
        <f t="shared" ref="O104" si="17">M104+N104</f>
        <v>10006</v>
      </c>
    </row>
    <row r="105" spans="1:15" x14ac:dyDescent="0.2">
      <c r="A105" s="742"/>
      <c r="B105" s="731"/>
      <c r="C105" s="736" t="s">
        <v>573</v>
      </c>
      <c r="D105" s="742" t="s">
        <v>572</v>
      </c>
      <c r="E105" s="739">
        <v>1293</v>
      </c>
      <c r="F105" s="739">
        <v>0</v>
      </c>
      <c r="G105" s="739">
        <v>0</v>
      </c>
      <c r="H105" s="739"/>
      <c r="I105" s="739"/>
      <c r="J105" s="739">
        <v>1293</v>
      </c>
      <c r="K105" s="743">
        <v>138</v>
      </c>
      <c r="L105" s="743">
        <v>0</v>
      </c>
      <c r="M105" s="743">
        <v>1431</v>
      </c>
      <c r="N105" s="730">
        <v>0</v>
      </c>
      <c r="O105" s="730">
        <f>M105+N105</f>
        <v>1431</v>
      </c>
    </row>
    <row r="106" spans="1:15" s="741" customFormat="1" x14ac:dyDescent="0.2">
      <c r="A106" s="749">
        <v>72</v>
      </c>
      <c r="B106" s="96" t="s">
        <v>260</v>
      </c>
      <c r="C106" s="737" t="s">
        <v>581</v>
      </c>
      <c r="D106" s="740" t="s">
        <v>582</v>
      </c>
      <c r="E106" s="735">
        <v>25536</v>
      </c>
      <c r="F106" s="735">
        <v>24434</v>
      </c>
      <c r="G106" s="735">
        <v>0</v>
      </c>
      <c r="H106" s="735"/>
      <c r="I106" s="735"/>
      <c r="J106" s="735">
        <v>1102</v>
      </c>
      <c r="K106" s="735">
        <v>1687</v>
      </c>
      <c r="L106" s="735">
        <v>1687</v>
      </c>
      <c r="M106" s="735">
        <v>27223</v>
      </c>
      <c r="N106" s="730">
        <v>0</v>
      </c>
      <c r="O106" s="735">
        <f t="shared" ref="O106" si="18">O107+O108</f>
        <v>27223</v>
      </c>
    </row>
    <row r="107" spans="1:15" x14ac:dyDescent="0.2">
      <c r="A107" s="742"/>
      <c r="B107" s="731"/>
      <c r="C107" s="736" t="s">
        <v>573</v>
      </c>
      <c r="D107" s="733" t="s">
        <v>562</v>
      </c>
      <c r="E107" s="730">
        <v>7328</v>
      </c>
      <c r="F107" s="730">
        <v>7015</v>
      </c>
      <c r="G107" s="730">
        <v>0</v>
      </c>
      <c r="H107" s="730"/>
      <c r="I107" s="730"/>
      <c r="J107" s="730">
        <v>313</v>
      </c>
      <c r="K107" s="733"/>
      <c r="L107" s="733"/>
      <c r="M107" s="730">
        <v>7328</v>
      </c>
      <c r="N107" s="730">
        <v>0</v>
      </c>
      <c r="O107" s="730">
        <f t="shared" ref="O107:O108" si="19">M107+N107</f>
        <v>7328</v>
      </c>
    </row>
    <row r="108" spans="1:15" x14ac:dyDescent="0.2">
      <c r="A108" s="742"/>
      <c r="B108" s="731"/>
      <c r="C108" s="736" t="s">
        <v>573</v>
      </c>
      <c r="D108" s="742" t="s">
        <v>582</v>
      </c>
      <c r="E108" s="739">
        <v>18208</v>
      </c>
      <c r="F108" s="739">
        <v>17419</v>
      </c>
      <c r="G108" s="739">
        <v>0</v>
      </c>
      <c r="H108" s="730"/>
      <c r="I108" s="730"/>
      <c r="J108" s="739">
        <v>789</v>
      </c>
      <c r="K108" s="730">
        <v>1687</v>
      </c>
      <c r="L108" s="730">
        <v>1687</v>
      </c>
      <c r="M108" s="730">
        <v>19895</v>
      </c>
      <c r="N108" s="730">
        <v>0</v>
      </c>
      <c r="O108" s="730">
        <f t="shared" si="19"/>
        <v>19895</v>
      </c>
    </row>
    <row r="109" spans="1:15" s="741" customFormat="1" x14ac:dyDescent="0.2">
      <c r="A109" s="749">
        <v>73</v>
      </c>
      <c r="B109" s="96" t="s">
        <v>262</v>
      </c>
      <c r="C109" s="737" t="s">
        <v>583</v>
      </c>
      <c r="D109" s="740" t="s">
        <v>582</v>
      </c>
      <c r="E109" s="735">
        <v>7260</v>
      </c>
      <c r="F109" s="735">
        <v>0</v>
      </c>
      <c r="G109" s="735">
        <v>0</v>
      </c>
      <c r="H109" s="735"/>
      <c r="I109" s="735"/>
      <c r="J109" s="735">
        <v>7260</v>
      </c>
      <c r="K109" s="735">
        <v>3680</v>
      </c>
      <c r="L109" s="735">
        <v>0</v>
      </c>
      <c r="M109" s="735">
        <v>10940</v>
      </c>
      <c r="N109" s="730">
        <v>844</v>
      </c>
      <c r="O109" s="735">
        <f>O110+O111</f>
        <v>11784</v>
      </c>
    </row>
    <row r="110" spans="1:15" x14ac:dyDescent="0.2">
      <c r="A110" s="742"/>
      <c r="B110" s="731"/>
      <c r="C110" s="736" t="s">
        <v>573</v>
      </c>
      <c r="D110" s="733" t="s">
        <v>562</v>
      </c>
      <c r="E110" s="730">
        <v>152</v>
      </c>
      <c r="F110" s="730">
        <v>0</v>
      </c>
      <c r="G110" s="730">
        <v>0</v>
      </c>
      <c r="H110" s="730"/>
      <c r="I110" s="730"/>
      <c r="J110" s="730">
        <v>152</v>
      </c>
      <c r="K110" s="733"/>
      <c r="L110" s="733"/>
      <c r="M110" s="730">
        <v>152</v>
      </c>
      <c r="N110" s="730">
        <v>844</v>
      </c>
      <c r="O110" s="730">
        <f t="shared" ref="O110:O111" si="20">M110+N110</f>
        <v>996</v>
      </c>
    </row>
    <row r="111" spans="1:15" x14ac:dyDescent="0.2">
      <c r="A111" s="742"/>
      <c r="B111" s="731"/>
      <c r="C111" s="736" t="s">
        <v>573</v>
      </c>
      <c r="D111" s="738" t="s">
        <v>582</v>
      </c>
      <c r="E111" s="739">
        <v>7108</v>
      </c>
      <c r="F111" s="739">
        <v>0</v>
      </c>
      <c r="G111" s="739">
        <v>0</v>
      </c>
      <c r="H111" s="730"/>
      <c r="I111" s="730"/>
      <c r="J111" s="739">
        <v>7108</v>
      </c>
      <c r="K111" s="730">
        <v>3680</v>
      </c>
      <c r="L111" s="730">
        <v>0</v>
      </c>
      <c r="M111" s="730">
        <v>10788</v>
      </c>
      <c r="N111" s="730">
        <v>0</v>
      </c>
      <c r="O111" s="730">
        <f t="shared" si="20"/>
        <v>10788</v>
      </c>
    </row>
    <row r="112" spans="1:15" s="741" customFormat="1" x14ac:dyDescent="0.2">
      <c r="A112" s="749">
        <v>74</v>
      </c>
      <c r="B112" s="751" t="s">
        <v>266</v>
      </c>
      <c r="C112" s="737" t="s">
        <v>267</v>
      </c>
      <c r="D112" s="740" t="s">
        <v>584</v>
      </c>
      <c r="E112" s="735">
        <v>6541</v>
      </c>
      <c r="F112" s="735">
        <v>0</v>
      </c>
      <c r="G112" s="735">
        <v>0</v>
      </c>
      <c r="H112" s="735"/>
      <c r="I112" s="735"/>
      <c r="J112" s="735">
        <v>6541</v>
      </c>
      <c r="K112" s="735">
        <v>48</v>
      </c>
      <c r="L112" s="735">
        <v>0</v>
      </c>
      <c r="M112" s="735">
        <v>6589</v>
      </c>
      <c r="N112" s="730">
        <v>0</v>
      </c>
      <c r="O112" s="735">
        <f>O113+O114</f>
        <v>6589</v>
      </c>
    </row>
    <row r="113" spans="1:15" x14ac:dyDescent="0.2">
      <c r="A113" s="742"/>
      <c r="B113" s="731"/>
      <c r="C113" s="736" t="s">
        <v>573</v>
      </c>
      <c r="D113" s="733" t="s">
        <v>562</v>
      </c>
      <c r="E113" s="730">
        <v>3206</v>
      </c>
      <c r="F113" s="730">
        <v>0</v>
      </c>
      <c r="G113" s="730">
        <v>0</v>
      </c>
      <c r="H113" s="730"/>
      <c r="I113" s="730"/>
      <c r="J113" s="730">
        <v>3206</v>
      </c>
      <c r="K113" s="733"/>
      <c r="L113" s="733"/>
      <c r="M113" s="730">
        <v>3206</v>
      </c>
      <c r="N113" s="730">
        <v>0</v>
      </c>
      <c r="O113" s="730">
        <f t="shared" ref="O113:O114" si="21">M113+N113</f>
        <v>3206</v>
      </c>
    </row>
    <row r="114" spans="1:15" x14ac:dyDescent="0.2">
      <c r="A114" s="742"/>
      <c r="B114" s="731"/>
      <c r="C114" s="736" t="s">
        <v>573</v>
      </c>
      <c r="D114" s="738" t="s">
        <v>582</v>
      </c>
      <c r="E114" s="739">
        <v>3335</v>
      </c>
      <c r="F114" s="739">
        <v>0</v>
      </c>
      <c r="G114" s="739">
        <v>0</v>
      </c>
      <c r="H114" s="730"/>
      <c r="I114" s="730"/>
      <c r="J114" s="739">
        <v>3335</v>
      </c>
      <c r="K114" s="730">
        <v>48</v>
      </c>
      <c r="L114" s="730">
        <v>0</v>
      </c>
      <c r="M114" s="730">
        <v>3383</v>
      </c>
      <c r="N114" s="730">
        <v>0</v>
      </c>
      <c r="O114" s="730">
        <f t="shared" si="21"/>
        <v>3383</v>
      </c>
    </row>
    <row r="115" spans="1:15" s="741" customFormat="1" x14ac:dyDescent="0.2">
      <c r="A115" s="749">
        <v>75</v>
      </c>
      <c r="B115" s="751" t="s">
        <v>268</v>
      </c>
      <c r="C115" s="737" t="s">
        <v>585</v>
      </c>
      <c r="D115" s="740" t="s">
        <v>582</v>
      </c>
      <c r="E115" s="735">
        <v>23351</v>
      </c>
      <c r="F115" s="735">
        <v>0</v>
      </c>
      <c r="G115" s="735">
        <v>0</v>
      </c>
      <c r="H115" s="735">
        <v>4713</v>
      </c>
      <c r="I115" s="735">
        <v>4108</v>
      </c>
      <c r="J115" s="735">
        <v>14530</v>
      </c>
      <c r="K115" s="735">
        <v>871</v>
      </c>
      <c r="L115" s="735">
        <v>0</v>
      </c>
      <c r="M115" s="735">
        <v>24222</v>
      </c>
      <c r="N115" s="730">
        <v>0</v>
      </c>
      <c r="O115" s="735">
        <f>O116+O117</f>
        <v>24222</v>
      </c>
    </row>
    <row r="116" spans="1:15" ht="15" customHeight="1" x14ac:dyDescent="0.2">
      <c r="A116" s="742"/>
      <c r="B116" s="731"/>
      <c r="C116" s="736" t="s">
        <v>573</v>
      </c>
      <c r="D116" s="733" t="s">
        <v>562</v>
      </c>
      <c r="E116" s="730">
        <v>8943</v>
      </c>
      <c r="F116" s="730">
        <v>0</v>
      </c>
      <c r="G116" s="730">
        <v>0</v>
      </c>
      <c r="H116" s="730">
        <v>4713</v>
      </c>
      <c r="I116" s="730">
        <v>4108</v>
      </c>
      <c r="J116" s="730">
        <v>122</v>
      </c>
      <c r="K116" s="733"/>
      <c r="L116" s="733"/>
      <c r="M116" s="730">
        <v>8943</v>
      </c>
      <c r="N116" s="730">
        <v>0</v>
      </c>
      <c r="O116" s="730">
        <f t="shared" ref="O116:O117" si="22">M116+N116</f>
        <v>8943</v>
      </c>
    </row>
    <row r="117" spans="1:15" ht="15" customHeight="1" x14ac:dyDescent="0.2">
      <c r="A117" s="742"/>
      <c r="B117" s="731"/>
      <c r="C117" s="736" t="s">
        <v>573</v>
      </c>
      <c r="D117" s="742" t="s">
        <v>582</v>
      </c>
      <c r="E117" s="739">
        <v>14408</v>
      </c>
      <c r="F117" s="739">
        <v>0</v>
      </c>
      <c r="G117" s="739">
        <v>0</v>
      </c>
      <c r="H117" s="739"/>
      <c r="I117" s="739"/>
      <c r="J117" s="739">
        <v>14408</v>
      </c>
      <c r="K117" s="743">
        <v>871</v>
      </c>
      <c r="L117" s="743">
        <v>0</v>
      </c>
      <c r="M117" s="730">
        <v>15279</v>
      </c>
      <c r="N117" s="730">
        <v>0</v>
      </c>
      <c r="O117" s="730">
        <f t="shared" si="22"/>
        <v>15279</v>
      </c>
    </row>
    <row r="118" spans="1:15" s="741" customFormat="1" x14ac:dyDescent="0.2">
      <c r="A118" s="749">
        <v>76</v>
      </c>
      <c r="B118" s="751" t="s">
        <v>276</v>
      </c>
      <c r="C118" s="737" t="s">
        <v>586</v>
      </c>
      <c r="D118" s="740" t="s">
        <v>582</v>
      </c>
      <c r="E118" s="735">
        <v>21317</v>
      </c>
      <c r="F118" s="735">
        <v>50</v>
      </c>
      <c r="G118" s="735">
        <v>0</v>
      </c>
      <c r="H118" s="735"/>
      <c r="I118" s="735"/>
      <c r="J118" s="735">
        <v>21267</v>
      </c>
      <c r="K118" s="735">
        <v>1118</v>
      </c>
      <c r="L118" s="735">
        <v>0</v>
      </c>
      <c r="M118" s="735">
        <v>22435</v>
      </c>
      <c r="N118" s="730">
        <v>1474</v>
      </c>
      <c r="O118" s="735">
        <f>O119+O120</f>
        <v>23909</v>
      </c>
    </row>
    <row r="119" spans="1:15" x14ac:dyDescent="0.2">
      <c r="A119" s="742"/>
      <c r="B119" s="731"/>
      <c r="C119" s="736" t="s">
        <v>573</v>
      </c>
      <c r="D119" s="733" t="s">
        <v>562</v>
      </c>
      <c r="E119" s="730">
        <v>11779</v>
      </c>
      <c r="F119" s="730">
        <v>50</v>
      </c>
      <c r="G119" s="730">
        <v>0</v>
      </c>
      <c r="H119" s="730"/>
      <c r="I119" s="730"/>
      <c r="J119" s="730">
        <v>11729</v>
      </c>
      <c r="K119" s="733"/>
      <c r="L119" s="733"/>
      <c r="M119" s="730">
        <v>11779</v>
      </c>
      <c r="N119" s="730">
        <v>1474</v>
      </c>
      <c r="O119" s="730">
        <f t="shared" ref="O119:O120" si="23">M119+N119</f>
        <v>13253</v>
      </c>
    </row>
    <row r="120" spans="1:15" ht="15.75" customHeight="1" x14ac:dyDescent="0.2">
      <c r="A120" s="742"/>
      <c r="B120" s="731"/>
      <c r="C120" s="736" t="s">
        <v>573</v>
      </c>
      <c r="D120" s="738" t="s">
        <v>582</v>
      </c>
      <c r="E120" s="739">
        <v>9538</v>
      </c>
      <c r="F120" s="739">
        <v>0</v>
      </c>
      <c r="G120" s="739">
        <v>0</v>
      </c>
      <c r="H120" s="739"/>
      <c r="I120" s="739"/>
      <c r="J120" s="739">
        <v>9538</v>
      </c>
      <c r="K120" s="743">
        <v>1118</v>
      </c>
      <c r="L120" s="743">
        <v>0</v>
      </c>
      <c r="M120" s="730">
        <v>10656</v>
      </c>
      <c r="N120" s="730">
        <v>0</v>
      </c>
      <c r="O120" s="730">
        <f t="shared" si="23"/>
        <v>10656</v>
      </c>
    </row>
    <row r="121" spans="1:15" s="741" customFormat="1" x14ac:dyDescent="0.2">
      <c r="A121" s="749">
        <v>77</v>
      </c>
      <c r="B121" s="751" t="s">
        <v>171</v>
      </c>
      <c r="C121" s="737" t="s">
        <v>587</v>
      </c>
      <c r="D121" s="740" t="s">
        <v>582</v>
      </c>
      <c r="E121" s="735">
        <v>10965</v>
      </c>
      <c r="F121" s="735">
        <v>0</v>
      </c>
      <c r="G121" s="735">
        <v>0</v>
      </c>
      <c r="H121" s="735"/>
      <c r="I121" s="735"/>
      <c r="J121" s="735">
        <v>10965</v>
      </c>
      <c r="K121" s="735">
        <v>401</v>
      </c>
      <c r="L121" s="735">
        <v>0</v>
      </c>
      <c r="M121" s="735">
        <v>11366</v>
      </c>
      <c r="N121" s="730">
        <v>3932</v>
      </c>
      <c r="O121" s="735">
        <f>O122+O123</f>
        <v>15298</v>
      </c>
    </row>
    <row r="122" spans="1:15" x14ac:dyDescent="0.2">
      <c r="A122" s="742"/>
      <c r="B122" s="731"/>
      <c r="C122" s="736" t="s">
        <v>573</v>
      </c>
      <c r="D122" s="733" t="s">
        <v>562</v>
      </c>
      <c r="E122" s="730">
        <v>1491</v>
      </c>
      <c r="F122" s="730">
        <v>0</v>
      </c>
      <c r="G122" s="730">
        <v>0</v>
      </c>
      <c r="H122" s="730"/>
      <c r="I122" s="730"/>
      <c r="J122" s="730">
        <v>1491</v>
      </c>
      <c r="K122" s="733"/>
      <c r="L122" s="733"/>
      <c r="M122" s="730">
        <v>1491</v>
      </c>
      <c r="N122" s="730">
        <v>3932</v>
      </c>
      <c r="O122" s="730">
        <f t="shared" ref="O122:O123" si="24">M122+N122</f>
        <v>5423</v>
      </c>
    </row>
    <row r="123" spans="1:15" x14ac:dyDescent="0.2">
      <c r="A123" s="742"/>
      <c r="B123" s="731"/>
      <c r="C123" s="736" t="s">
        <v>573</v>
      </c>
      <c r="D123" s="742" t="s">
        <v>582</v>
      </c>
      <c r="E123" s="739">
        <v>9474</v>
      </c>
      <c r="F123" s="739">
        <v>0</v>
      </c>
      <c r="G123" s="739">
        <v>0</v>
      </c>
      <c r="H123" s="739"/>
      <c r="I123" s="739"/>
      <c r="J123" s="739">
        <v>9474</v>
      </c>
      <c r="K123" s="743">
        <v>401</v>
      </c>
      <c r="L123" s="743">
        <v>0</v>
      </c>
      <c r="M123" s="730">
        <v>9875</v>
      </c>
      <c r="N123" s="730">
        <v>0</v>
      </c>
      <c r="O123" s="730">
        <f t="shared" si="24"/>
        <v>9875</v>
      </c>
    </row>
    <row r="124" spans="1:15" s="741" customFormat="1" x14ac:dyDescent="0.2">
      <c r="A124" s="749">
        <v>78</v>
      </c>
      <c r="B124" s="751" t="s">
        <v>173</v>
      </c>
      <c r="C124" s="737" t="s">
        <v>508</v>
      </c>
      <c r="D124" s="740" t="s">
        <v>582</v>
      </c>
      <c r="E124" s="735">
        <v>10848</v>
      </c>
      <c r="F124" s="735">
        <v>2</v>
      </c>
      <c r="G124" s="735">
        <v>420</v>
      </c>
      <c r="H124" s="735"/>
      <c r="I124" s="735"/>
      <c r="J124" s="735">
        <v>10426</v>
      </c>
      <c r="K124" s="735">
        <v>786</v>
      </c>
      <c r="L124" s="735">
        <v>0</v>
      </c>
      <c r="M124" s="735">
        <v>11634</v>
      </c>
      <c r="N124" s="730">
        <v>1478</v>
      </c>
      <c r="O124" s="735">
        <f>O125+O126</f>
        <v>13112</v>
      </c>
    </row>
    <row r="125" spans="1:15" x14ac:dyDescent="0.2">
      <c r="A125" s="742"/>
      <c r="B125" s="731"/>
      <c r="C125" s="736" t="s">
        <v>573</v>
      </c>
      <c r="D125" s="733" t="s">
        <v>562</v>
      </c>
      <c r="E125" s="730">
        <v>3792</v>
      </c>
      <c r="F125" s="730">
        <v>2</v>
      </c>
      <c r="G125" s="730">
        <v>420</v>
      </c>
      <c r="H125" s="730"/>
      <c r="I125" s="730"/>
      <c r="J125" s="730">
        <v>3370</v>
      </c>
      <c r="K125" s="730"/>
      <c r="L125" s="730"/>
      <c r="M125" s="730">
        <v>3792</v>
      </c>
      <c r="N125" s="730">
        <v>1478</v>
      </c>
      <c r="O125" s="730">
        <f t="shared" ref="O125:O126" si="25">M125+N125</f>
        <v>5270</v>
      </c>
    </row>
    <row r="126" spans="1:15" x14ac:dyDescent="0.2">
      <c r="A126" s="742"/>
      <c r="B126" s="731"/>
      <c r="C126" s="736" t="s">
        <v>573</v>
      </c>
      <c r="D126" s="733" t="s">
        <v>582</v>
      </c>
      <c r="E126" s="730">
        <v>7056</v>
      </c>
      <c r="F126" s="730">
        <v>0</v>
      </c>
      <c r="G126" s="730">
        <v>0</v>
      </c>
      <c r="H126" s="730"/>
      <c r="I126" s="730"/>
      <c r="J126" s="730">
        <v>7056</v>
      </c>
      <c r="K126" s="730">
        <v>786</v>
      </c>
      <c r="L126" s="730">
        <v>0</v>
      </c>
      <c r="M126" s="730">
        <v>7842</v>
      </c>
      <c r="N126" s="730">
        <v>0</v>
      </c>
      <c r="O126" s="730">
        <f t="shared" si="25"/>
        <v>7842</v>
      </c>
    </row>
    <row r="127" spans="1:15" s="741" customFormat="1" x14ac:dyDescent="0.2">
      <c r="A127" s="749">
        <v>79</v>
      </c>
      <c r="B127" s="95" t="s">
        <v>278</v>
      </c>
      <c r="C127" s="737" t="s">
        <v>588</v>
      </c>
      <c r="D127" s="740" t="s">
        <v>582</v>
      </c>
      <c r="E127" s="735">
        <v>19781</v>
      </c>
      <c r="F127" s="735">
        <v>119</v>
      </c>
      <c r="G127" s="735">
        <v>0</v>
      </c>
      <c r="H127" s="735"/>
      <c r="I127" s="735"/>
      <c r="J127" s="735">
        <v>19662</v>
      </c>
      <c r="K127" s="735">
        <v>1188</v>
      </c>
      <c r="L127" s="735">
        <v>0</v>
      </c>
      <c r="M127" s="735">
        <v>20969</v>
      </c>
      <c r="N127" s="730">
        <v>1010</v>
      </c>
      <c r="O127" s="735">
        <f t="shared" ref="O127" si="26">O128+O129</f>
        <v>21979</v>
      </c>
    </row>
    <row r="128" spans="1:15" x14ac:dyDescent="0.2">
      <c r="A128" s="742"/>
      <c r="B128" s="731"/>
      <c r="C128" s="736" t="s">
        <v>573</v>
      </c>
      <c r="D128" s="733" t="s">
        <v>562</v>
      </c>
      <c r="E128" s="730">
        <v>3866</v>
      </c>
      <c r="F128" s="730">
        <v>20</v>
      </c>
      <c r="G128" s="730">
        <v>0</v>
      </c>
      <c r="H128" s="730"/>
      <c r="I128" s="730"/>
      <c r="J128" s="730">
        <v>3846</v>
      </c>
      <c r="K128" s="730"/>
      <c r="L128" s="730"/>
      <c r="M128" s="730">
        <v>3866</v>
      </c>
      <c r="N128" s="730">
        <v>1010</v>
      </c>
      <c r="O128" s="730">
        <f t="shared" ref="O128:O129" si="27">M128+N128</f>
        <v>4876</v>
      </c>
    </row>
    <row r="129" spans="1:15" x14ac:dyDescent="0.2">
      <c r="A129" s="742"/>
      <c r="B129" s="731"/>
      <c r="C129" s="736" t="s">
        <v>573</v>
      </c>
      <c r="D129" s="730" t="s">
        <v>582</v>
      </c>
      <c r="E129" s="730">
        <v>15915</v>
      </c>
      <c r="F129" s="730">
        <v>99</v>
      </c>
      <c r="G129" s="730">
        <v>0</v>
      </c>
      <c r="H129" s="730"/>
      <c r="I129" s="730"/>
      <c r="J129" s="730">
        <v>15816</v>
      </c>
      <c r="K129" s="730">
        <v>1188</v>
      </c>
      <c r="L129" s="730">
        <v>0</v>
      </c>
      <c r="M129" s="730">
        <v>17103</v>
      </c>
      <c r="N129" s="730">
        <v>0</v>
      </c>
      <c r="O129" s="730">
        <f t="shared" si="27"/>
        <v>17103</v>
      </c>
    </row>
    <row r="130" spans="1:15" s="741" customFormat="1" x14ac:dyDescent="0.2">
      <c r="A130" s="749">
        <v>80</v>
      </c>
      <c r="B130" s="96" t="s">
        <v>258</v>
      </c>
      <c r="C130" s="737" t="s">
        <v>259</v>
      </c>
      <c r="D130" s="740" t="s">
        <v>589</v>
      </c>
      <c r="E130" s="735">
        <v>24476</v>
      </c>
      <c r="F130" s="735">
        <v>2095</v>
      </c>
      <c r="G130" s="735">
        <v>0</v>
      </c>
      <c r="H130" s="735">
        <v>1590</v>
      </c>
      <c r="I130" s="735">
        <v>1532</v>
      </c>
      <c r="J130" s="735">
        <v>19259</v>
      </c>
      <c r="K130" s="735">
        <v>2891</v>
      </c>
      <c r="L130" s="735">
        <v>250</v>
      </c>
      <c r="M130" s="735">
        <v>27367</v>
      </c>
      <c r="N130" s="730">
        <v>1341</v>
      </c>
      <c r="O130" s="735">
        <f t="shared" ref="O130" si="28">O131+O132</f>
        <v>28708</v>
      </c>
    </row>
    <row r="131" spans="1:15" x14ac:dyDescent="0.2">
      <c r="A131" s="742"/>
      <c r="B131" s="753"/>
      <c r="C131" s="736" t="s">
        <v>573</v>
      </c>
      <c r="D131" s="733" t="s">
        <v>562</v>
      </c>
      <c r="E131" s="730">
        <v>5147</v>
      </c>
      <c r="F131" s="730">
        <v>0</v>
      </c>
      <c r="G131" s="730">
        <v>0</v>
      </c>
      <c r="H131" s="730">
        <v>1590</v>
      </c>
      <c r="I131" s="730">
        <v>1532</v>
      </c>
      <c r="J131" s="730">
        <v>2025</v>
      </c>
      <c r="K131" s="733"/>
      <c r="L131" s="733"/>
      <c r="M131" s="730">
        <v>5147</v>
      </c>
      <c r="N131" s="730">
        <v>1341</v>
      </c>
      <c r="O131" s="730">
        <f t="shared" ref="O131:O132" si="29">M131+N131</f>
        <v>6488</v>
      </c>
    </row>
    <row r="132" spans="1:15" ht="15" customHeight="1" x14ac:dyDescent="0.2">
      <c r="A132" s="742"/>
      <c r="B132" s="753"/>
      <c r="C132" s="736" t="s">
        <v>573</v>
      </c>
      <c r="D132" s="730" t="s">
        <v>589</v>
      </c>
      <c r="E132" s="730">
        <v>19329</v>
      </c>
      <c r="F132" s="730">
        <v>2095</v>
      </c>
      <c r="G132" s="730">
        <v>0</v>
      </c>
      <c r="H132" s="730"/>
      <c r="I132" s="730"/>
      <c r="J132" s="730">
        <v>17234</v>
      </c>
      <c r="K132" s="730">
        <v>2891</v>
      </c>
      <c r="L132" s="730">
        <v>250</v>
      </c>
      <c r="M132" s="730">
        <v>22220</v>
      </c>
      <c r="N132" s="730">
        <v>0</v>
      </c>
      <c r="O132" s="730">
        <f t="shared" si="29"/>
        <v>22220</v>
      </c>
    </row>
    <row r="133" spans="1:15" s="741" customFormat="1" ht="19.5" customHeight="1" x14ac:dyDescent="0.2">
      <c r="A133" s="749">
        <v>81</v>
      </c>
      <c r="B133" s="751" t="s">
        <v>264</v>
      </c>
      <c r="C133" s="737" t="s">
        <v>265</v>
      </c>
      <c r="D133" s="740" t="s">
        <v>589</v>
      </c>
      <c r="E133" s="735">
        <v>16406</v>
      </c>
      <c r="F133" s="735">
        <v>815</v>
      </c>
      <c r="G133" s="735">
        <v>0</v>
      </c>
      <c r="H133" s="735"/>
      <c r="I133" s="735"/>
      <c r="J133" s="735">
        <v>15591</v>
      </c>
      <c r="K133" s="735">
        <v>1086</v>
      </c>
      <c r="L133" s="735">
        <v>99</v>
      </c>
      <c r="M133" s="735">
        <v>17492</v>
      </c>
      <c r="N133" s="730">
        <v>720</v>
      </c>
      <c r="O133" s="735">
        <f>O134+O135</f>
        <v>18212</v>
      </c>
    </row>
    <row r="134" spans="1:15" x14ac:dyDescent="0.2">
      <c r="A134" s="742"/>
      <c r="B134" s="731"/>
      <c r="C134" s="736" t="s">
        <v>573</v>
      </c>
      <c r="D134" s="733" t="s">
        <v>562</v>
      </c>
      <c r="E134" s="730">
        <v>1824</v>
      </c>
      <c r="F134" s="730">
        <v>0</v>
      </c>
      <c r="G134" s="730">
        <v>0</v>
      </c>
      <c r="H134" s="730"/>
      <c r="I134" s="730"/>
      <c r="J134" s="730">
        <v>1824</v>
      </c>
      <c r="K134" s="733"/>
      <c r="L134" s="733"/>
      <c r="M134" s="730">
        <v>1824</v>
      </c>
      <c r="N134" s="730">
        <v>720</v>
      </c>
      <c r="O134" s="730">
        <f t="shared" ref="O134:O138" si="30">M134+N134</f>
        <v>2544</v>
      </c>
    </row>
    <row r="135" spans="1:15" x14ac:dyDescent="0.2">
      <c r="A135" s="742"/>
      <c r="B135" s="731"/>
      <c r="C135" s="736" t="s">
        <v>573</v>
      </c>
      <c r="D135" s="733" t="s">
        <v>589</v>
      </c>
      <c r="E135" s="739">
        <v>14582</v>
      </c>
      <c r="F135" s="739">
        <v>815</v>
      </c>
      <c r="G135" s="739">
        <v>0</v>
      </c>
      <c r="H135" s="730"/>
      <c r="I135" s="730"/>
      <c r="J135" s="739">
        <v>13767</v>
      </c>
      <c r="K135" s="730">
        <v>1086</v>
      </c>
      <c r="L135" s="730">
        <v>99</v>
      </c>
      <c r="M135" s="730">
        <v>15668</v>
      </c>
      <c r="N135" s="730">
        <v>0</v>
      </c>
      <c r="O135" s="730">
        <f t="shared" si="30"/>
        <v>15668</v>
      </c>
    </row>
    <row r="136" spans="1:15" s="741" customFormat="1" x14ac:dyDescent="0.2">
      <c r="A136" s="749">
        <v>82</v>
      </c>
      <c r="B136" s="95" t="s">
        <v>237</v>
      </c>
      <c r="C136" s="737" t="s">
        <v>590</v>
      </c>
      <c r="D136" s="740" t="s">
        <v>589</v>
      </c>
      <c r="E136" s="735">
        <v>1088</v>
      </c>
      <c r="F136" s="735">
        <v>1000</v>
      </c>
      <c r="G136" s="735">
        <v>0</v>
      </c>
      <c r="H136" s="735"/>
      <c r="I136" s="735"/>
      <c r="J136" s="735">
        <v>88</v>
      </c>
      <c r="K136" s="735">
        <v>278</v>
      </c>
      <c r="L136" s="735">
        <v>0</v>
      </c>
      <c r="M136" s="735">
        <v>1366</v>
      </c>
      <c r="N136" s="730">
        <v>0</v>
      </c>
      <c r="O136" s="735">
        <f t="shared" si="30"/>
        <v>1366</v>
      </c>
    </row>
    <row r="137" spans="1:15" s="741" customFormat="1" x14ac:dyDescent="0.2">
      <c r="A137" s="749">
        <v>83</v>
      </c>
      <c r="B137" s="96" t="s">
        <v>274</v>
      </c>
      <c r="C137" s="737" t="s">
        <v>275</v>
      </c>
      <c r="D137" s="740" t="s">
        <v>589</v>
      </c>
      <c r="E137" s="735">
        <v>4477</v>
      </c>
      <c r="F137" s="735">
        <v>0</v>
      </c>
      <c r="G137" s="735">
        <v>0</v>
      </c>
      <c r="H137" s="735"/>
      <c r="I137" s="735"/>
      <c r="J137" s="735">
        <v>4477</v>
      </c>
      <c r="K137" s="735">
        <v>260</v>
      </c>
      <c r="L137" s="735">
        <v>0</v>
      </c>
      <c r="M137" s="735">
        <v>4737</v>
      </c>
      <c r="N137" s="730">
        <v>1789</v>
      </c>
      <c r="O137" s="735">
        <f t="shared" si="30"/>
        <v>6526</v>
      </c>
    </row>
    <row r="138" spans="1:15" s="741" customFormat="1" x14ac:dyDescent="0.2">
      <c r="A138" s="749">
        <v>84</v>
      </c>
      <c r="B138" s="754" t="s">
        <v>178</v>
      </c>
      <c r="C138" s="737" t="s">
        <v>324</v>
      </c>
      <c r="D138" s="740" t="s">
        <v>589</v>
      </c>
      <c r="E138" s="735">
        <v>7167</v>
      </c>
      <c r="F138" s="735">
        <v>0</v>
      </c>
      <c r="G138" s="735">
        <v>0</v>
      </c>
      <c r="H138" s="735"/>
      <c r="I138" s="735"/>
      <c r="J138" s="735">
        <v>7167</v>
      </c>
      <c r="K138" s="735">
        <v>90</v>
      </c>
      <c r="L138" s="735">
        <v>0</v>
      </c>
      <c r="M138" s="735">
        <v>7257</v>
      </c>
      <c r="N138" s="730">
        <v>0</v>
      </c>
      <c r="O138" s="735">
        <f t="shared" si="30"/>
        <v>7257</v>
      </c>
    </row>
    <row r="139" spans="1:15" s="741" customFormat="1" x14ac:dyDescent="0.2">
      <c r="A139" s="749"/>
      <c r="B139" s="754"/>
      <c r="C139" s="755" t="s">
        <v>15</v>
      </c>
      <c r="D139" s="740"/>
      <c r="E139" s="735">
        <v>609229</v>
      </c>
      <c r="F139" s="735">
        <v>30752</v>
      </c>
      <c r="G139" s="735">
        <v>12277</v>
      </c>
      <c r="H139" s="735">
        <v>19100</v>
      </c>
      <c r="I139" s="735">
        <v>12678</v>
      </c>
      <c r="J139" s="735">
        <v>534422</v>
      </c>
      <c r="K139" s="735">
        <v>19566</v>
      </c>
      <c r="L139" s="735">
        <v>2196</v>
      </c>
      <c r="M139" s="735">
        <f t="shared" ref="M139:O139" si="31">SUM(M5:M60)+M61+M73+M76+M79+M82+M85+M88+M91+M94+M97+M100+M103+M106+M109+M112+M115+M118+M121+M124+M127+M130+M133+M136+M137+M138+M64+M67+M70</f>
        <v>628795</v>
      </c>
      <c r="N139" s="735">
        <v>21249</v>
      </c>
      <c r="O139" s="735">
        <f t="shared" si="31"/>
        <v>650044</v>
      </c>
    </row>
    <row r="140" spans="1:15" ht="25.5" x14ac:dyDescent="0.2">
      <c r="A140" s="731"/>
      <c r="B140" s="731"/>
      <c r="C140" s="732" t="s">
        <v>591</v>
      </c>
      <c r="D140" s="733"/>
      <c r="E140" s="735">
        <v>15674</v>
      </c>
      <c r="F140" s="735">
        <v>730</v>
      </c>
      <c r="G140" s="735"/>
      <c r="H140" s="735"/>
      <c r="I140" s="735"/>
      <c r="J140" s="735">
        <v>14944</v>
      </c>
      <c r="K140" s="735">
        <v>75</v>
      </c>
      <c r="L140" s="735">
        <v>0</v>
      </c>
      <c r="M140" s="735">
        <v>15749</v>
      </c>
      <c r="N140" s="735"/>
      <c r="O140" s="735">
        <f t="shared" ref="O140" si="32">M140+N140</f>
        <v>15749</v>
      </c>
    </row>
    <row r="141" spans="1:15" ht="19.5" customHeight="1" x14ac:dyDescent="0.2">
      <c r="A141" s="756" t="s">
        <v>592</v>
      </c>
      <c r="B141" s="757"/>
      <c r="C141" s="757"/>
      <c r="D141" s="758"/>
      <c r="E141" s="735">
        <f>E139+E140</f>
        <v>624903</v>
      </c>
      <c r="F141" s="735">
        <f t="shared" ref="F141:N141" si="33">F139+F140</f>
        <v>31482</v>
      </c>
      <c r="G141" s="735">
        <f t="shared" si="33"/>
        <v>12277</v>
      </c>
      <c r="H141" s="735">
        <f t="shared" si="33"/>
        <v>19100</v>
      </c>
      <c r="I141" s="735">
        <f t="shared" si="33"/>
        <v>12678</v>
      </c>
      <c r="J141" s="735">
        <f>J139+J140</f>
        <v>549366</v>
      </c>
      <c r="K141" s="735">
        <f>K139+K140</f>
        <v>19641</v>
      </c>
      <c r="L141" s="735">
        <f t="shared" si="33"/>
        <v>2196</v>
      </c>
      <c r="M141" s="735">
        <f>M139+M140</f>
        <v>644544</v>
      </c>
      <c r="N141" s="735">
        <f t="shared" si="33"/>
        <v>21249</v>
      </c>
      <c r="O141" s="735">
        <f>O139+O140</f>
        <v>665793</v>
      </c>
    </row>
    <row r="142" spans="1:15" x14ac:dyDescent="0.2">
      <c r="C142" s="759"/>
      <c r="E142" s="760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K145" sqref="K145"/>
    </sheetView>
  </sheetViews>
  <sheetFormatPr defaultColWidth="10.7109375" defaultRowHeight="15" x14ac:dyDescent="0.25"/>
  <cols>
    <col min="1" max="1" width="8.28515625" style="465" customWidth="1"/>
    <col min="2" max="2" width="10.5703125" style="465" customWidth="1"/>
    <col min="3" max="3" width="44.85546875" style="464" customWidth="1"/>
    <col min="4" max="4" width="14.28515625" style="464" customWidth="1"/>
    <col min="5" max="8" width="15.7109375" style="464" customWidth="1"/>
    <col min="9" max="9" width="10.7109375" style="464"/>
    <col min="10" max="10" width="20.5703125" style="464" customWidth="1"/>
    <col min="11" max="16384" width="10.7109375" style="464"/>
  </cols>
  <sheetData>
    <row r="1" spans="1:11" ht="30" customHeight="1" x14ac:dyDescent="0.25">
      <c r="A1" s="1056" t="s">
        <v>777</v>
      </c>
      <c r="B1" s="1056"/>
      <c r="C1" s="1056"/>
      <c r="D1" s="1056"/>
      <c r="E1" s="1056"/>
      <c r="F1" s="1056"/>
      <c r="G1" s="1056"/>
      <c r="H1" s="699"/>
    </row>
    <row r="2" spans="1:11" ht="9.75" customHeight="1" x14ac:dyDescent="0.25">
      <c r="C2" s="466"/>
    </row>
    <row r="3" spans="1:11" s="467" customFormat="1" ht="39.75" customHeight="1" x14ac:dyDescent="0.2">
      <c r="A3" s="1050" t="s">
        <v>0</v>
      </c>
      <c r="B3" s="1057" t="s">
        <v>302</v>
      </c>
      <c r="C3" s="1060" t="s">
        <v>2</v>
      </c>
      <c r="D3" s="1061" t="s">
        <v>778</v>
      </c>
      <c r="E3" s="1061"/>
      <c r="F3" s="1061"/>
      <c r="G3" s="1061"/>
    </row>
    <row r="4" spans="1:11" s="467" customFormat="1" ht="25.5" customHeight="1" x14ac:dyDescent="0.2">
      <c r="A4" s="1051"/>
      <c r="B4" s="1058"/>
      <c r="C4" s="1060"/>
      <c r="D4" s="1062" t="s">
        <v>779</v>
      </c>
      <c r="E4" s="1064" t="s">
        <v>4</v>
      </c>
      <c r="F4" s="1064"/>
      <c r="G4" s="1064"/>
    </row>
    <row r="5" spans="1:11" s="467" customFormat="1" ht="59.25" customHeight="1" x14ac:dyDescent="0.2">
      <c r="A5" s="1052"/>
      <c r="B5" s="1059"/>
      <c r="C5" s="1060"/>
      <c r="D5" s="1063"/>
      <c r="E5" s="700" t="s">
        <v>780</v>
      </c>
      <c r="F5" s="700" t="s">
        <v>781</v>
      </c>
      <c r="G5" s="700" t="s">
        <v>782</v>
      </c>
    </row>
    <row r="6" spans="1:11" s="467" customFormat="1" ht="12.75" customHeight="1" x14ac:dyDescent="0.2">
      <c r="A6" s="692">
        <v>1</v>
      </c>
      <c r="B6" s="468">
        <v>2</v>
      </c>
      <c r="C6" s="693">
        <v>3</v>
      </c>
      <c r="D6" s="701">
        <v>4</v>
      </c>
      <c r="E6" s="702">
        <v>5</v>
      </c>
      <c r="F6" s="702">
        <v>6</v>
      </c>
      <c r="G6" s="702">
        <v>7</v>
      </c>
    </row>
    <row r="7" spans="1:11" s="467" customFormat="1" ht="21" customHeight="1" x14ac:dyDescent="0.2">
      <c r="A7" s="1049" t="s">
        <v>308</v>
      </c>
      <c r="B7" s="1049"/>
      <c r="C7" s="1049"/>
      <c r="D7" s="703">
        <f>SUM(D8:D145)</f>
        <v>48575</v>
      </c>
      <c r="E7" s="703">
        <f t="shared" ref="E7:G7" si="0">SUM(E8:E145)</f>
        <v>6857</v>
      </c>
      <c r="F7" s="703">
        <f t="shared" si="0"/>
        <v>41118</v>
      </c>
      <c r="G7" s="703">
        <f t="shared" si="0"/>
        <v>600</v>
      </c>
      <c r="J7" s="640"/>
    </row>
    <row r="8" spans="1:11" x14ac:dyDescent="0.25">
      <c r="A8" s="28">
        <v>1</v>
      </c>
      <c r="B8" s="469" t="s">
        <v>16</v>
      </c>
      <c r="C8" s="470" t="s">
        <v>17</v>
      </c>
      <c r="D8" s="471">
        <f>SUM(E8:G8)</f>
        <v>2</v>
      </c>
      <c r="E8" s="471">
        <v>0</v>
      </c>
      <c r="F8" s="471">
        <v>0</v>
      </c>
      <c r="G8" s="471">
        <v>2</v>
      </c>
      <c r="I8" s="704"/>
      <c r="J8" s="472"/>
      <c r="K8" s="472"/>
    </row>
    <row r="9" spans="1:11" x14ac:dyDescent="0.25">
      <c r="A9" s="28">
        <v>2</v>
      </c>
      <c r="B9" s="473" t="s">
        <v>18</v>
      </c>
      <c r="C9" s="470" t="s">
        <v>19</v>
      </c>
      <c r="D9" s="471">
        <f t="shared" ref="D9:D72" si="1">SUM(E9:G9)</f>
        <v>442</v>
      </c>
      <c r="E9" s="471">
        <v>60</v>
      </c>
      <c r="F9" s="471">
        <v>381</v>
      </c>
      <c r="G9" s="471">
        <v>1</v>
      </c>
      <c r="I9" s="704"/>
      <c r="J9" s="472"/>
      <c r="K9" s="472"/>
    </row>
    <row r="10" spans="1:11" x14ac:dyDescent="0.25">
      <c r="A10" s="28">
        <v>3</v>
      </c>
      <c r="B10" s="31" t="s">
        <v>20</v>
      </c>
      <c r="C10" s="474" t="s">
        <v>21</v>
      </c>
      <c r="D10" s="471">
        <f t="shared" si="1"/>
        <v>851</v>
      </c>
      <c r="E10" s="471">
        <v>120</v>
      </c>
      <c r="F10" s="471">
        <v>722</v>
      </c>
      <c r="G10" s="471">
        <v>9</v>
      </c>
      <c r="I10" s="704"/>
      <c r="J10" s="472"/>
      <c r="K10" s="472"/>
    </row>
    <row r="11" spans="1:11" x14ac:dyDescent="0.25">
      <c r="A11" s="28">
        <v>4</v>
      </c>
      <c r="B11" s="469" t="s">
        <v>22</v>
      </c>
      <c r="C11" s="470" t="s">
        <v>23</v>
      </c>
      <c r="D11" s="471">
        <f t="shared" si="1"/>
        <v>3</v>
      </c>
      <c r="E11" s="471">
        <v>0</v>
      </c>
      <c r="F11" s="471">
        <v>0</v>
      </c>
      <c r="G11" s="471">
        <v>3</v>
      </c>
      <c r="I11" s="704"/>
      <c r="J11" s="472"/>
      <c r="K11" s="472"/>
    </row>
    <row r="12" spans="1:11" x14ac:dyDescent="0.25">
      <c r="A12" s="28">
        <v>5</v>
      </c>
      <c r="B12" s="469" t="s">
        <v>24</v>
      </c>
      <c r="C12" s="470" t="s">
        <v>25</v>
      </c>
      <c r="D12" s="471">
        <f t="shared" si="1"/>
        <v>1</v>
      </c>
      <c r="E12" s="471">
        <v>0</v>
      </c>
      <c r="F12" s="471">
        <v>0</v>
      </c>
      <c r="G12" s="471">
        <v>1</v>
      </c>
      <c r="I12" s="704"/>
      <c r="J12" s="472"/>
      <c r="K12" s="472"/>
    </row>
    <row r="13" spans="1:11" x14ac:dyDescent="0.25">
      <c r="A13" s="28">
        <v>6</v>
      </c>
      <c r="B13" s="31" t="s">
        <v>26</v>
      </c>
      <c r="C13" s="474" t="s">
        <v>27</v>
      </c>
      <c r="D13" s="471">
        <f t="shared" si="1"/>
        <v>2555</v>
      </c>
      <c r="E13" s="471">
        <v>240</v>
      </c>
      <c r="F13" s="471">
        <v>2289</v>
      </c>
      <c r="G13" s="471">
        <v>26</v>
      </c>
      <c r="I13" s="704"/>
      <c r="J13" s="472"/>
      <c r="K13" s="472"/>
    </row>
    <row r="14" spans="1:11" x14ac:dyDescent="0.25">
      <c r="A14" s="28">
        <v>7</v>
      </c>
      <c r="B14" s="475" t="s">
        <v>28</v>
      </c>
      <c r="C14" s="32" t="s">
        <v>29</v>
      </c>
      <c r="D14" s="471">
        <f t="shared" si="1"/>
        <v>1110</v>
      </c>
      <c r="E14" s="471">
        <v>100</v>
      </c>
      <c r="F14" s="471">
        <v>1004</v>
      </c>
      <c r="G14" s="471">
        <v>6</v>
      </c>
      <c r="I14" s="704"/>
      <c r="J14" s="472"/>
      <c r="K14" s="472"/>
    </row>
    <row r="15" spans="1:11" x14ac:dyDescent="0.25">
      <c r="A15" s="28">
        <v>8</v>
      </c>
      <c r="B15" s="31" t="s">
        <v>30</v>
      </c>
      <c r="C15" s="474" t="s">
        <v>31</v>
      </c>
      <c r="D15" s="471">
        <f t="shared" si="1"/>
        <v>1</v>
      </c>
      <c r="E15" s="471">
        <v>0</v>
      </c>
      <c r="F15" s="471">
        <v>0</v>
      </c>
      <c r="G15" s="471">
        <v>1</v>
      </c>
      <c r="I15" s="704"/>
      <c r="J15" s="472"/>
      <c r="K15" s="472"/>
    </row>
    <row r="16" spans="1:11" x14ac:dyDescent="0.25">
      <c r="A16" s="28">
        <v>9</v>
      </c>
      <c r="B16" s="31" t="s">
        <v>32</v>
      </c>
      <c r="C16" s="474" t="s">
        <v>33</v>
      </c>
      <c r="D16" s="471">
        <f t="shared" si="1"/>
        <v>3</v>
      </c>
      <c r="E16" s="471">
        <v>0</v>
      </c>
      <c r="F16" s="471">
        <v>0</v>
      </c>
      <c r="G16" s="471">
        <v>3</v>
      </c>
      <c r="I16" s="704"/>
      <c r="J16" s="472"/>
      <c r="K16" s="472"/>
    </row>
    <row r="17" spans="1:11" x14ac:dyDescent="0.25">
      <c r="A17" s="28">
        <v>10</v>
      </c>
      <c r="B17" s="31" t="s">
        <v>34</v>
      </c>
      <c r="C17" s="474" t="s">
        <v>35</v>
      </c>
      <c r="D17" s="471">
        <f t="shared" si="1"/>
        <v>3</v>
      </c>
      <c r="E17" s="471">
        <v>0</v>
      </c>
      <c r="F17" s="471">
        <v>0</v>
      </c>
      <c r="G17" s="471">
        <v>3</v>
      </c>
      <c r="I17" s="704"/>
      <c r="J17" s="472"/>
      <c r="K17" s="472"/>
    </row>
    <row r="18" spans="1:11" x14ac:dyDescent="0.25">
      <c r="A18" s="28">
        <v>11</v>
      </c>
      <c r="B18" s="31" t="s">
        <v>36</v>
      </c>
      <c r="C18" s="474" t="s">
        <v>37</v>
      </c>
      <c r="D18" s="471">
        <f t="shared" si="1"/>
        <v>2</v>
      </c>
      <c r="E18" s="471">
        <v>0</v>
      </c>
      <c r="F18" s="471">
        <v>0</v>
      </c>
      <c r="G18" s="471">
        <v>2</v>
      </c>
      <c r="I18" s="704"/>
      <c r="J18" s="472"/>
      <c r="K18" s="472"/>
    </row>
    <row r="19" spans="1:11" x14ac:dyDescent="0.25">
      <c r="A19" s="28">
        <v>12</v>
      </c>
      <c r="B19" s="31" t="s">
        <v>38</v>
      </c>
      <c r="C19" s="474" t="s">
        <v>39</v>
      </c>
      <c r="D19" s="471">
        <f t="shared" si="1"/>
        <v>766</v>
      </c>
      <c r="E19" s="471">
        <v>130</v>
      </c>
      <c r="F19" s="471">
        <v>633</v>
      </c>
      <c r="G19" s="471">
        <v>3</v>
      </c>
      <c r="I19" s="704"/>
      <c r="J19" s="472"/>
      <c r="K19" s="472"/>
    </row>
    <row r="20" spans="1:11" x14ac:dyDescent="0.25">
      <c r="A20" s="28">
        <v>13</v>
      </c>
      <c r="B20" s="31" t="s">
        <v>40</v>
      </c>
      <c r="C20" s="470" t="s">
        <v>41</v>
      </c>
      <c r="D20" s="471">
        <f t="shared" si="1"/>
        <v>0</v>
      </c>
      <c r="E20" s="471">
        <v>0</v>
      </c>
      <c r="F20" s="471">
        <v>0</v>
      </c>
      <c r="G20" s="471">
        <v>0</v>
      </c>
      <c r="I20" s="704"/>
      <c r="J20" s="472"/>
      <c r="K20" s="472"/>
    </row>
    <row r="21" spans="1:11" x14ac:dyDescent="0.25">
      <c r="A21" s="28">
        <v>14</v>
      </c>
      <c r="B21" s="469" t="s">
        <v>42</v>
      </c>
      <c r="C21" s="474" t="s">
        <v>43</v>
      </c>
      <c r="D21" s="471">
        <f t="shared" si="1"/>
        <v>0</v>
      </c>
      <c r="E21" s="471">
        <v>0</v>
      </c>
      <c r="F21" s="471">
        <v>0</v>
      </c>
      <c r="G21" s="471">
        <v>0</v>
      </c>
      <c r="I21" s="704"/>
      <c r="J21" s="472"/>
      <c r="K21" s="472"/>
    </row>
    <row r="22" spans="1:11" x14ac:dyDescent="0.25">
      <c r="A22" s="28">
        <v>15</v>
      </c>
      <c r="B22" s="31" t="s">
        <v>44</v>
      </c>
      <c r="C22" s="474" t="s">
        <v>45</v>
      </c>
      <c r="D22" s="471">
        <f t="shared" si="1"/>
        <v>203</v>
      </c>
      <c r="E22" s="471">
        <v>70</v>
      </c>
      <c r="F22" s="471">
        <v>130</v>
      </c>
      <c r="G22" s="471">
        <v>3</v>
      </c>
      <c r="I22" s="704"/>
      <c r="J22" s="472"/>
      <c r="K22" s="472"/>
    </row>
    <row r="23" spans="1:11" x14ac:dyDescent="0.25">
      <c r="A23" s="28">
        <v>16</v>
      </c>
      <c r="B23" s="31" t="s">
        <v>46</v>
      </c>
      <c r="C23" s="474" t="s">
        <v>47</v>
      </c>
      <c r="D23" s="471">
        <f t="shared" si="1"/>
        <v>7</v>
      </c>
      <c r="E23" s="471">
        <v>0</v>
      </c>
      <c r="F23" s="471">
        <v>0</v>
      </c>
      <c r="G23" s="471">
        <v>7</v>
      </c>
      <c r="I23" s="704"/>
      <c r="J23" s="472"/>
      <c r="K23" s="472"/>
    </row>
    <row r="24" spans="1:11" x14ac:dyDescent="0.25">
      <c r="A24" s="28">
        <v>17</v>
      </c>
      <c r="B24" s="31" t="s">
        <v>48</v>
      </c>
      <c r="C24" s="474" t="s">
        <v>49</v>
      </c>
      <c r="D24" s="471">
        <f t="shared" si="1"/>
        <v>8</v>
      </c>
      <c r="E24" s="471">
        <v>0</v>
      </c>
      <c r="F24" s="471">
        <v>0</v>
      </c>
      <c r="G24" s="471">
        <v>8</v>
      </c>
      <c r="I24" s="704"/>
      <c r="J24" s="472"/>
      <c r="K24" s="472"/>
    </row>
    <row r="25" spans="1:11" x14ac:dyDescent="0.25">
      <c r="A25" s="28">
        <v>18</v>
      </c>
      <c r="B25" s="31" t="s">
        <v>50</v>
      </c>
      <c r="C25" s="474" t="s">
        <v>51</v>
      </c>
      <c r="D25" s="471">
        <f t="shared" si="1"/>
        <v>997</v>
      </c>
      <c r="E25" s="471">
        <v>190</v>
      </c>
      <c r="F25" s="471">
        <v>793</v>
      </c>
      <c r="G25" s="471">
        <v>14</v>
      </c>
      <c r="I25" s="704"/>
      <c r="J25" s="472"/>
      <c r="K25" s="472"/>
    </row>
    <row r="26" spans="1:11" x14ac:dyDescent="0.25">
      <c r="A26" s="28">
        <v>19</v>
      </c>
      <c r="B26" s="469" t="s">
        <v>52</v>
      </c>
      <c r="C26" s="470" t="s">
        <v>53</v>
      </c>
      <c r="D26" s="471">
        <f t="shared" si="1"/>
        <v>1</v>
      </c>
      <c r="E26" s="471">
        <v>0</v>
      </c>
      <c r="F26" s="471">
        <v>0</v>
      </c>
      <c r="G26" s="471">
        <v>1</v>
      </c>
      <c r="I26" s="704"/>
      <c r="J26" s="472"/>
      <c r="K26" s="472"/>
    </row>
    <row r="27" spans="1:11" x14ac:dyDescent="0.25">
      <c r="A27" s="28">
        <v>20</v>
      </c>
      <c r="B27" s="469" t="s">
        <v>54</v>
      </c>
      <c r="C27" s="470" t="s">
        <v>55</v>
      </c>
      <c r="D27" s="471">
        <f t="shared" si="1"/>
        <v>1</v>
      </c>
      <c r="E27" s="471">
        <v>0</v>
      </c>
      <c r="F27" s="471">
        <v>0</v>
      </c>
      <c r="G27" s="471">
        <v>1</v>
      </c>
      <c r="I27" s="704"/>
      <c r="J27" s="472"/>
      <c r="K27" s="472"/>
    </row>
    <row r="28" spans="1:11" x14ac:dyDescent="0.25">
      <c r="A28" s="28">
        <v>21</v>
      </c>
      <c r="B28" s="469" t="s">
        <v>56</v>
      </c>
      <c r="C28" s="470" t="s">
        <v>57</v>
      </c>
      <c r="D28" s="471">
        <f t="shared" si="1"/>
        <v>1255</v>
      </c>
      <c r="E28" s="471">
        <v>90</v>
      </c>
      <c r="F28" s="471">
        <v>1155</v>
      </c>
      <c r="G28" s="471">
        <v>10</v>
      </c>
      <c r="I28" s="704"/>
      <c r="J28" s="472"/>
      <c r="K28" s="472"/>
    </row>
    <row r="29" spans="1:11" x14ac:dyDescent="0.25">
      <c r="A29" s="28">
        <v>22</v>
      </c>
      <c r="B29" s="469" t="s">
        <v>58</v>
      </c>
      <c r="C29" s="470" t="s">
        <v>59</v>
      </c>
      <c r="D29" s="471">
        <f t="shared" si="1"/>
        <v>915</v>
      </c>
      <c r="E29" s="471">
        <v>140</v>
      </c>
      <c r="F29" s="471">
        <v>763</v>
      </c>
      <c r="G29" s="471">
        <v>12</v>
      </c>
      <c r="I29" s="704"/>
      <c r="J29" s="472"/>
      <c r="K29" s="472"/>
    </row>
    <row r="30" spans="1:11" x14ac:dyDescent="0.25">
      <c r="A30" s="28">
        <v>23</v>
      </c>
      <c r="B30" s="31" t="s">
        <v>60</v>
      </c>
      <c r="C30" s="474" t="s">
        <v>61</v>
      </c>
      <c r="D30" s="471">
        <f t="shared" si="1"/>
        <v>3</v>
      </c>
      <c r="E30" s="471">
        <v>0</v>
      </c>
      <c r="F30" s="471">
        <v>0</v>
      </c>
      <c r="G30" s="471">
        <v>3</v>
      </c>
      <c r="I30" s="704"/>
      <c r="J30" s="472"/>
      <c r="K30" s="472"/>
    </row>
    <row r="31" spans="1:11" x14ac:dyDescent="0.25">
      <c r="A31" s="28">
        <v>24</v>
      </c>
      <c r="B31" s="31" t="s">
        <v>62</v>
      </c>
      <c r="C31" s="474" t="s">
        <v>63</v>
      </c>
      <c r="D31" s="471">
        <f t="shared" si="1"/>
        <v>0</v>
      </c>
      <c r="E31" s="471">
        <v>0</v>
      </c>
      <c r="F31" s="471">
        <v>0</v>
      </c>
      <c r="G31" s="471">
        <v>0</v>
      </c>
      <c r="I31" s="704"/>
      <c r="J31" s="472"/>
      <c r="K31" s="472"/>
    </row>
    <row r="32" spans="1:11" ht="30" x14ac:dyDescent="0.25">
      <c r="A32" s="28">
        <v>25</v>
      </c>
      <c r="B32" s="31" t="s">
        <v>64</v>
      </c>
      <c r="C32" s="474" t="s">
        <v>65</v>
      </c>
      <c r="D32" s="471">
        <f t="shared" si="1"/>
        <v>0</v>
      </c>
      <c r="E32" s="471">
        <v>0</v>
      </c>
      <c r="F32" s="471">
        <v>0</v>
      </c>
      <c r="G32" s="471">
        <v>0</v>
      </c>
      <c r="I32" s="704"/>
      <c r="J32" s="472"/>
      <c r="K32" s="472"/>
    </row>
    <row r="33" spans="1:11" x14ac:dyDescent="0.25">
      <c r="A33" s="28">
        <v>26</v>
      </c>
      <c r="B33" s="469" t="s">
        <v>66</v>
      </c>
      <c r="C33" s="32" t="s">
        <v>67</v>
      </c>
      <c r="D33" s="471">
        <f t="shared" si="1"/>
        <v>3972</v>
      </c>
      <c r="E33" s="471">
        <f>'[10]Школа сахарного диабета Пр.9-23'!E33+'[10]Откл.Пр.11-23-Пр.9-23'!E33</f>
        <v>460</v>
      </c>
      <c r="F33" s="471">
        <f>'[10]Школа сахарного диабета Пр.9-23'!F33+'[10]Откл.Пр.11-23-Пр.9-23'!F33</f>
        <v>3495</v>
      </c>
      <c r="G33" s="471">
        <f>'[10]Школа сахарного диабета Пр.9-23'!G33+'[10]Откл.Пр.11-23-Пр.9-23'!G33</f>
        <v>17</v>
      </c>
      <c r="I33" s="704"/>
      <c r="J33" s="472"/>
      <c r="K33" s="472"/>
    </row>
    <row r="34" spans="1:11" x14ac:dyDescent="0.25">
      <c r="A34" s="28">
        <v>27</v>
      </c>
      <c r="B34" s="31" t="s">
        <v>68</v>
      </c>
      <c r="C34" s="474" t="s">
        <v>69</v>
      </c>
      <c r="D34" s="471">
        <f t="shared" si="1"/>
        <v>0</v>
      </c>
      <c r="E34" s="471">
        <f>'[10]Школа сахарного диабета Пр.9-23'!E34+'[10]Откл.Пр.11-23-Пр.9-23'!E34</f>
        <v>0</v>
      </c>
      <c r="F34" s="471">
        <f>'[10]Школа сахарного диабета Пр.9-23'!F34+'[10]Откл.Пр.11-23-Пр.9-23'!F34</f>
        <v>0</v>
      </c>
      <c r="G34" s="471">
        <f>'[10]Школа сахарного диабета Пр.9-23'!G34+'[10]Откл.Пр.11-23-Пр.9-23'!G34</f>
        <v>0</v>
      </c>
      <c r="I34" s="704"/>
      <c r="J34" s="472"/>
      <c r="K34" s="472"/>
    </row>
    <row r="35" spans="1:11" x14ac:dyDescent="0.25">
      <c r="A35" s="28">
        <v>28</v>
      </c>
      <c r="B35" s="31" t="s">
        <v>70</v>
      </c>
      <c r="C35" s="474" t="s">
        <v>71</v>
      </c>
      <c r="D35" s="471">
        <f t="shared" si="1"/>
        <v>33</v>
      </c>
      <c r="E35" s="471">
        <v>0</v>
      </c>
      <c r="F35" s="471">
        <v>0</v>
      </c>
      <c r="G35" s="471">
        <v>33</v>
      </c>
      <c r="I35" s="704"/>
      <c r="J35" s="472"/>
      <c r="K35" s="472"/>
    </row>
    <row r="36" spans="1:11" x14ac:dyDescent="0.25">
      <c r="A36" s="28">
        <v>29</v>
      </c>
      <c r="B36" s="473" t="s">
        <v>72</v>
      </c>
      <c r="C36" s="32" t="s">
        <v>73</v>
      </c>
      <c r="D36" s="471">
        <f t="shared" si="1"/>
        <v>0</v>
      </c>
      <c r="E36" s="471">
        <v>0</v>
      </c>
      <c r="F36" s="471">
        <v>0</v>
      </c>
      <c r="G36" s="471">
        <v>0</v>
      </c>
      <c r="I36" s="704"/>
      <c r="J36" s="472"/>
      <c r="K36" s="472"/>
    </row>
    <row r="37" spans="1:11" x14ac:dyDescent="0.25">
      <c r="A37" s="28">
        <v>30</v>
      </c>
      <c r="B37" s="469" t="s">
        <v>74</v>
      </c>
      <c r="C37" s="470" t="s">
        <v>357</v>
      </c>
      <c r="D37" s="471">
        <f t="shared" si="1"/>
        <v>0</v>
      </c>
      <c r="E37" s="471">
        <v>0</v>
      </c>
      <c r="F37" s="471">
        <v>0</v>
      </c>
      <c r="G37" s="471">
        <v>0</v>
      </c>
      <c r="I37" s="704"/>
      <c r="J37" s="472"/>
      <c r="K37" s="472"/>
    </row>
    <row r="38" spans="1:11" x14ac:dyDescent="0.25">
      <c r="A38" s="28">
        <v>31</v>
      </c>
      <c r="B38" s="31" t="s">
        <v>75</v>
      </c>
      <c r="C38" s="474" t="s">
        <v>76</v>
      </c>
      <c r="D38" s="471">
        <f t="shared" si="1"/>
        <v>0</v>
      </c>
      <c r="E38" s="471">
        <v>0</v>
      </c>
      <c r="F38" s="471">
        <v>0</v>
      </c>
      <c r="G38" s="471">
        <v>0</v>
      </c>
      <c r="I38" s="704"/>
      <c r="J38" s="472"/>
      <c r="K38" s="472"/>
    </row>
    <row r="39" spans="1:11" x14ac:dyDescent="0.25">
      <c r="A39" s="28">
        <v>32</v>
      </c>
      <c r="B39" s="473" t="s">
        <v>77</v>
      </c>
      <c r="C39" s="470" t="s">
        <v>78</v>
      </c>
      <c r="D39" s="471">
        <f t="shared" si="1"/>
        <v>851</v>
      </c>
      <c r="E39" s="471">
        <v>100</v>
      </c>
      <c r="F39" s="471">
        <v>743</v>
      </c>
      <c r="G39" s="471">
        <v>8</v>
      </c>
      <c r="I39" s="704"/>
      <c r="J39" s="472"/>
      <c r="K39" s="472"/>
    </row>
    <row r="40" spans="1:11" x14ac:dyDescent="0.25">
      <c r="A40" s="28">
        <v>33</v>
      </c>
      <c r="B40" s="475" t="s">
        <v>79</v>
      </c>
      <c r="C40" s="32" t="s">
        <v>80</v>
      </c>
      <c r="D40" s="471">
        <f t="shared" si="1"/>
        <v>1725</v>
      </c>
      <c r="E40" s="471">
        <v>160</v>
      </c>
      <c r="F40" s="471">
        <v>1547</v>
      </c>
      <c r="G40" s="471">
        <v>18</v>
      </c>
      <c r="I40" s="704"/>
      <c r="J40" s="472"/>
      <c r="K40" s="472"/>
    </row>
    <row r="41" spans="1:11" x14ac:dyDescent="0.25">
      <c r="A41" s="28">
        <v>34</v>
      </c>
      <c r="B41" s="473" t="s">
        <v>81</v>
      </c>
      <c r="C41" s="470" t="s">
        <v>82</v>
      </c>
      <c r="D41" s="471">
        <f t="shared" si="1"/>
        <v>2</v>
      </c>
      <c r="E41" s="471">
        <v>0</v>
      </c>
      <c r="F41" s="471">
        <v>0</v>
      </c>
      <c r="G41" s="471">
        <v>2</v>
      </c>
      <c r="I41" s="704"/>
      <c r="J41" s="472"/>
      <c r="K41" s="472"/>
    </row>
    <row r="42" spans="1:11" x14ac:dyDescent="0.25">
      <c r="A42" s="28">
        <v>35</v>
      </c>
      <c r="B42" s="31" t="s">
        <v>83</v>
      </c>
      <c r="C42" s="474" t="s">
        <v>84</v>
      </c>
      <c r="D42" s="471">
        <f t="shared" si="1"/>
        <v>1056</v>
      </c>
      <c r="E42" s="471">
        <v>100</v>
      </c>
      <c r="F42" s="471">
        <v>944</v>
      </c>
      <c r="G42" s="471">
        <v>12</v>
      </c>
      <c r="I42" s="704"/>
      <c r="J42" s="472"/>
      <c r="K42" s="472"/>
    </row>
    <row r="43" spans="1:11" x14ac:dyDescent="0.25">
      <c r="A43" s="28">
        <v>36</v>
      </c>
      <c r="B43" s="473" t="s">
        <v>85</v>
      </c>
      <c r="C43" s="470" t="s">
        <v>86</v>
      </c>
      <c r="D43" s="471">
        <f t="shared" si="1"/>
        <v>1010</v>
      </c>
      <c r="E43" s="471">
        <v>320</v>
      </c>
      <c r="F43" s="471">
        <v>684</v>
      </c>
      <c r="G43" s="471">
        <v>6</v>
      </c>
      <c r="I43" s="704"/>
      <c r="J43" s="472"/>
      <c r="K43" s="472"/>
    </row>
    <row r="44" spans="1:11" x14ac:dyDescent="0.25">
      <c r="A44" s="28">
        <v>37</v>
      </c>
      <c r="B44" s="469" t="s">
        <v>87</v>
      </c>
      <c r="C44" s="470" t="s">
        <v>88</v>
      </c>
      <c r="D44" s="471">
        <f t="shared" si="1"/>
        <v>1215</v>
      </c>
      <c r="E44" s="471">
        <v>87</v>
      </c>
      <c r="F44" s="471">
        <v>1114</v>
      </c>
      <c r="G44" s="471">
        <v>14</v>
      </c>
      <c r="I44" s="704"/>
      <c r="J44" s="472"/>
      <c r="K44" s="472"/>
    </row>
    <row r="45" spans="1:11" x14ac:dyDescent="0.25">
      <c r="A45" s="28">
        <v>38</v>
      </c>
      <c r="B45" s="476" t="s">
        <v>89</v>
      </c>
      <c r="C45" s="477" t="s">
        <v>90</v>
      </c>
      <c r="D45" s="471">
        <f t="shared" si="1"/>
        <v>446</v>
      </c>
      <c r="E45" s="471">
        <v>80</v>
      </c>
      <c r="F45" s="471">
        <v>362</v>
      </c>
      <c r="G45" s="471">
        <v>4</v>
      </c>
      <c r="I45" s="704"/>
      <c r="J45" s="472"/>
      <c r="K45" s="472"/>
    </row>
    <row r="46" spans="1:11" x14ac:dyDescent="0.25">
      <c r="A46" s="28">
        <v>39</v>
      </c>
      <c r="B46" s="469" t="s">
        <v>91</v>
      </c>
      <c r="C46" s="470" t="s">
        <v>92</v>
      </c>
      <c r="D46" s="471">
        <f t="shared" si="1"/>
        <v>1</v>
      </c>
      <c r="E46" s="471">
        <v>0</v>
      </c>
      <c r="F46" s="471">
        <v>0</v>
      </c>
      <c r="G46" s="471">
        <v>1</v>
      </c>
      <c r="I46" s="704"/>
      <c r="J46" s="472"/>
      <c r="K46" s="472"/>
    </row>
    <row r="47" spans="1:11" x14ac:dyDescent="0.25">
      <c r="A47" s="28">
        <v>40</v>
      </c>
      <c r="B47" s="475" t="s">
        <v>93</v>
      </c>
      <c r="C47" s="32" t="s">
        <v>94</v>
      </c>
      <c r="D47" s="471">
        <f t="shared" si="1"/>
        <v>2</v>
      </c>
      <c r="E47" s="471">
        <v>0</v>
      </c>
      <c r="F47" s="471">
        <v>0</v>
      </c>
      <c r="G47" s="471">
        <v>2</v>
      </c>
      <c r="I47" s="704"/>
      <c r="J47" s="472"/>
      <c r="K47" s="472"/>
    </row>
    <row r="48" spans="1:11" x14ac:dyDescent="0.25">
      <c r="A48" s="28">
        <v>41</v>
      </c>
      <c r="B48" s="31" t="s">
        <v>95</v>
      </c>
      <c r="C48" s="474" t="s">
        <v>96</v>
      </c>
      <c r="D48" s="471">
        <f t="shared" si="1"/>
        <v>1</v>
      </c>
      <c r="E48" s="471">
        <v>0</v>
      </c>
      <c r="F48" s="471">
        <v>0</v>
      </c>
      <c r="G48" s="471">
        <v>1</v>
      </c>
      <c r="I48" s="704"/>
      <c r="J48" s="472"/>
      <c r="K48" s="472"/>
    </row>
    <row r="49" spans="1:11" x14ac:dyDescent="0.25">
      <c r="A49" s="28">
        <v>42</v>
      </c>
      <c r="B49" s="473" t="s">
        <v>97</v>
      </c>
      <c r="C49" s="470" t="s">
        <v>98</v>
      </c>
      <c r="D49" s="471">
        <f t="shared" si="1"/>
        <v>0</v>
      </c>
      <c r="E49" s="471">
        <v>0</v>
      </c>
      <c r="F49" s="471">
        <v>0</v>
      </c>
      <c r="G49" s="471">
        <v>0</v>
      </c>
      <c r="I49" s="704"/>
      <c r="J49" s="472"/>
      <c r="K49" s="472"/>
    </row>
    <row r="50" spans="1:11" x14ac:dyDescent="0.25">
      <c r="A50" s="28">
        <v>43</v>
      </c>
      <c r="B50" s="31" t="s">
        <v>99</v>
      </c>
      <c r="C50" s="474" t="s">
        <v>100</v>
      </c>
      <c r="D50" s="471">
        <f t="shared" si="1"/>
        <v>357</v>
      </c>
      <c r="E50" s="471">
        <v>140</v>
      </c>
      <c r="F50" s="471">
        <v>201</v>
      </c>
      <c r="G50" s="471">
        <v>16</v>
      </c>
      <c r="I50" s="704"/>
      <c r="J50" s="472"/>
      <c r="K50" s="472"/>
    </row>
    <row r="51" spans="1:11" x14ac:dyDescent="0.25">
      <c r="A51" s="28">
        <v>44</v>
      </c>
      <c r="B51" s="469" t="s">
        <v>101</v>
      </c>
      <c r="C51" s="470" t="s">
        <v>102</v>
      </c>
      <c r="D51" s="471">
        <f t="shared" si="1"/>
        <v>4</v>
      </c>
      <c r="E51" s="471">
        <v>0</v>
      </c>
      <c r="F51" s="471">
        <v>0</v>
      </c>
      <c r="G51" s="471">
        <v>4</v>
      </c>
      <c r="I51" s="704"/>
      <c r="J51" s="472"/>
      <c r="K51" s="472"/>
    </row>
    <row r="52" spans="1:11" x14ac:dyDescent="0.25">
      <c r="A52" s="28">
        <v>45</v>
      </c>
      <c r="B52" s="469" t="s">
        <v>103</v>
      </c>
      <c r="C52" s="470" t="s">
        <v>104</v>
      </c>
      <c r="D52" s="471">
        <f t="shared" si="1"/>
        <v>1699</v>
      </c>
      <c r="E52" s="471">
        <v>820</v>
      </c>
      <c r="F52" s="471">
        <v>866</v>
      </c>
      <c r="G52" s="471">
        <v>13</v>
      </c>
      <c r="I52" s="704"/>
      <c r="J52" s="472"/>
      <c r="K52" s="472"/>
    </row>
    <row r="53" spans="1:11" x14ac:dyDescent="0.25">
      <c r="A53" s="28">
        <v>46</v>
      </c>
      <c r="B53" s="31" t="s">
        <v>105</v>
      </c>
      <c r="C53" s="474" t="s">
        <v>106</v>
      </c>
      <c r="D53" s="471">
        <f t="shared" si="1"/>
        <v>1</v>
      </c>
      <c r="E53" s="471">
        <v>0</v>
      </c>
      <c r="F53" s="471">
        <v>0</v>
      </c>
      <c r="G53" s="471">
        <v>1</v>
      </c>
      <c r="I53" s="704"/>
      <c r="J53" s="472"/>
      <c r="K53" s="472"/>
    </row>
    <row r="54" spans="1:11" x14ac:dyDescent="0.25">
      <c r="A54" s="28">
        <v>47</v>
      </c>
      <c r="B54" s="31" t="s">
        <v>107</v>
      </c>
      <c r="C54" s="474" t="s">
        <v>108</v>
      </c>
      <c r="D54" s="471">
        <f t="shared" si="1"/>
        <v>3</v>
      </c>
      <c r="E54" s="471">
        <v>0</v>
      </c>
      <c r="F54" s="471">
        <v>0</v>
      </c>
      <c r="G54" s="471">
        <v>3</v>
      </c>
      <c r="I54" s="704"/>
      <c r="J54" s="472"/>
      <c r="K54" s="472"/>
    </row>
    <row r="55" spans="1:11" x14ac:dyDescent="0.25">
      <c r="A55" s="28">
        <v>48</v>
      </c>
      <c r="B55" s="473" t="s">
        <v>109</v>
      </c>
      <c r="C55" s="470" t="s">
        <v>110</v>
      </c>
      <c r="D55" s="471">
        <f t="shared" si="1"/>
        <v>6</v>
      </c>
      <c r="E55" s="471">
        <v>0</v>
      </c>
      <c r="F55" s="471">
        <v>0</v>
      </c>
      <c r="G55" s="471">
        <v>6</v>
      </c>
      <c r="I55" s="704"/>
      <c r="J55" s="472"/>
      <c r="K55" s="472"/>
    </row>
    <row r="56" spans="1:11" x14ac:dyDescent="0.25">
      <c r="A56" s="28">
        <v>49</v>
      </c>
      <c r="B56" s="31" t="s">
        <v>111</v>
      </c>
      <c r="C56" s="474" t="s">
        <v>112</v>
      </c>
      <c r="D56" s="471">
        <f t="shared" si="1"/>
        <v>1</v>
      </c>
      <c r="E56" s="471">
        <v>0</v>
      </c>
      <c r="F56" s="471">
        <v>0</v>
      </c>
      <c r="G56" s="471">
        <v>1</v>
      </c>
      <c r="I56" s="704"/>
      <c r="J56" s="472"/>
      <c r="K56" s="472"/>
    </row>
    <row r="57" spans="1:11" x14ac:dyDescent="0.25">
      <c r="A57" s="28">
        <v>50</v>
      </c>
      <c r="B57" s="473" t="s">
        <v>113</v>
      </c>
      <c r="C57" s="470" t="s">
        <v>114</v>
      </c>
      <c r="D57" s="471">
        <f t="shared" si="1"/>
        <v>707</v>
      </c>
      <c r="E57" s="471">
        <v>130</v>
      </c>
      <c r="F57" s="471">
        <v>572</v>
      </c>
      <c r="G57" s="471">
        <v>5</v>
      </c>
      <c r="I57" s="704"/>
      <c r="J57" s="472"/>
      <c r="K57" s="472"/>
    </row>
    <row r="58" spans="1:11" x14ac:dyDescent="0.25">
      <c r="A58" s="28">
        <v>51</v>
      </c>
      <c r="B58" s="31" t="s">
        <v>115</v>
      </c>
      <c r="C58" s="474" t="s">
        <v>116</v>
      </c>
      <c r="D58" s="471">
        <f t="shared" si="1"/>
        <v>3</v>
      </c>
      <c r="E58" s="471">
        <v>0</v>
      </c>
      <c r="F58" s="471">
        <v>0</v>
      </c>
      <c r="G58" s="471">
        <v>3</v>
      </c>
      <c r="I58" s="704"/>
      <c r="J58" s="472"/>
      <c r="K58" s="472"/>
    </row>
    <row r="59" spans="1:11" x14ac:dyDescent="0.25">
      <c r="A59" s="28">
        <v>52</v>
      </c>
      <c r="B59" s="31" t="s">
        <v>117</v>
      </c>
      <c r="C59" s="474" t="s">
        <v>118</v>
      </c>
      <c r="D59" s="471">
        <f t="shared" si="1"/>
        <v>1849</v>
      </c>
      <c r="E59" s="471">
        <v>430</v>
      </c>
      <c r="F59" s="471">
        <v>1397</v>
      </c>
      <c r="G59" s="471">
        <v>22</v>
      </c>
      <c r="I59" s="704"/>
      <c r="J59" s="472"/>
      <c r="K59" s="472"/>
    </row>
    <row r="60" spans="1:11" x14ac:dyDescent="0.25">
      <c r="A60" s="28">
        <v>53</v>
      </c>
      <c r="B60" s="31" t="s">
        <v>119</v>
      </c>
      <c r="C60" s="474" t="s">
        <v>120</v>
      </c>
      <c r="D60" s="471">
        <f t="shared" si="1"/>
        <v>2</v>
      </c>
      <c r="E60" s="471">
        <v>0</v>
      </c>
      <c r="F60" s="471">
        <v>0</v>
      </c>
      <c r="G60" s="471">
        <v>2</v>
      </c>
      <c r="I60" s="704"/>
      <c r="J60" s="472"/>
      <c r="K60" s="472"/>
    </row>
    <row r="61" spans="1:11" x14ac:dyDescent="0.25">
      <c r="A61" s="28">
        <v>54</v>
      </c>
      <c r="B61" s="31" t="s">
        <v>121</v>
      </c>
      <c r="C61" s="474" t="s">
        <v>122</v>
      </c>
      <c r="D61" s="471">
        <f t="shared" si="1"/>
        <v>0</v>
      </c>
      <c r="E61" s="471">
        <v>0</v>
      </c>
      <c r="F61" s="471">
        <v>0</v>
      </c>
      <c r="G61" s="471">
        <v>0</v>
      </c>
      <c r="I61" s="704"/>
      <c r="J61" s="472"/>
      <c r="K61" s="472"/>
    </row>
    <row r="62" spans="1:11" x14ac:dyDescent="0.25">
      <c r="A62" s="28">
        <v>55</v>
      </c>
      <c r="B62" s="31" t="s">
        <v>123</v>
      </c>
      <c r="C62" s="474" t="s">
        <v>124</v>
      </c>
      <c r="D62" s="471">
        <f t="shared" si="1"/>
        <v>0</v>
      </c>
      <c r="E62" s="471">
        <v>0</v>
      </c>
      <c r="F62" s="471">
        <v>0</v>
      </c>
      <c r="G62" s="471">
        <v>0</v>
      </c>
      <c r="I62" s="704"/>
      <c r="J62" s="472"/>
      <c r="K62" s="472"/>
    </row>
    <row r="63" spans="1:11" x14ac:dyDescent="0.25">
      <c r="A63" s="28">
        <v>56</v>
      </c>
      <c r="B63" s="478" t="s">
        <v>125</v>
      </c>
      <c r="C63" s="32" t="s">
        <v>126</v>
      </c>
      <c r="D63" s="471">
        <f t="shared" si="1"/>
        <v>0</v>
      </c>
      <c r="E63" s="471">
        <v>0</v>
      </c>
      <c r="F63" s="471">
        <v>0</v>
      </c>
      <c r="G63" s="471">
        <v>0</v>
      </c>
      <c r="I63" s="704"/>
      <c r="J63" s="472"/>
      <c r="K63" s="472"/>
    </row>
    <row r="64" spans="1:11" x14ac:dyDescent="0.25">
      <c r="A64" s="28">
        <v>57</v>
      </c>
      <c r="B64" s="31" t="s">
        <v>127</v>
      </c>
      <c r="C64" s="474" t="s">
        <v>128</v>
      </c>
      <c r="D64" s="471">
        <f t="shared" si="1"/>
        <v>35</v>
      </c>
      <c r="E64" s="471">
        <v>0</v>
      </c>
      <c r="F64" s="471">
        <v>0</v>
      </c>
      <c r="G64" s="471">
        <v>35</v>
      </c>
      <c r="I64" s="704"/>
      <c r="J64" s="472"/>
      <c r="K64" s="472"/>
    </row>
    <row r="65" spans="1:11" x14ac:dyDescent="0.25">
      <c r="A65" s="28">
        <v>58</v>
      </c>
      <c r="B65" s="473" t="s">
        <v>129</v>
      </c>
      <c r="C65" s="474" t="s">
        <v>783</v>
      </c>
      <c r="D65" s="471">
        <f t="shared" si="1"/>
        <v>37</v>
      </c>
      <c r="E65" s="471">
        <v>0</v>
      </c>
      <c r="F65" s="471">
        <v>0</v>
      </c>
      <c r="G65" s="471">
        <v>37</v>
      </c>
      <c r="I65" s="704"/>
      <c r="J65" s="472"/>
      <c r="K65" s="472"/>
    </row>
    <row r="66" spans="1:11" x14ac:dyDescent="0.25">
      <c r="A66" s="28">
        <v>59</v>
      </c>
      <c r="B66" s="475" t="s">
        <v>131</v>
      </c>
      <c r="C66" s="32" t="s">
        <v>132</v>
      </c>
      <c r="D66" s="471">
        <f t="shared" si="1"/>
        <v>36</v>
      </c>
      <c r="E66" s="471">
        <v>0</v>
      </c>
      <c r="F66" s="471">
        <v>0</v>
      </c>
      <c r="G66" s="471">
        <v>36</v>
      </c>
      <c r="I66" s="704"/>
      <c r="J66" s="472"/>
      <c r="K66" s="472"/>
    </row>
    <row r="67" spans="1:11" x14ac:dyDescent="0.25">
      <c r="A67" s="28">
        <v>60</v>
      </c>
      <c r="B67" s="473" t="s">
        <v>133</v>
      </c>
      <c r="C67" s="474" t="s">
        <v>784</v>
      </c>
      <c r="D67" s="471">
        <f t="shared" si="1"/>
        <v>55</v>
      </c>
      <c r="E67" s="471">
        <v>0</v>
      </c>
      <c r="F67" s="471">
        <v>0</v>
      </c>
      <c r="G67" s="471">
        <v>55</v>
      </c>
      <c r="I67" s="704"/>
      <c r="J67" s="472"/>
      <c r="K67" s="472"/>
    </row>
    <row r="68" spans="1:11" ht="30" x14ac:dyDescent="0.25">
      <c r="A68" s="28">
        <v>61</v>
      </c>
      <c r="B68" s="31" t="s">
        <v>135</v>
      </c>
      <c r="C68" s="474" t="s">
        <v>136</v>
      </c>
      <c r="D68" s="471">
        <f t="shared" si="1"/>
        <v>17</v>
      </c>
      <c r="E68" s="471">
        <v>0</v>
      </c>
      <c r="F68" s="471">
        <v>0</v>
      </c>
      <c r="G68" s="471">
        <v>17</v>
      </c>
      <c r="I68" s="704"/>
      <c r="J68" s="472"/>
      <c r="K68" s="472"/>
    </row>
    <row r="69" spans="1:11" ht="30" x14ac:dyDescent="0.25">
      <c r="A69" s="28">
        <v>62</v>
      </c>
      <c r="B69" s="469" t="s">
        <v>137</v>
      </c>
      <c r="C69" s="474" t="s">
        <v>785</v>
      </c>
      <c r="D69" s="471">
        <f t="shared" si="1"/>
        <v>0</v>
      </c>
      <c r="E69" s="471">
        <v>0</v>
      </c>
      <c r="F69" s="471">
        <v>0</v>
      </c>
      <c r="G69" s="471">
        <v>0</v>
      </c>
      <c r="I69" s="704"/>
      <c r="J69" s="472"/>
      <c r="K69" s="472"/>
    </row>
    <row r="70" spans="1:11" ht="30" x14ac:dyDescent="0.25">
      <c r="A70" s="28">
        <v>63</v>
      </c>
      <c r="B70" s="469" t="s">
        <v>139</v>
      </c>
      <c r="C70" s="474" t="s">
        <v>786</v>
      </c>
      <c r="D70" s="471">
        <f t="shared" si="1"/>
        <v>0</v>
      </c>
      <c r="E70" s="471">
        <v>0</v>
      </c>
      <c r="F70" s="471">
        <v>0</v>
      </c>
      <c r="G70" s="471">
        <v>0</v>
      </c>
      <c r="I70" s="704"/>
      <c r="J70" s="472"/>
      <c r="K70" s="472"/>
    </row>
    <row r="71" spans="1:11" x14ac:dyDescent="0.25">
      <c r="A71" s="28">
        <v>64</v>
      </c>
      <c r="B71" s="473" t="s">
        <v>141</v>
      </c>
      <c r="C71" s="474" t="s">
        <v>787</v>
      </c>
      <c r="D71" s="471">
        <f t="shared" si="1"/>
        <v>1988</v>
      </c>
      <c r="E71" s="471">
        <v>180</v>
      </c>
      <c r="F71" s="471">
        <v>1808</v>
      </c>
      <c r="G71" s="471">
        <v>0</v>
      </c>
      <c r="I71" s="704"/>
      <c r="J71" s="472"/>
      <c r="K71" s="472"/>
    </row>
    <row r="72" spans="1:11" x14ac:dyDescent="0.25">
      <c r="A72" s="28">
        <v>65</v>
      </c>
      <c r="B72" s="473" t="s">
        <v>143</v>
      </c>
      <c r="C72" s="470" t="s">
        <v>144</v>
      </c>
      <c r="D72" s="471">
        <f t="shared" si="1"/>
        <v>1105</v>
      </c>
      <c r="E72" s="471">
        <v>100</v>
      </c>
      <c r="F72" s="471">
        <v>1005</v>
      </c>
      <c r="G72" s="471">
        <v>0</v>
      </c>
      <c r="I72" s="704"/>
      <c r="J72" s="472"/>
      <c r="K72" s="472"/>
    </row>
    <row r="73" spans="1:11" x14ac:dyDescent="0.25">
      <c r="A73" s="28">
        <v>66</v>
      </c>
      <c r="B73" s="473" t="s">
        <v>145</v>
      </c>
      <c r="C73" s="474" t="s">
        <v>788</v>
      </c>
      <c r="D73" s="471">
        <f t="shared" ref="D73:D136" si="2">SUM(E73:G73)</f>
        <v>1948</v>
      </c>
      <c r="E73" s="471">
        <v>260</v>
      </c>
      <c r="F73" s="471">
        <v>1688</v>
      </c>
      <c r="G73" s="471">
        <v>0</v>
      </c>
      <c r="I73" s="704"/>
      <c r="J73" s="472"/>
      <c r="K73" s="472"/>
    </row>
    <row r="74" spans="1:11" ht="30" x14ac:dyDescent="0.25">
      <c r="A74" s="28">
        <v>67</v>
      </c>
      <c r="B74" s="473" t="s">
        <v>147</v>
      </c>
      <c r="C74" s="474" t="s">
        <v>789</v>
      </c>
      <c r="D74" s="471">
        <f t="shared" si="2"/>
        <v>0</v>
      </c>
      <c r="E74" s="471">
        <v>0</v>
      </c>
      <c r="F74" s="471">
        <v>0</v>
      </c>
      <c r="G74" s="471">
        <v>0</v>
      </c>
      <c r="I74" s="704"/>
      <c r="J74" s="472"/>
      <c r="K74" s="472"/>
    </row>
    <row r="75" spans="1:11" ht="30" x14ac:dyDescent="0.25">
      <c r="A75" s="28">
        <v>68</v>
      </c>
      <c r="B75" s="469" t="s">
        <v>149</v>
      </c>
      <c r="C75" s="474" t="s">
        <v>790</v>
      </c>
      <c r="D75" s="471">
        <f t="shared" si="2"/>
        <v>0</v>
      </c>
      <c r="E75" s="471">
        <v>0</v>
      </c>
      <c r="F75" s="471">
        <v>0</v>
      </c>
      <c r="G75" s="471">
        <v>0</v>
      </c>
      <c r="I75" s="704"/>
      <c r="J75" s="472"/>
      <c r="K75" s="472"/>
    </row>
    <row r="76" spans="1:11" ht="30" x14ac:dyDescent="0.25">
      <c r="A76" s="28">
        <v>69</v>
      </c>
      <c r="B76" s="473" t="s">
        <v>151</v>
      </c>
      <c r="C76" s="474" t="s">
        <v>791</v>
      </c>
      <c r="D76" s="471">
        <f t="shared" si="2"/>
        <v>0</v>
      </c>
      <c r="E76" s="471">
        <v>0</v>
      </c>
      <c r="F76" s="471">
        <v>0</v>
      </c>
      <c r="G76" s="471">
        <v>0</v>
      </c>
      <c r="I76" s="704"/>
      <c r="J76" s="472"/>
      <c r="K76" s="472"/>
    </row>
    <row r="77" spans="1:11" ht="30" x14ac:dyDescent="0.25">
      <c r="A77" s="28">
        <v>70</v>
      </c>
      <c r="B77" s="473" t="s">
        <v>153</v>
      </c>
      <c r="C77" s="474" t="s">
        <v>792</v>
      </c>
      <c r="D77" s="471">
        <f t="shared" si="2"/>
        <v>0</v>
      </c>
      <c r="E77" s="471">
        <v>0</v>
      </c>
      <c r="F77" s="471">
        <v>0</v>
      </c>
      <c r="G77" s="471">
        <v>0</v>
      </c>
      <c r="I77" s="704"/>
      <c r="J77" s="472"/>
      <c r="K77" s="472"/>
    </row>
    <row r="78" spans="1:11" ht="30" x14ac:dyDescent="0.25">
      <c r="A78" s="28">
        <v>71</v>
      </c>
      <c r="B78" s="469" t="s">
        <v>155</v>
      </c>
      <c r="C78" s="474" t="s">
        <v>793</v>
      </c>
      <c r="D78" s="471">
        <f t="shared" si="2"/>
        <v>0</v>
      </c>
      <c r="E78" s="471">
        <v>0</v>
      </c>
      <c r="F78" s="471">
        <v>0</v>
      </c>
      <c r="G78" s="471">
        <v>0</v>
      </c>
      <c r="I78" s="704"/>
      <c r="J78" s="472"/>
      <c r="K78" s="472"/>
    </row>
    <row r="79" spans="1:11" ht="30" x14ac:dyDescent="0.25">
      <c r="A79" s="28">
        <v>72</v>
      </c>
      <c r="B79" s="469" t="s">
        <v>157</v>
      </c>
      <c r="C79" s="474" t="s">
        <v>794</v>
      </c>
      <c r="D79" s="471">
        <f t="shared" si="2"/>
        <v>0</v>
      </c>
      <c r="E79" s="471">
        <v>0</v>
      </c>
      <c r="F79" s="471">
        <v>0</v>
      </c>
      <c r="G79" s="471">
        <v>0</v>
      </c>
      <c r="I79" s="704"/>
      <c r="J79" s="472"/>
      <c r="K79" s="472"/>
    </row>
    <row r="80" spans="1:11" ht="30" x14ac:dyDescent="0.25">
      <c r="A80" s="28">
        <v>73</v>
      </c>
      <c r="B80" s="469" t="s">
        <v>159</v>
      </c>
      <c r="C80" s="474" t="s">
        <v>795</v>
      </c>
      <c r="D80" s="471">
        <f t="shared" si="2"/>
        <v>0</v>
      </c>
      <c r="E80" s="471">
        <v>0</v>
      </c>
      <c r="F80" s="471">
        <v>0</v>
      </c>
      <c r="G80" s="471">
        <v>0</v>
      </c>
      <c r="I80" s="704"/>
      <c r="J80" s="472"/>
      <c r="K80" s="472"/>
    </row>
    <row r="81" spans="1:11" x14ac:dyDescent="0.25">
      <c r="A81" s="28">
        <v>74</v>
      </c>
      <c r="B81" s="31" t="s">
        <v>161</v>
      </c>
      <c r="C81" s="474" t="s">
        <v>162</v>
      </c>
      <c r="D81" s="471">
        <f t="shared" si="2"/>
        <v>1440</v>
      </c>
      <c r="E81" s="471">
        <v>170</v>
      </c>
      <c r="F81" s="471">
        <v>1255</v>
      </c>
      <c r="G81" s="471">
        <v>15</v>
      </c>
      <c r="I81" s="704"/>
      <c r="J81" s="472"/>
      <c r="K81" s="472"/>
    </row>
    <row r="82" spans="1:11" x14ac:dyDescent="0.25">
      <c r="A82" s="28">
        <v>75</v>
      </c>
      <c r="B82" s="469" t="s">
        <v>163</v>
      </c>
      <c r="C82" s="474" t="s">
        <v>796</v>
      </c>
      <c r="D82" s="471">
        <f t="shared" si="2"/>
        <v>1987</v>
      </c>
      <c r="E82" s="471">
        <v>230</v>
      </c>
      <c r="F82" s="471">
        <v>1757</v>
      </c>
      <c r="G82" s="471">
        <v>0</v>
      </c>
      <c r="I82" s="704"/>
      <c r="J82" s="472"/>
      <c r="K82" s="472"/>
    </row>
    <row r="83" spans="1:11" x14ac:dyDescent="0.25">
      <c r="A83" s="28">
        <v>76</v>
      </c>
      <c r="B83" s="31" t="s">
        <v>165</v>
      </c>
      <c r="C83" s="474" t="s">
        <v>166</v>
      </c>
      <c r="D83" s="471">
        <f t="shared" si="2"/>
        <v>1747</v>
      </c>
      <c r="E83" s="471">
        <v>180</v>
      </c>
      <c r="F83" s="471">
        <v>1567</v>
      </c>
      <c r="G83" s="471">
        <v>0</v>
      </c>
      <c r="I83" s="704"/>
      <c r="J83" s="472"/>
      <c r="K83" s="472"/>
    </row>
    <row r="84" spans="1:11" x14ac:dyDescent="0.25">
      <c r="A84" s="28">
        <v>77</v>
      </c>
      <c r="B84" s="475" t="s">
        <v>167</v>
      </c>
      <c r="C84" s="32" t="s">
        <v>168</v>
      </c>
      <c r="D84" s="471">
        <f t="shared" si="2"/>
        <v>0</v>
      </c>
      <c r="E84" s="471">
        <v>0</v>
      </c>
      <c r="F84" s="471">
        <v>0</v>
      </c>
      <c r="G84" s="471">
        <v>0</v>
      </c>
      <c r="I84" s="704"/>
      <c r="J84" s="472"/>
      <c r="K84" s="472"/>
    </row>
    <row r="85" spans="1:11" x14ac:dyDescent="0.25">
      <c r="A85" s="28">
        <v>78</v>
      </c>
      <c r="B85" s="469" t="s">
        <v>169</v>
      </c>
      <c r="C85" s="474" t="s">
        <v>170</v>
      </c>
      <c r="D85" s="471">
        <f t="shared" si="2"/>
        <v>2430</v>
      </c>
      <c r="E85" s="471">
        <v>380</v>
      </c>
      <c r="F85" s="471">
        <v>2050</v>
      </c>
      <c r="G85" s="471">
        <v>0</v>
      </c>
      <c r="I85" s="704"/>
      <c r="J85" s="472"/>
      <c r="K85" s="472"/>
    </row>
    <row r="86" spans="1:11" x14ac:dyDescent="0.25">
      <c r="A86" s="28">
        <v>79</v>
      </c>
      <c r="B86" s="475" t="s">
        <v>171</v>
      </c>
      <c r="C86" s="32" t="s">
        <v>172</v>
      </c>
      <c r="D86" s="471">
        <f t="shared" si="2"/>
        <v>17</v>
      </c>
      <c r="E86" s="471">
        <v>0</v>
      </c>
      <c r="F86" s="471">
        <v>0</v>
      </c>
      <c r="G86" s="471">
        <v>17</v>
      </c>
      <c r="I86" s="704"/>
      <c r="J86" s="472"/>
      <c r="K86" s="472"/>
    </row>
    <row r="87" spans="1:11" x14ac:dyDescent="0.25">
      <c r="A87" s="28">
        <v>80</v>
      </c>
      <c r="B87" s="469" t="s">
        <v>173</v>
      </c>
      <c r="C87" s="474" t="s">
        <v>797</v>
      </c>
      <c r="D87" s="471">
        <f t="shared" si="2"/>
        <v>1888</v>
      </c>
      <c r="E87" s="471">
        <v>230</v>
      </c>
      <c r="F87" s="471">
        <v>1658</v>
      </c>
      <c r="G87" s="471">
        <v>0</v>
      </c>
      <c r="I87" s="704"/>
      <c r="J87" s="472"/>
      <c r="K87" s="472"/>
    </row>
    <row r="88" spans="1:11" x14ac:dyDescent="0.25">
      <c r="A88" s="28">
        <v>81</v>
      </c>
      <c r="B88" s="475" t="s">
        <v>175</v>
      </c>
      <c r="C88" s="32" t="s">
        <v>749</v>
      </c>
      <c r="D88" s="471">
        <f t="shared" si="2"/>
        <v>0</v>
      </c>
      <c r="E88" s="471">
        <v>0</v>
      </c>
      <c r="F88" s="471">
        <v>0</v>
      </c>
      <c r="G88" s="471">
        <v>0</v>
      </c>
      <c r="I88" s="704"/>
      <c r="J88" s="472"/>
      <c r="K88" s="472"/>
    </row>
    <row r="89" spans="1:11" x14ac:dyDescent="0.25">
      <c r="A89" s="28">
        <v>82</v>
      </c>
      <c r="B89" s="473" t="s">
        <v>177</v>
      </c>
      <c r="C89" s="474" t="s">
        <v>798</v>
      </c>
      <c r="D89" s="471">
        <f t="shared" si="2"/>
        <v>0</v>
      </c>
      <c r="E89" s="471">
        <v>0</v>
      </c>
      <c r="F89" s="471">
        <v>0</v>
      </c>
      <c r="G89" s="471">
        <v>0</v>
      </c>
      <c r="I89" s="704"/>
      <c r="J89" s="472"/>
      <c r="K89" s="472"/>
    </row>
    <row r="90" spans="1:11" ht="48.75" customHeight="1" x14ac:dyDescent="0.25">
      <c r="A90" s="1050">
        <v>83</v>
      </c>
      <c r="B90" s="1053" t="s">
        <v>178</v>
      </c>
      <c r="C90" s="32" t="s">
        <v>747</v>
      </c>
      <c r="D90" s="471">
        <f t="shared" si="2"/>
        <v>0</v>
      </c>
      <c r="E90" s="471">
        <v>0</v>
      </c>
      <c r="F90" s="471">
        <v>0</v>
      </c>
      <c r="G90" s="471">
        <v>0</v>
      </c>
      <c r="I90" s="704"/>
      <c r="J90" s="472"/>
      <c r="K90" s="472"/>
    </row>
    <row r="91" spans="1:11" ht="38.25" customHeight="1" x14ac:dyDescent="0.25">
      <c r="A91" s="1051"/>
      <c r="B91" s="1054"/>
      <c r="C91" s="474" t="s">
        <v>180</v>
      </c>
      <c r="D91" s="471">
        <f t="shared" si="2"/>
        <v>0</v>
      </c>
      <c r="E91" s="471">
        <v>0</v>
      </c>
      <c r="F91" s="471">
        <v>0</v>
      </c>
      <c r="G91" s="471">
        <v>0</v>
      </c>
      <c r="I91" s="704"/>
      <c r="J91" s="472"/>
      <c r="K91" s="472"/>
    </row>
    <row r="92" spans="1:11" ht="45" x14ac:dyDescent="0.25">
      <c r="A92" s="1052"/>
      <c r="B92" s="1055"/>
      <c r="C92" s="479" t="s">
        <v>748</v>
      </c>
      <c r="D92" s="471">
        <f t="shared" si="2"/>
        <v>0</v>
      </c>
      <c r="E92" s="471">
        <v>0</v>
      </c>
      <c r="F92" s="471">
        <v>0</v>
      </c>
      <c r="G92" s="471">
        <v>0</v>
      </c>
      <c r="I92" s="704"/>
      <c r="J92" s="472"/>
      <c r="K92" s="472"/>
    </row>
    <row r="93" spans="1:11" ht="30" x14ac:dyDescent="0.25">
      <c r="A93" s="28">
        <v>84</v>
      </c>
      <c r="B93" s="473" t="s">
        <v>181</v>
      </c>
      <c r="C93" s="470" t="s">
        <v>182</v>
      </c>
      <c r="D93" s="471">
        <f t="shared" si="2"/>
        <v>0</v>
      </c>
      <c r="E93" s="471">
        <v>0</v>
      </c>
      <c r="F93" s="471">
        <v>0</v>
      </c>
      <c r="G93" s="471">
        <v>0</v>
      </c>
      <c r="I93" s="704"/>
      <c r="J93" s="472"/>
      <c r="K93" s="472"/>
    </row>
    <row r="94" spans="1:11" x14ac:dyDescent="0.25">
      <c r="A94" s="28">
        <v>85</v>
      </c>
      <c r="B94" s="473" t="s">
        <v>183</v>
      </c>
      <c r="C94" s="32" t="s">
        <v>184</v>
      </c>
      <c r="D94" s="471">
        <f t="shared" si="2"/>
        <v>0</v>
      </c>
      <c r="E94" s="471">
        <v>0</v>
      </c>
      <c r="F94" s="471">
        <v>0</v>
      </c>
      <c r="G94" s="471">
        <v>0</v>
      </c>
      <c r="I94" s="704"/>
      <c r="J94" s="472"/>
      <c r="K94" s="472"/>
    </row>
    <row r="95" spans="1:11" x14ac:dyDescent="0.25">
      <c r="A95" s="28">
        <v>86</v>
      </c>
      <c r="B95" s="31" t="s">
        <v>185</v>
      </c>
      <c r="C95" s="474" t="s">
        <v>186</v>
      </c>
      <c r="D95" s="471">
        <f t="shared" si="2"/>
        <v>0</v>
      </c>
      <c r="E95" s="471">
        <v>0</v>
      </c>
      <c r="F95" s="471">
        <v>0</v>
      </c>
      <c r="G95" s="471">
        <v>0</v>
      </c>
      <c r="I95" s="704"/>
      <c r="J95" s="472"/>
      <c r="K95" s="472"/>
    </row>
    <row r="96" spans="1:11" x14ac:dyDescent="0.25">
      <c r="A96" s="28">
        <v>87</v>
      </c>
      <c r="B96" s="473" t="s">
        <v>187</v>
      </c>
      <c r="C96" s="470" t="s">
        <v>188</v>
      </c>
      <c r="D96" s="471">
        <f t="shared" si="2"/>
        <v>2</v>
      </c>
      <c r="E96" s="471">
        <v>0</v>
      </c>
      <c r="F96" s="471">
        <v>0</v>
      </c>
      <c r="G96" s="471">
        <v>2</v>
      </c>
      <c r="I96" s="704"/>
      <c r="J96" s="472"/>
      <c r="K96" s="472"/>
    </row>
    <row r="97" spans="1:11" x14ac:dyDescent="0.25">
      <c r="A97" s="28">
        <v>88</v>
      </c>
      <c r="B97" s="31" t="s">
        <v>189</v>
      </c>
      <c r="C97" s="474" t="s">
        <v>190</v>
      </c>
      <c r="D97" s="471">
        <f t="shared" si="2"/>
        <v>1</v>
      </c>
      <c r="E97" s="471">
        <v>0</v>
      </c>
      <c r="F97" s="471">
        <v>0</v>
      </c>
      <c r="G97" s="471">
        <v>1</v>
      </c>
      <c r="I97" s="704"/>
      <c r="J97" s="472"/>
      <c r="K97" s="472"/>
    </row>
    <row r="98" spans="1:11" x14ac:dyDescent="0.25">
      <c r="A98" s="28">
        <v>89</v>
      </c>
      <c r="B98" s="31" t="s">
        <v>191</v>
      </c>
      <c r="C98" s="474" t="s">
        <v>192</v>
      </c>
      <c r="D98" s="471">
        <f t="shared" si="2"/>
        <v>1034</v>
      </c>
      <c r="E98" s="471">
        <v>110</v>
      </c>
      <c r="F98" s="471">
        <v>914</v>
      </c>
      <c r="G98" s="471">
        <v>10</v>
      </c>
      <c r="I98" s="704"/>
      <c r="J98" s="472"/>
      <c r="K98" s="472"/>
    </row>
    <row r="99" spans="1:11" x14ac:dyDescent="0.25">
      <c r="A99" s="28">
        <v>90</v>
      </c>
      <c r="B99" s="473" t="s">
        <v>193</v>
      </c>
      <c r="C99" s="32" t="s">
        <v>194</v>
      </c>
      <c r="D99" s="471">
        <f t="shared" si="2"/>
        <v>1</v>
      </c>
      <c r="E99" s="471">
        <v>0</v>
      </c>
      <c r="F99" s="471">
        <v>0</v>
      </c>
      <c r="G99" s="471">
        <v>1</v>
      </c>
      <c r="I99" s="704"/>
      <c r="J99" s="472"/>
      <c r="K99" s="472"/>
    </row>
    <row r="100" spans="1:11" x14ac:dyDescent="0.25">
      <c r="A100" s="28">
        <v>91</v>
      </c>
      <c r="B100" s="473" t="s">
        <v>195</v>
      </c>
      <c r="C100" s="470" t="s">
        <v>196</v>
      </c>
      <c r="D100" s="471">
        <f t="shared" si="2"/>
        <v>1066</v>
      </c>
      <c r="E100" s="471">
        <v>100</v>
      </c>
      <c r="F100" s="471">
        <v>964</v>
      </c>
      <c r="G100" s="471">
        <v>2</v>
      </c>
      <c r="I100" s="704"/>
      <c r="J100" s="472"/>
      <c r="K100" s="472"/>
    </row>
    <row r="101" spans="1:11" x14ac:dyDescent="0.25">
      <c r="A101" s="28">
        <v>92</v>
      </c>
      <c r="B101" s="469" t="s">
        <v>197</v>
      </c>
      <c r="C101" s="470" t="s">
        <v>198</v>
      </c>
      <c r="D101" s="471">
        <f t="shared" si="2"/>
        <v>834</v>
      </c>
      <c r="E101" s="471">
        <v>220</v>
      </c>
      <c r="F101" s="471">
        <v>603</v>
      </c>
      <c r="G101" s="471">
        <v>11</v>
      </c>
      <c r="I101" s="704"/>
      <c r="J101" s="472"/>
      <c r="K101" s="472"/>
    </row>
    <row r="102" spans="1:11" x14ac:dyDescent="0.25">
      <c r="A102" s="28">
        <v>93</v>
      </c>
      <c r="B102" s="469" t="s">
        <v>199</v>
      </c>
      <c r="C102" s="470" t="s">
        <v>200</v>
      </c>
      <c r="D102" s="471">
        <f t="shared" si="2"/>
        <v>1011</v>
      </c>
      <c r="E102" s="471">
        <v>90</v>
      </c>
      <c r="F102" s="471">
        <v>914</v>
      </c>
      <c r="G102" s="471">
        <v>7</v>
      </c>
      <c r="I102" s="704"/>
      <c r="J102" s="472"/>
      <c r="K102" s="472"/>
    </row>
    <row r="103" spans="1:11" x14ac:dyDescent="0.25">
      <c r="A103" s="28">
        <v>94</v>
      </c>
      <c r="B103" s="31" t="s">
        <v>201</v>
      </c>
      <c r="C103" s="474" t="s">
        <v>202</v>
      </c>
      <c r="D103" s="471">
        <f t="shared" si="2"/>
        <v>286</v>
      </c>
      <c r="E103" s="471">
        <v>40</v>
      </c>
      <c r="F103" s="471">
        <v>241</v>
      </c>
      <c r="G103" s="471">
        <v>5</v>
      </c>
      <c r="I103" s="704"/>
      <c r="J103" s="472"/>
      <c r="K103" s="472"/>
    </row>
    <row r="104" spans="1:11" x14ac:dyDescent="0.25">
      <c r="A104" s="28">
        <v>95</v>
      </c>
      <c r="B104" s="475" t="s">
        <v>203</v>
      </c>
      <c r="C104" s="32" t="s">
        <v>204</v>
      </c>
      <c r="D104" s="471">
        <f t="shared" si="2"/>
        <v>3</v>
      </c>
      <c r="E104" s="471">
        <v>0</v>
      </c>
      <c r="F104" s="471">
        <v>0</v>
      </c>
      <c r="G104" s="471">
        <v>3</v>
      </c>
      <c r="I104" s="704"/>
      <c r="J104" s="472"/>
      <c r="K104" s="472"/>
    </row>
    <row r="105" spans="1:11" x14ac:dyDescent="0.25">
      <c r="A105" s="28">
        <v>96</v>
      </c>
      <c r="B105" s="469" t="s">
        <v>205</v>
      </c>
      <c r="C105" s="470" t="s">
        <v>206</v>
      </c>
      <c r="D105" s="471">
        <f t="shared" si="2"/>
        <v>1</v>
      </c>
      <c r="E105" s="471">
        <v>0</v>
      </c>
      <c r="F105" s="471">
        <v>0</v>
      </c>
      <c r="G105" s="471">
        <v>1</v>
      </c>
      <c r="I105" s="704"/>
      <c r="J105" s="472"/>
      <c r="K105" s="472"/>
    </row>
    <row r="106" spans="1:11" x14ac:dyDescent="0.25">
      <c r="A106" s="28">
        <v>97</v>
      </c>
      <c r="B106" s="473" t="s">
        <v>207</v>
      </c>
      <c r="C106" s="470" t="s">
        <v>208</v>
      </c>
      <c r="D106" s="471">
        <f t="shared" si="2"/>
        <v>466</v>
      </c>
      <c r="E106" s="471">
        <v>60</v>
      </c>
      <c r="F106" s="471">
        <v>401</v>
      </c>
      <c r="G106" s="471">
        <v>5</v>
      </c>
      <c r="I106" s="704"/>
      <c r="J106" s="472"/>
      <c r="K106" s="472"/>
    </row>
    <row r="107" spans="1:11" x14ac:dyDescent="0.25">
      <c r="A107" s="28">
        <v>98</v>
      </c>
      <c r="B107" s="31" t="s">
        <v>209</v>
      </c>
      <c r="C107" s="474" t="s">
        <v>210</v>
      </c>
      <c r="D107" s="471">
        <f t="shared" si="2"/>
        <v>4</v>
      </c>
      <c r="E107" s="471">
        <v>0</v>
      </c>
      <c r="F107" s="471">
        <v>0</v>
      </c>
      <c r="G107" s="471">
        <v>4</v>
      </c>
      <c r="I107" s="704"/>
      <c r="J107" s="472"/>
      <c r="K107" s="472"/>
    </row>
    <row r="108" spans="1:11" x14ac:dyDescent="0.25">
      <c r="A108" s="28">
        <v>99</v>
      </c>
      <c r="B108" s="31" t="s">
        <v>211</v>
      </c>
      <c r="C108" s="474" t="s">
        <v>212</v>
      </c>
      <c r="D108" s="471">
        <f t="shared" si="2"/>
        <v>805</v>
      </c>
      <c r="E108" s="471">
        <v>100</v>
      </c>
      <c r="F108" s="471">
        <v>703</v>
      </c>
      <c r="G108" s="471">
        <v>2</v>
      </c>
      <c r="I108" s="704"/>
      <c r="J108" s="472"/>
      <c r="K108" s="472"/>
    </row>
    <row r="109" spans="1:11" x14ac:dyDescent="0.25">
      <c r="A109" s="28">
        <v>100</v>
      </c>
      <c r="B109" s="469" t="s">
        <v>213</v>
      </c>
      <c r="C109" s="470" t="s">
        <v>214</v>
      </c>
      <c r="D109" s="471">
        <f t="shared" si="2"/>
        <v>749</v>
      </c>
      <c r="E109" s="471">
        <v>70</v>
      </c>
      <c r="F109" s="471">
        <v>673</v>
      </c>
      <c r="G109" s="471">
        <v>6</v>
      </c>
      <c r="I109" s="704"/>
      <c r="J109" s="472"/>
      <c r="K109" s="472"/>
    </row>
    <row r="110" spans="1:11" x14ac:dyDescent="0.25">
      <c r="A110" s="28">
        <v>101</v>
      </c>
      <c r="B110" s="473" t="s">
        <v>215</v>
      </c>
      <c r="C110" s="470" t="s">
        <v>216</v>
      </c>
      <c r="D110" s="471">
        <f t="shared" si="2"/>
        <v>3</v>
      </c>
      <c r="E110" s="471">
        <v>0</v>
      </c>
      <c r="F110" s="471">
        <v>0</v>
      </c>
      <c r="G110" s="471">
        <v>3</v>
      </c>
      <c r="I110" s="704"/>
      <c r="J110" s="472"/>
      <c r="K110" s="472"/>
    </row>
    <row r="111" spans="1:11" x14ac:dyDescent="0.25">
      <c r="A111" s="28">
        <v>102</v>
      </c>
      <c r="B111" s="469" t="s">
        <v>217</v>
      </c>
      <c r="C111" s="474" t="s">
        <v>218</v>
      </c>
      <c r="D111" s="471">
        <f t="shared" si="2"/>
        <v>0</v>
      </c>
      <c r="E111" s="471">
        <v>0</v>
      </c>
      <c r="F111" s="471">
        <v>0</v>
      </c>
      <c r="G111" s="471">
        <v>0</v>
      </c>
      <c r="I111" s="704"/>
      <c r="J111" s="472"/>
      <c r="K111" s="472"/>
    </row>
    <row r="112" spans="1:11" x14ac:dyDescent="0.25">
      <c r="A112" s="28">
        <v>103</v>
      </c>
      <c r="B112" s="469" t="s">
        <v>219</v>
      </c>
      <c r="C112" s="470" t="s">
        <v>220</v>
      </c>
      <c r="D112" s="471">
        <f t="shared" si="2"/>
        <v>0</v>
      </c>
      <c r="E112" s="471">
        <v>0</v>
      </c>
      <c r="F112" s="471">
        <v>0</v>
      </c>
      <c r="G112" s="471">
        <v>0</v>
      </c>
      <c r="I112" s="704"/>
      <c r="J112" s="472"/>
      <c r="K112" s="472"/>
    </row>
    <row r="113" spans="1:11" x14ac:dyDescent="0.25">
      <c r="A113" s="28">
        <v>104</v>
      </c>
      <c r="B113" s="31" t="s">
        <v>221</v>
      </c>
      <c r="C113" s="474" t="s">
        <v>222</v>
      </c>
      <c r="D113" s="471">
        <f t="shared" si="2"/>
        <v>0</v>
      </c>
      <c r="E113" s="471">
        <v>0</v>
      </c>
      <c r="F113" s="471">
        <v>0</v>
      </c>
      <c r="G113" s="471">
        <v>0</v>
      </c>
      <c r="I113" s="704"/>
      <c r="J113" s="472"/>
      <c r="K113" s="472"/>
    </row>
    <row r="114" spans="1:11" x14ac:dyDescent="0.25">
      <c r="A114" s="28">
        <v>105</v>
      </c>
      <c r="B114" s="31" t="s">
        <v>223</v>
      </c>
      <c r="C114" s="474" t="s">
        <v>224</v>
      </c>
      <c r="D114" s="471">
        <f t="shared" si="2"/>
        <v>0</v>
      </c>
      <c r="E114" s="471">
        <v>0</v>
      </c>
      <c r="F114" s="471">
        <v>0</v>
      </c>
      <c r="G114" s="471">
        <v>0</v>
      </c>
      <c r="I114" s="704"/>
      <c r="J114" s="472"/>
      <c r="K114" s="472"/>
    </row>
    <row r="115" spans="1:11" x14ac:dyDescent="0.25">
      <c r="A115" s="28">
        <v>106</v>
      </c>
      <c r="B115" s="31" t="s">
        <v>225</v>
      </c>
      <c r="C115" s="474" t="s">
        <v>226</v>
      </c>
      <c r="D115" s="471">
        <f t="shared" si="2"/>
        <v>0</v>
      </c>
      <c r="E115" s="471">
        <v>0</v>
      </c>
      <c r="F115" s="471">
        <v>0</v>
      </c>
      <c r="G115" s="471">
        <v>0</v>
      </c>
      <c r="I115" s="704"/>
      <c r="J115" s="472"/>
      <c r="K115" s="472"/>
    </row>
    <row r="116" spans="1:11" x14ac:dyDescent="0.25">
      <c r="A116" s="28">
        <v>107</v>
      </c>
      <c r="B116" s="31" t="s">
        <v>227</v>
      </c>
      <c r="C116" s="474" t="s">
        <v>228</v>
      </c>
      <c r="D116" s="471">
        <f t="shared" si="2"/>
        <v>0</v>
      </c>
      <c r="E116" s="471">
        <v>0</v>
      </c>
      <c r="F116" s="471">
        <v>0</v>
      </c>
      <c r="G116" s="471">
        <v>0</v>
      </c>
      <c r="I116" s="704"/>
      <c r="J116" s="472"/>
      <c r="K116" s="472"/>
    </row>
    <row r="117" spans="1:11" x14ac:dyDescent="0.25">
      <c r="A117" s="28">
        <v>108</v>
      </c>
      <c r="B117" s="31" t="s">
        <v>229</v>
      </c>
      <c r="C117" s="474" t="s">
        <v>230</v>
      </c>
      <c r="D117" s="471">
        <f t="shared" si="2"/>
        <v>0</v>
      </c>
      <c r="E117" s="471">
        <v>0</v>
      </c>
      <c r="F117" s="471">
        <v>0</v>
      </c>
      <c r="G117" s="471">
        <v>0</v>
      </c>
      <c r="I117" s="704"/>
      <c r="J117" s="472"/>
      <c r="K117" s="472"/>
    </row>
    <row r="118" spans="1:11" x14ac:dyDescent="0.25">
      <c r="A118" s="28">
        <v>109</v>
      </c>
      <c r="B118" s="31" t="s">
        <v>231</v>
      </c>
      <c r="C118" s="474" t="s">
        <v>232</v>
      </c>
      <c r="D118" s="471">
        <f t="shared" si="2"/>
        <v>0</v>
      </c>
      <c r="E118" s="471">
        <v>0</v>
      </c>
      <c r="F118" s="471">
        <v>0</v>
      </c>
      <c r="G118" s="471">
        <v>0</v>
      </c>
      <c r="I118" s="704"/>
      <c r="J118" s="472"/>
      <c r="K118" s="472"/>
    </row>
    <row r="119" spans="1:11" x14ac:dyDescent="0.25">
      <c r="A119" s="28">
        <v>110</v>
      </c>
      <c r="B119" s="480" t="s">
        <v>233</v>
      </c>
      <c r="C119" s="481" t="s">
        <v>234</v>
      </c>
      <c r="D119" s="471">
        <f t="shared" si="2"/>
        <v>0</v>
      </c>
      <c r="E119" s="471">
        <v>0</v>
      </c>
      <c r="F119" s="471">
        <v>0</v>
      </c>
      <c r="G119" s="471">
        <v>0</v>
      </c>
      <c r="I119" s="704"/>
      <c r="J119" s="472"/>
      <c r="K119" s="472"/>
    </row>
    <row r="120" spans="1:11" x14ac:dyDescent="0.25">
      <c r="A120" s="28">
        <v>111</v>
      </c>
      <c r="B120" s="480" t="s">
        <v>235</v>
      </c>
      <c r="C120" s="481" t="s">
        <v>236</v>
      </c>
      <c r="D120" s="471">
        <f t="shared" si="2"/>
        <v>0</v>
      </c>
      <c r="E120" s="471">
        <v>0</v>
      </c>
      <c r="F120" s="471">
        <v>0</v>
      </c>
      <c r="G120" s="471">
        <v>0</v>
      </c>
      <c r="I120" s="704"/>
      <c r="J120" s="472"/>
      <c r="K120" s="472"/>
    </row>
    <row r="121" spans="1:11" x14ac:dyDescent="0.25">
      <c r="A121" s="28">
        <v>112</v>
      </c>
      <c r="B121" s="473" t="s">
        <v>237</v>
      </c>
      <c r="C121" s="470" t="s">
        <v>238</v>
      </c>
      <c r="D121" s="471">
        <f t="shared" si="2"/>
        <v>0</v>
      </c>
      <c r="E121" s="471">
        <v>0</v>
      </c>
      <c r="F121" s="471">
        <v>0</v>
      </c>
      <c r="G121" s="471">
        <v>0</v>
      </c>
      <c r="I121" s="704"/>
      <c r="J121" s="472"/>
      <c r="K121" s="472"/>
    </row>
    <row r="122" spans="1:11" x14ac:dyDescent="0.25">
      <c r="A122" s="28">
        <v>113</v>
      </c>
      <c r="B122" s="31" t="s">
        <v>239</v>
      </c>
      <c r="C122" s="474" t="s">
        <v>240</v>
      </c>
      <c r="D122" s="471">
        <f t="shared" si="2"/>
        <v>0</v>
      </c>
      <c r="E122" s="471">
        <v>0</v>
      </c>
      <c r="F122" s="471">
        <v>0</v>
      </c>
      <c r="G122" s="471">
        <v>0</v>
      </c>
      <c r="I122" s="704"/>
      <c r="J122" s="472"/>
      <c r="K122" s="472"/>
    </row>
    <row r="123" spans="1:11" x14ac:dyDescent="0.25">
      <c r="A123" s="28">
        <v>114</v>
      </c>
      <c r="B123" s="469" t="s">
        <v>241</v>
      </c>
      <c r="C123" s="482" t="s">
        <v>242</v>
      </c>
      <c r="D123" s="471">
        <f t="shared" si="2"/>
        <v>0</v>
      </c>
      <c r="E123" s="471">
        <v>0</v>
      </c>
      <c r="F123" s="471">
        <v>0</v>
      </c>
      <c r="G123" s="471">
        <v>0</v>
      </c>
      <c r="I123" s="704"/>
      <c r="J123" s="472"/>
      <c r="K123" s="472"/>
    </row>
    <row r="124" spans="1:11" x14ac:dyDescent="0.25">
      <c r="A124" s="28">
        <v>115</v>
      </c>
      <c r="B124" s="31" t="s">
        <v>243</v>
      </c>
      <c r="C124" s="483" t="s">
        <v>385</v>
      </c>
      <c r="D124" s="471">
        <f t="shared" si="2"/>
        <v>0</v>
      </c>
      <c r="E124" s="471">
        <v>0</v>
      </c>
      <c r="F124" s="471">
        <v>0</v>
      </c>
      <c r="G124" s="471">
        <v>0</v>
      </c>
      <c r="I124" s="704"/>
      <c r="J124" s="472"/>
      <c r="K124" s="472"/>
    </row>
    <row r="125" spans="1:11" x14ac:dyDescent="0.25">
      <c r="A125" s="28">
        <v>116</v>
      </c>
      <c r="B125" s="473" t="s">
        <v>244</v>
      </c>
      <c r="C125" s="474" t="s">
        <v>799</v>
      </c>
      <c r="D125" s="471">
        <f t="shared" si="2"/>
        <v>0</v>
      </c>
      <c r="E125" s="471">
        <v>0</v>
      </c>
      <c r="F125" s="471">
        <v>0</v>
      </c>
      <c r="G125" s="471">
        <v>0</v>
      </c>
      <c r="I125" s="704"/>
      <c r="J125" s="472"/>
      <c r="K125" s="472"/>
    </row>
    <row r="126" spans="1:11" x14ac:dyDescent="0.25">
      <c r="A126" s="28">
        <v>117</v>
      </c>
      <c r="B126" s="473" t="s">
        <v>246</v>
      </c>
      <c r="C126" s="474" t="s">
        <v>247</v>
      </c>
      <c r="D126" s="471">
        <f t="shared" si="2"/>
        <v>0</v>
      </c>
      <c r="E126" s="471">
        <v>0</v>
      </c>
      <c r="F126" s="471">
        <v>0</v>
      </c>
      <c r="G126" s="471">
        <v>0</v>
      </c>
      <c r="I126" s="704"/>
      <c r="J126" s="472"/>
      <c r="K126" s="472"/>
    </row>
    <row r="127" spans="1:11" x14ac:dyDescent="0.25">
      <c r="A127" s="28">
        <v>118</v>
      </c>
      <c r="B127" s="473" t="s">
        <v>248</v>
      </c>
      <c r="C127" s="474" t="s">
        <v>249</v>
      </c>
      <c r="D127" s="471">
        <f t="shared" si="2"/>
        <v>0</v>
      </c>
      <c r="E127" s="471">
        <v>0</v>
      </c>
      <c r="F127" s="471">
        <v>0</v>
      </c>
      <c r="G127" s="471">
        <v>0</v>
      </c>
      <c r="I127" s="704"/>
      <c r="J127" s="472"/>
      <c r="K127" s="472"/>
    </row>
    <row r="128" spans="1:11" x14ac:dyDescent="0.25">
      <c r="A128" s="28">
        <v>119</v>
      </c>
      <c r="B128" s="469" t="s">
        <v>250</v>
      </c>
      <c r="C128" s="470" t="s">
        <v>251</v>
      </c>
      <c r="D128" s="471">
        <f t="shared" si="2"/>
        <v>0</v>
      </c>
      <c r="E128" s="471">
        <v>0</v>
      </c>
      <c r="F128" s="471">
        <v>0</v>
      </c>
      <c r="G128" s="471">
        <v>0</v>
      </c>
      <c r="I128" s="704"/>
      <c r="J128" s="472"/>
      <c r="K128" s="472"/>
    </row>
    <row r="129" spans="1:11" x14ac:dyDescent="0.25">
      <c r="A129" s="28">
        <v>120</v>
      </c>
      <c r="B129" s="473" t="s">
        <v>252</v>
      </c>
      <c r="C129" s="470" t="s">
        <v>253</v>
      </c>
      <c r="D129" s="471">
        <f t="shared" si="2"/>
        <v>0</v>
      </c>
      <c r="E129" s="471">
        <v>0</v>
      </c>
      <c r="F129" s="471">
        <v>0</v>
      </c>
      <c r="G129" s="471">
        <v>0</v>
      </c>
      <c r="I129" s="704"/>
      <c r="J129" s="472"/>
      <c r="K129" s="472"/>
    </row>
    <row r="130" spans="1:11" x14ac:dyDescent="0.25">
      <c r="A130" s="28">
        <v>121</v>
      </c>
      <c r="B130" s="31" t="s">
        <v>254</v>
      </c>
      <c r="C130" s="474" t="s">
        <v>255</v>
      </c>
      <c r="D130" s="471">
        <f t="shared" si="2"/>
        <v>0</v>
      </c>
      <c r="E130" s="471">
        <v>0</v>
      </c>
      <c r="F130" s="471">
        <v>0</v>
      </c>
      <c r="G130" s="471">
        <v>0</v>
      </c>
      <c r="I130" s="704"/>
      <c r="J130" s="472"/>
      <c r="K130" s="472"/>
    </row>
    <row r="131" spans="1:11" x14ac:dyDescent="0.25">
      <c r="A131" s="28">
        <v>122</v>
      </c>
      <c r="B131" s="31" t="s">
        <v>256</v>
      </c>
      <c r="C131" s="474" t="s">
        <v>257</v>
      </c>
      <c r="D131" s="471">
        <f t="shared" si="2"/>
        <v>0</v>
      </c>
      <c r="E131" s="471">
        <v>0</v>
      </c>
      <c r="F131" s="471">
        <v>0</v>
      </c>
      <c r="G131" s="471">
        <v>0</v>
      </c>
      <c r="I131" s="704"/>
      <c r="J131" s="472"/>
      <c r="K131" s="472"/>
    </row>
    <row r="132" spans="1:11" x14ac:dyDescent="0.25">
      <c r="A132" s="28">
        <v>123</v>
      </c>
      <c r="B132" s="31" t="s">
        <v>258</v>
      </c>
      <c r="C132" s="474" t="s">
        <v>259</v>
      </c>
      <c r="D132" s="471">
        <f t="shared" si="2"/>
        <v>0</v>
      </c>
      <c r="E132" s="471">
        <v>0</v>
      </c>
      <c r="F132" s="471">
        <v>0</v>
      </c>
      <c r="G132" s="471">
        <v>0</v>
      </c>
      <c r="I132" s="704"/>
      <c r="J132" s="472"/>
      <c r="K132" s="472"/>
    </row>
    <row r="133" spans="1:11" x14ac:dyDescent="0.25">
      <c r="A133" s="28">
        <v>124</v>
      </c>
      <c r="B133" s="31" t="s">
        <v>260</v>
      </c>
      <c r="C133" s="474" t="s">
        <v>261</v>
      </c>
      <c r="D133" s="471">
        <f t="shared" si="2"/>
        <v>0</v>
      </c>
      <c r="E133" s="471">
        <v>0</v>
      </c>
      <c r="F133" s="471">
        <v>0</v>
      </c>
      <c r="G133" s="471">
        <v>0</v>
      </c>
      <c r="I133" s="704"/>
      <c r="J133" s="472"/>
      <c r="K133" s="472"/>
    </row>
    <row r="134" spans="1:11" x14ac:dyDescent="0.25">
      <c r="A134" s="28">
        <v>125</v>
      </c>
      <c r="B134" s="31" t="s">
        <v>262</v>
      </c>
      <c r="C134" s="474" t="s">
        <v>263</v>
      </c>
      <c r="D134" s="471">
        <f t="shared" si="2"/>
        <v>0</v>
      </c>
      <c r="E134" s="471">
        <v>0</v>
      </c>
      <c r="F134" s="471">
        <v>0</v>
      </c>
      <c r="G134" s="471">
        <v>0</v>
      </c>
      <c r="I134" s="704"/>
      <c r="J134" s="472"/>
      <c r="K134" s="472"/>
    </row>
    <row r="135" spans="1:11" x14ac:dyDescent="0.25">
      <c r="A135" s="28">
        <v>126</v>
      </c>
      <c r="B135" s="469" t="s">
        <v>264</v>
      </c>
      <c r="C135" s="470" t="s">
        <v>265</v>
      </c>
      <c r="D135" s="471">
        <f t="shared" si="2"/>
        <v>0</v>
      </c>
      <c r="E135" s="471">
        <v>0</v>
      </c>
      <c r="F135" s="471">
        <v>0</v>
      </c>
      <c r="G135" s="471">
        <v>0</v>
      </c>
      <c r="I135" s="704"/>
      <c r="J135" s="472"/>
      <c r="K135" s="472"/>
    </row>
    <row r="136" spans="1:11" x14ac:dyDescent="0.25">
      <c r="A136" s="28">
        <v>127</v>
      </c>
      <c r="B136" s="469" t="s">
        <v>266</v>
      </c>
      <c r="C136" s="474" t="s">
        <v>267</v>
      </c>
      <c r="D136" s="471">
        <f t="shared" si="2"/>
        <v>0</v>
      </c>
      <c r="E136" s="471">
        <v>0</v>
      </c>
      <c r="F136" s="471">
        <v>0</v>
      </c>
      <c r="G136" s="471">
        <v>0</v>
      </c>
      <c r="I136" s="704"/>
      <c r="J136" s="472"/>
      <c r="K136" s="472"/>
    </row>
    <row r="137" spans="1:11" x14ac:dyDescent="0.25">
      <c r="A137" s="28">
        <v>128</v>
      </c>
      <c r="B137" s="475" t="s">
        <v>268</v>
      </c>
      <c r="C137" s="32" t="s">
        <v>269</v>
      </c>
      <c r="D137" s="471">
        <f t="shared" ref="D137:D149" si="3">SUM(E137:G137)</f>
        <v>0</v>
      </c>
      <c r="E137" s="471">
        <v>0</v>
      </c>
      <c r="F137" s="471">
        <v>0</v>
      </c>
      <c r="G137" s="471">
        <v>0</v>
      </c>
      <c r="I137" s="704"/>
      <c r="J137" s="472"/>
      <c r="K137" s="472"/>
    </row>
    <row r="138" spans="1:11" x14ac:dyDescent="0.25">
      <c r="A138" s="28">
        <v>129</v>
      </c>
      <c r="B138" s="31" t="s">
        <v>270</v>
      </c>
      <c r="C138" s="474" t="s">
        <v>271</v>
      </c>
      <c r="D138" s="471">
        <f t="shared" si="3"/>
        <v>0</v>
      </c>
      <c r="E138" s="471">
        <v>0</v>
      </c>
      <c r="F138" s="471">
        <v>0</v>
      </c>
      <c r="G138" s="471">
        <v>0</v>
      </c>
      <c r="I138" s="704"/>
      <c r="J138" s="472"/>
      <c r="K138" s="472"/>
    </row>
    <row r="139" spans="1:11" x14ac:dyDescent="0.25">
      <c r="A139" s="28">
        <v>130</v>
      </c>
      <c r="B139" s="31" t="s">
        <v>272</v>
      </c>
      <c r="C139" s="474" t="s">
        <v>273</v>
      </c>
      <c r="D139" s="471">
        <f t="shared" si="3"/>
        <v>0</v>
      </c>
      <c r="E139" s="471">
        <v>0</v>
      </c>
      <c r="F139" s="471">
        <v>0</v>
      </c>
      <c r="G139" s="471">
        <v>0</v>
      </c>
      <c r="I139" s="704"/>
      <c r="J139" s="472"/>
      <c r="K139" s="472"/>
    </row>
    <row r="140" spans="1:11" x14ac:dyDescent="0.25">
      <c r="A140" s="28">
        <v>131</v>
      </c>
      <c r="B140" s="31" t="s">
        <v>274</v>
      </c>
      <c r="C140" s="474" t="s">
        <v>275</v>
      </c>
      <c r="D140" s="471">
        <f t="shared" si="3"/>
        <v>0</v>
      </c>
      <c r="E140" s="471">
        <v>0</v>
      </c>
      <c r="F140" s="471">
        <v>0</v>
      </c>
      <c r="G140" s="471">
        <v>0</v>
      </c>
      <c r="I140" s="704"/>
      <c r="J140" s="472"/>
      <c r="K140" s="472"/>
    </row>
    <row r="141" spans="1:11" x14ac:dyDescent="0.25">
      <c r="A141" s="28">
        <v>132</v>
      </c>
      <c r="B141" s="475" t="s">
        <v>276</v>
      </c>
      <c r="C141" s="32" t="s">
        <v>277</v>
      </c>
      <c r="D141" s="471">
        <f t="shared" si="3"/>
        <v>1204</v>
      </c>
      <c r="E141" s="471">
        <v>130</v>
      </c>
      <c r="F141" s="471">
        <v>1074</v>
      </c>
      <c r="G141" s="471">
        <v>0</v>
      </c>
      <c r="I141" s="704"/>
      <c r="J141" s="472"/>
      <c r="K141" s="472"/>
    </row>
    <row r="142" spans="1:11" x14ac:dyDescent="0.25">
      <c r="A142" s="28">
        <v>133</v>
      </c>
      <c r="B142" s="473" t="s">
        <v>278</v>
      </c>
      <c r="C142" s="32" t="s">
        <v>279</v>
      </c>
      <c r="D142" s="471">
        <f t="shared" si="3"/>
        <v>2300</v>
      </c>
      <c r="E142" s="471">
        <v>240</v>
      </c>
      <c r="F142" s="471">
        <v>2048</v>
      </c>
      <c r="G142" s="471">
        <v>12</v>
      </c>
      <c r="I142" s="704"/>
      <c r="J142" s="472"/>
      <c r="K142" s="472"/>
    </row>
    <row r="143" spans="1:11" x14ac:dyDescent="0.25">
      <c r="A143" s="28">
        <v>134</v>
      </c>
      <c r="B143" s="31" t="s">
        <v>280</v>
      </c>
      <c r="C143" s="474" t="s">
        <v>281</v>
      </c>
      <c r="D143" s="471">
        <f t="shared" si="3"/>
        <v>0</v>
      </c>
      <c r="E143" s="471">
        <v>0</v>
      </c>
      <c r="F143" s="471">
        <v>0</v>
      </c>
      <c r="G143" s="471">
        <v>0</v>
      </c>
      <c r="I143" s="704"/>
      <c r="J143" s="472"/>
      <c r="K143" s="472"/>
    </row>
    <row r="144" spans="1:11" x14ac:dyDescent="0.25">
      <c r="A144" s="28">
        <v>135</v>
      </c>
      <c r="B144" s="469" t="s">
        <v>282</v>
      </c>
      <c r="C144" s="470" t="s">
        <v>283</v>
      </c>
      <c r="D144" s="471">
        <f t="shared" si="3"/>
        <v>0</v>
      </c>
      <c r="E144" s="471">
        <v>0</v>
      </c>
      <c r="F144" s="471">
        <v>0</v>
      </c>
      <c r="G144" s="471">
        <v>0</v>
      </c>
      <c r="I144" s="704"/>
      <c r="J144" s="472"/>
      <c r="K144" s="472"/>
    </row>
    <row r="145" spans="1:11" x14ac:dyDescent="0.25">
      <c r="A145" s="28">
        <v>136</v>
      </c>
      <c r="B145" s="31" t="s">
        <v>284</v>
      </c>
      <c r="C145" s="474" t="s">
        <v>285</v>
      </c>
      <c r="D145" s="471">
        <f t="shared" si="3"/>
        <v>0</v>
      </c>
      <c r="E145" s="471">
        <v>0</v>
      </c>
      <c r="F145" s="471">
        <v>0</v>
      </c>
      <c r="G145" s="471">
        <v>0</v>
      </c>
      <c r="I145" s="704"/>
      <c r="J145" s="472"/>
      <c r="K145" s="472"/>
    </row>
    <row r="146" spans="1:11" x14ac:dyDescent="0.25">
      <c r="A146" s="28">
        <v>137</v>
      </c>
      <c r="B146" s="484" t="s">
        <v>387</v>
      </c>
      <c r="C146" s="485" t="s">
        <v>388</v>
      </c>
      <c r="D146" s="471">
        <f t="shared" si="3"/>
        <v>0</v>
      </c>
      <c r="E146" s="471">
        <v>0</v>
      </c>
      <c r="F146" s="471">
        <v>0</v>
      </c>
      <c r="G146" s="471">
        <v>0</v>
      </c>
      <c r="I146" s="704"/>
      <c r="J146" s="472"/>
      <c r="K146" s="472"/>
    </row>
    <row r="147" spans="1:11" x14ac:dyDescent="0.25">
      <c r="A147" s="28">
        <v>138</v>
      </c>
      <c r="B147" s="486" t="s">
        <v>389</v>
      </c>
      <c r="C147" s="487" t="s">
        <v>390</v>
      </c>
      <c r="D147" s="471">
        <f t="shared" si="3"/>
        <v>0</v>
      </c>
      <c r="E147" s="471">
        <v>0</v>
      </c>
      <c r="F147" s="471">
        <v>0</v>
      </c>
      <c r="G147" s="471">
        <v>0</v>
      </c>
      <c r="I147" s="704"/>
      <c r="J147" s="472"/>
      <c r="K147" s="472"/>
    </row>
    <row r="148" spans="1:11" x14ac:dyDescent="0.25">
      <c r="A148" s="28">
        <v>139</v>
      </c>
      <c r="B148" s="488" t="s">
        <v>391</v>
      </c>
      <c r="C148" s="489" t="s">
        <v>392</v>
      </c>
      <c r="D148" s="471">
        <f t="shared" si="3"/>
        <v>0</v>
      </c>
      <c r="E148" s="471">
        <v>0</v>
      </c>
      <c r="F148" s="471">
        <v>0</v>
      </c>
      <c r="G148" s="471">
        <v>0</v>
      </c>
      <c r="I148" s="704"/>
      <c r="J148" s="472"/>
      <c r="K148" s="472"/>
    </row>
    <row r="149" spans="1:11" x14ac:dyDescent="0.25">
      <c r="A149" s="28">
        <v>140</v>
      </c>
      <c r="B149" s="28" t="s">
        <v>393</v>
      </c>
      <c r="C149" s="490" t="s">
        <v>394</v>
      </c>
      <c r="D149" s="471">
        <f t="shared" si="3"/>
        <v>0</v>
      </c>
      <c r="E149" s="471">
        <v>0</v>
      </c>
      <c r="F149" s="471">
        <v>0</v>
      </c>
      <c r="G149" s="471">
        <v>0</v>
      </c>
      <c r="I149" s="704"/>
      <c r="J149" s="472"/>
      <c r="K149" s="472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53"/>
  <sheetViews>
    <sheetView topLeftCell="A4" zoomScale="70" zoomScaleNormal="70" workbookViewId="0">
      <pane xSplit="4" ySplit="8" topLeftCell="E123" activePane="bottomRight" state="frozen"/>
      <selection activeCell="A4" sqref="A4"/>
      <selection pane="topRight" activeCell="E4" sqref="E4"/>
      <selection pane="bottomLeft" activeCell="A11" sqref="A11"/>
      <selection pane="bottomRight" activeCell="X156" sqref="X156"/>
    </sheetView>
  </sheetViews>
  <sheetFormatPr defaultRowHeight="15" x14ac:dyDescent="0.25"/>
  <cols>
    <col min="1" max="1" width="4.7109375" style="62" customWidth="1"/>
    <col min="2" max="2" width="9.28515625" style="62" customWidth="1"/>
    <col min="3" max="3" width="30.140625" style="723" customWidth="1"/>
    <col min="4" max="4" width="15.5703125" style="705" customWidth="1"/>
    <col min="5" max="5" width="10.28515625" style="705" customWidth="1"/>
    <col min="6" max="6" width="10.140625" style="705" customWidth="1"/>
    <col min="7" max="7" width="11.7109375" style="705" customWidth="1"/>
    <col min="8" max="8" width="11.5703125" style="705" customWidth="1"/>
    <col min="9" max="9" width="12.140625" style="705" customWidth="1"/>
    <col min="10" max="10" width="12" style="705" customWidth="1"/>
    <col min="11" max="11" width="11" style="705" customWidth="1"/>
    <col min="12" max="12" width="10.85546875" style="705" customWidth="1"/>
    <col min="13" max="13" width="10.7109375" style="705" customWidth="1"/>
    <col min="14" max="14" width="11.7109375" style="705" customWidth="1"/>
    <col min="15" max="15" width="11.42578125" style="705" customWidth="1"/>
    <col min="16" max="16" width="11.7109375" style="705" customWidth="1"/>
    <col min="17" max="17" width="11" style="705" customWidth="1"/>
    <col min="18" max="18" width="9.85546875" style="705" customWidth="1"/>
    <col min="19" max="19" width="35.140625" style="705" customWidth="1"/>
    <col min="20" max="16384" width="9.140625" style="705"/>
  </cols>
  <sheetData>
    <row r="2" spans="1:18" ht="24" customHeight="1" x14ac:dyDescent="0.25">
      <c r="A2" s="705"/>
      <c r="B2" s="705"/>
      <c r="C2" s="705"/>
    </row>
    <row r="3" spans="1:18" ht="15" customHeight="1" x14ac:dyDescent="0.25">
      <c r="A3" s="705"/>
      <c r="B3" s="705"/>
      <c r="C3" s="705"/>
    </row>
    <row r="4" spans="1:18" ht="24.75" customHeight="1" x14ac:dyDescent="0.3">
      <c r="A4" s="1065" t="s">
        <v>360</v>
      </c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</row>
    <row r="5" spans="1:18" ht="15" customHeight="1" x14ac:dyDescent="0.25">
      <c r="A5" s="705"/>
      <c r="B5" s="705"/>
      <c r="C5" s="705"/>
    </row>
    <row r="6" spans="1:18" ht="15" customHeight="1" x14ac:dyDescent="0.25">
      <c r="A6" s="1066" t="s">
        <v>0</v>
      </c>
      <c r="B6" s="1066" t="s">
        <v>302</v>
      </c>
      <c r="C6" s="1066" t="s">
        <v>292</v>
      </c>
      <c r="D6" s="1069" t="s">
        <v>361</v>
      </c>
      <c r="E6" s="1072" t="s">
        <v>362</v>
      </c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1072"/>
      <c r="R6" s="1072"/>
    </row>
    <row r="7" spans="1:18" x14ac:dyDescent="0.25">
      <c r="A7" s="1067"/>
      <c r="B7" s="1067"/>
      <c r="C7" s="1067"/>
      <c r="D7" s="1070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</row>
    <row r="8" spans="1:18" ht="15" customHeight="1" x14ac:dyDescent="0.25">
      <c r="A8" s="1067"/>
      <c r="B8" s="1067"/>
      <c r="C8" s="1067"/>
      <c r="D8" s="1070"/>
      <c r="E8" s="1073" t="s">
        <v>363</v>
      </c>
      <c r="F8" s="1073" t="s">
        <v>364</v>
      </c>
      <c r="G8" s="1073" t="s">
        <v>365</v>
      </c>
      <c r="H8" s="1073" t="s">
        <v>366</v>
      </c>
      <c r="I8" s="1073" t="s">
        <v>367</v>
      </c>
      <c r="J8" s="1073" t="s">
        <v>368</v>
      </c>
      <c r="K8" s="1073" t="s">
        <v>369</v>
      </c>
      <c r="L8" s="1073" t="s">
        <v>370</v>
      </c>
      <c r="M8" s="1073" t="s">
        <v>371</v>
      </c>
      <c r="N8" s="1073" t="s">
        <v>372</v>
      </c>
      <c r="O8" s="1073" t="s">
        <v>373</v>
      </c>
      <c r="P8" s="1073" t="s">
        <v>374</v>
      </c>
      <c r="Q8" s="1073" t="s">
        <v>375</v>
      </c>
      <c r="R8" s="1072" t="s">
        <v>376</v>
      </c>
    </row>
    <row r="9" spans="1:18" ht="27" customHeight="1" x14ac:dyDescent="0.25">
      <c r="A9" s="1068"/>
      <c r="B9" s="1068"/>
      <c r="C9" s="1068"/>
      <c r="D9" s="1071"/>
      <c r="E9" s="1074"/>
      <c r="F9" s="1074"/>
      <c r="G9" s="1074"/>
      <c r="H9" s="1074"/>
      <c r="I9" s="1074"/>
      <c r="J9" s="1074"/>
      <c r="K9" s="1074"/>
      <c r="L9" s="1074"/>
      <c r="M9" s="1074"/>
      <c r="N9" s="1074"/>
      <c r="O9" s="1074"/>
      <c r="P9" s="1074"/>
      <c r="Q9" s="1074"/>
      <c r="R9" s="1072"/>
    </row>
    <row r="10" spans="1:18" s="709" customFormat="1" ht="11.25" customHeight="1" x14ac:dyDescent="0.2">
      <c r="A10" s="706">
        <v>1</v>
      </c>
      <c r="B10" s="706">
        <v>2</v>
      </c>
      <c r="C10" s="706">
        <v>3</v>
      </c>
      <c r="D10" s="707">
        <v>4</v>
      </c>
      <c r="E10" s="708">
        <v>5</v>
      </c>
      <c r="F10" s="708">
        <v>6</v>
      </c>
      <c r="G10" s="708">
        <v>7</v>
      </c>
      <c r="H10" s="708">
        <v>8</v>
      </c>
      <c r="I10" s="708">
        <v>9</v>
      </c>
      <c r="J10" s="708">
        <v>10</v>
      </c>
      <c r="K10" s="708">
        <v>11</v>
      </c>
      <c r="L10" s="708">
        <v>12</v>
      </c>
      <c r="M10" s="708">
        <v>13</v>
      </c>
      <c r="N10" s="708">
        <v>14</v>
      </c>
      <c r="O10" s="708">
        <v>15</v>
      </c>
      <c r="P10" s="708">
        <v>16</v>
      </c>
      <c r="Q10" s="708">
        <v>17</v>
      </c>
      <c r="R10" s="708">
        <v>18</v>
      </c>
    </row>
    <row r="11" spans="1:18" ht="24.75" customHeight="1" x14ac:dyDescent="0.25">
      <c r="A11" s="1081" t="s">
        <v>308</v>
      </c>
      <c r="B11" s="1082"/>
      <c r="C11" s="1083"/>
      <c r="D11" s="710">
        <f t="shared" ref="D11:R11" si="0">SUM(D12:D149)</f>
        <v>1025004</v>
      </c>
      <c r="E11" s="710">
        <f t="shared" si="0"/>
        <v>922431</v>
      </c>
      <c r="F11" s="710">
        <f t="shared" si="0"/>
        <v>66142</v>
      </c>
      <c r="G11" s="710">
        <f t="shared" si="0"/>
        <v>18439</v>
      </c>
      <c r="H11" s="710">
        <f t="shared" si="0"/>
        <v>7497</v>
      </c>
      <c r="I11" s="710">
        <f t="shared" si="0"/>
        <v>3</v>
      </c>
      <c r="J11" s="710">
        <f t="shared" si="0"/>
        <v>25</v>
      </c>
      <c r="K11" s="710">
        <f t="shared" si="0"/>
        <v>319</v>
      </c>
      <c r="L11" s="710">
        <f t="shared" si="0"/>
        <v>92</v>
      </c>
      <c r="M11" s="710">
        <f t="shared" si="0"/>
        <v>212</v>
      </c>
      <c r="N11" s="710">
        <f t="shared" si="0"/>
        <v>3466</v>
      </c>
      <c r="O11" s="710">
        <f t="shared" si="0"/>
        <v>244</v>
      </c>
      <c r="P11" s="710">
        <f t="shared" si="0"/>
        <v>557</v>
      </c>
      <c r="Q11" s="710">
        <f t="shared" si="0"/>
        <v>4777</v>
      </c>
      <c r="R11" s="710">
        <f t="shared" si="0"/>
        <v>800</v>
      </c>
    </row>
    <row r="12" spans="1:18" x14ac:dyDescent="0.25">
      <c r="A12" s="711">
        <v>1</v>
      </c>
      <c r="B12" s="712" t="s">
        <v>16</v>
      </c>
      <c r="C12" s="713" t="s">
        <v>17</v>
      </c>
      <c r="D12" s="714">
        <f>SUM(E12:R12)</f>
        <v>8935</v>
      </c>
      <c r="E12" s="714">
        <f>'[11]Диспан.набл.взрослых Пр.3-23'!E12+'[11]Уточнение Пр.9-23'!E12</f>
        <v>7589</v>
      </c>
      <c r="F12" s="714">
        <f>'[11]Диспан.набл.взрослых Пр.3-23'!F12+'[11]Уточнение Пр.9-23'!F12</f>
        <v>1136</v>
      </c>
      <c r="G12" s="714">
        <f>'[11]Диспан.набл.взрослых Пр.3-23'!G12+'[11]Уточнение Пр.9-23'!G12</f>
        <v>76</v>
      </c>
      <c r="H12" s="714">
        <f>'[11]Диспан.набл.взрослых Пр.3-23'!H12+'[11]Уточнение Пр.9-23'!H12</f>
        <v>60</v>
      </c>
      <c r="I12" s="714">
        <f>'[11]Диспан.набл.взрослых Пр.3-23'!I12+'[11]Уточнение Пр.9-23'!I12</f>
        <v>0</v>
      </c>
      <c r="J12" s="714">
        <f>'[11]Диспан.набл.взрослых Пр.3-23'!J12+'[11]Уточнение Пр.9-23'!J12</f>
        <v>0</v>
      </c>
      <c r="K12" s="714">
        <f>'[11]Диспан.набл.взрослых Пр.3-23'!K12+'[11]Уточнение Пр.9-23'!K12</f>
        <v>0</v>
      </c>
      <c r="L12" s="714">
        <f>'[11]Диспан.набл.взрослых Пр.3-23'!L12+'[11]Уточнение Пр.9-23'!L12</f>
        <v>0</v>
      </c>
      <c r="M12" s="714">
        <f>'[11]Диспан.набл.взрослых Пр.3-23'!M12+'[11]Уточнение Пр.9-23'!M12</f>
        <v>1</v>
      </c>
      <c r="N12" s="714">
        <f>'[11]Диспан.набл.взрослых Пр.3-23'!N12+'[11]Уточнение Пр.9-23'!N12</f>
        <v>8</v>
      </c>
      <c r="O12" s="714">
        <f>'[11]Диспан.набл.взрослых Пр.3-23'!O12+'[11]Уточнение Пр.9-23'!O12</f>
        <v>1</v>
      </c>
      <c r="P12" s="714">
        <f>'[11]Диспан.набл.взрослых Пр.3-23'!P12+'[11]Уточнение Пр.9-23'!P12</f>
        <v>0</v>
      </c>
      <c r="Q12" s="714">
        <f>'[11]Диспан.набл.взрослых Пр.3-23'!Q12+'[11]Уточнение Пр.9-23'!Q12</f>
        <v>60</v>
      </c>
      <c r="R12" s="714">
        <f>'[11]Диспан.набл.взрослых Пр.3-23'!R12+'[11]Уточнение Пр.9-23'!R12</f>
        <v>4</v>
      </c>
    </row>
    <row r="13" spans="1:18" x14ac:dyDescent="0.25">
      <c r="A13" s="711">
        <v>2</v>
      </c>
      <c r="B13" s="715" t="s">
        <v>18</v>
      </c>
      <c r="C13" s="713" t="s">
        <v>19</v>
      </c>
      <c r="D13" s="714">
        <f t="shared" ref="D13:D76" si="1">SUM(E13:R13)</f>
        <v>5618</v>
      </c>
      <c r="E13" s="714">
        <f>'[11]Диспан.набл.взрослых Пр.3-23'!E13+'[11]Уточнение Пр.9-23'!E13</f>
        <v>5362</v>
      </c>
      <c r="F13" s="714">
        <f>'[11]Диспан.набл.взрослых Пр.3-23'!F13+'[11]Уточнение Пр.9-23'!F13</f>
        <v>155</v>
      </c>
      <c r="G13" s="714">
        <f>'[11]Диспан.набл.взрослых Пр.3-23'!G13+'[11]Уточнение Пр.9-23'!G13</f>
        <v>53</v>
      </c>
      <c r="H13" s="714">
        <f>'[11]Диспан.набл.взрослых Пр.3-23'!H13+'[11]Уточнение Пр.9-23'!H13</f>
        <v>23</v>
      </c>
      <c r="I13" s="714">
        <f>'[11]Диспан.набл.взрослых Пр.3-23'!I13+'[11]Уточнение Пр.9-23'!I13</f>
        <v>0</v>
      </c>
      <c r="J13" s="714">
        <f>'[11]Диспан.набл.взрослых Пр.3-23'!J13+'[11]Уточнение Пр.9-23'!J13</f>
        <v>0</v>
      </c>
      <c r="K13" s="714">
        <f>'[11]Диспан.набл.взрослых Пр.3-23'!K13+'[11]Уточнение Пр.9-23'!K13</f>
        <v>1</v>
      </c>
      <c r="L13" s="714">
        <f>'[11]Диспан.набл.взрослых Пр.3-23'!L13+'[11]Уточнение Пр.9-23'!L13</f>
        <v>0</v>
      </c>
      <c r="M13" s="714">
        <f>'[11]Диспан.набл.взрослых Пр.3-23'!M13+'[11]Уточнение Пр.9-23'!M13</f>
        <v>0</v>
      </c>
      <c r="N13" s="714">
        <f>'[11]Диспан.набл.взрослых Пр.3-23'!N13+'[11]Уточнение Пр.9-23'!N13</f>
        <v>4</v>
      </c>
      <c r="O13" s="714">
        <f>'[11]Диспан.набл.взрослых Пр.3-23'!O13+'[11]Уточнение Пр.9-23'!O13</f>
        <v>0</v>
      </c>
      <c r="P13" s="714">
        <f>'[11]Диспан.набл.взрослых Пр.3-23'!P13+'[11]Уточнение Пр.9-23'!P13</f>
        <v>0</v>
      </c>
      <c r="Q13" s="714">
        <f>'[11]Диспан.набл.взрослых Пр.3-23'!Q13+'[11]Уточнение Пр.9-23'!Q13</f>
        <v>18</v>
      </c>
      <c r="R13" s="714">
        <f>'[11]Диспан.набл.взрослых Пр.3-23'!R13+'[11]Уточнение Пр.9-23'!R13</f>
        <v>2</v>
      </c>
    </row>
    <row r="14" spans="1:18" x14ac:dyDescent="0.25">
      <c r="A14" s="711">
        <v>3</v>
      </c>
      <c r="B14" s="716" t="s">
        <v>20</v>
      </c>
      <c r="C14" s="653" t="s">
        <v>21</v>
      </c>
      <c r="D14" s="714">
        <f t="shared" si="1"/>
        <v>14933</v>
      </c>
      <c r="E14" s="714">
        <f>'[11]Диспан.набл.взрослых Пр.3-23'!E14+'[11]Уточнение Пр.9-23'!E14</f>
        <v>13193</v>
      </c>
      <c r="F14" s="714">
        <f>'[11]Диспан.набл.взрослых Пр.3-23'!F14+'[11]Уточнение Пр.9-23'!F14</f>
        <v>1387</v>
      </c>
      <c r="G14" s="714">
        <f>'[11]Диспан.набл.взрослых Пр.3-23'!G14+'[11]Уточнение Пр.9-23'!G14</f>
        <v>145</v>
      </c>
      <c r="H14" s="714">
        <f>'[11]Диспан.набл.взрослых Пр.3-23'!H14+'[11]Уточнение Пр.9-23'!H14</f>
        <v>81</v>
      </c>
      <c r="I14" s="714">
        <f>'[11]Диспан.набл.взрослых Пр.3-23'!I14+'[11]Уточнение Пр.9-23'!I14</f>
        <v>0</v>
      </c>
      <c r="J14" s="714">
        <f>'[11]Диспан.набл.взрослых Пр.3-23'!J14+'[11]Уточнение Пр.9-23'!J14</f>
        <v>0</v>
      </c>
      <c r="K14" s="714">
        <f>'[11]Диспан.набл.взрослых Пр.3-23'!K14+'[11]Уточнение Пр.9-23'!K14</f>
        <v>10</v>
      </c>
      <c r="L14" s="714">
        <f>'[11]Диспан.набл.взрослых Пр.3-23'!L14+'[11]Уточнение Пр.9-23'!L14</f>
        <v>1</v>
      </c>
      <c r="M14" s="714">
        <f>'[11]Диспан.набл.взрослых Пр.3-23'!M14+'[11]Уточнение Пр.9-23'!M14</f>
        <v>0</v>
      </c>
      <c r="N14" s="714">
        <f>'[11]Диспан.набл.взрослых Пр.3-23'!N14+'[11]Уточнение Пр.9-23'!N14</f>
        <v>60</v>
      </c>
      <c r="O14" s="714">
        <f>'[11]Диспан.набл.взрослых Пр.3-23'!O14+'[11]Уточнение Пр.9-23'!O14</f>
        <v>4</v>
      </c>
      <c r="P14" s="714">
        <f>'[11]Диспан.набл.взрослых Пр.3-23'!P14+'[11]Уточнение Пр.9-23'!P14</f>
        <v>0</v>
      </c>
      <c r="Q14" s="714">
        <f>'[11]Диспан.набл.взрослых Пр.3-23'!Q14+'[11]Уточнение Пр.9-23'!Q14</f>
        <v>48</v>
      </c>
      <c r="R14" s="714">
        <f>'[11]Диспан.набл.взрослых Пр.3-23'!R14+'[11]Уточнение Пр.9-23'!R14</f>
        <v>4</v>
      </c>
    </row>
    <row r="15" spans="1:18" x14ac:dyDescent="0.25">
      <c r="A15" s="711">
        <v>4</v>
      </c>
      <c r="B15" s="712" t="s">
        <v>22</v>
      </c>
      <c r="C15" s="713" t="s">
        <v>23</v>
      </c>
      <c r="D15" s="714">
        <f t="shared" si="1"/>
        <v>5064</v>
      </c>
      <c r="E15" s="714">
        <f>'[11]Диспан.набл.взрослых Пр.3-23'!E15+'[11]Уточнение Пр.9-23'!E15</f>
        <v>4641</v>
      </c>
      <c r="F15" s="714">
        <f>'[11]Диспан.набл.взрослых Пр.3-23'!F15+'[11]Уточнение Пр.9-23'!F15</f>
        <v>321</v>
      </c>
      <c r="G15" s="714">
        <f>'[11]Диспан.набл.взрослых Пр.3-23'!G15+'[11]Уточнение Пр.9-23'!G15</f>
        <v>74</v>
      </c>
      <c r="H15" s="714">
        <f>'[11]Диспан.набл.взрослых Пр.3-23'!H15+'[11]Уточнение Пр.9-23'!H15</f>
        <v>10</v>
      </c>
      <c r="I15" s="714">
        <f>'[11]Диспан.набл.взрослых Пр.3-23'!I15+'[11]Уточнение Пр.9-23'!I15</f>
        <v>0</v>
      </c>
      <c r="J15" s="714">
        <f>'[11]Диспан.набл.взрослых Пр.3-23'!J15+'[11]Уточнение Пр.9-23'!J15</f>
        <v>0</v>
      </c>
      <c r="K15" s="714">
        <f>'[11]Диспан.набл.взрослых Пр.3-23'!K15+'[11]Уточнение Пр.9-23'!K15</f>
        <v>0</v>
      </c>
      <c r="L15" s="714">
        <f>'[11]Диспан.набл.взрослых Пр.3-23'!L15+'[11]Уточнение Пр.9-23'!L15</f>
        <v>0</v>
      </c>
      <c r="M15" s="714">
        <f>'[11]Диспан.набл.взрослых Пр.3-23'!M15+'[11]Уточнение Пр.9-23'!M15</f>
        <v>0</v>
      </c>
      <c r="N15" s="714">
        <f>'[11]Диспан.набл.взрослых Пр.3-23'!N15+'[11]Уточнение Пр.9-23'!N15</f>
        <v>2</v>
      </c>
      <c r="O15" s="714">
        <f>'[11]Диспан.набл.взрослых Пр.3-23'!O15+'[11]Уточнение Пр.9-23'!O15</f>
        <v>0</v>
      </c>
      <c r="P15" s="714">
        <f>'[11]Диспан.набл.взрослых Пр.3-23'!P15+'[11]Уточнение Пр.9-23'!P15</f>
        <v>1</v>
      </c>
      <c r="Q15" s="714">
        <f>'[11]Диспан.набл.взрослых Пр.3-23'!Q15+'[11]Уточнение Пр.9-23'!Q15</f>
        <v>15</v>
      </c>
      <c r="R15" s="714">
        <f>'[11]Диспан.набл.взрослых Пр.3-23'!R15+'[11]Уточнение Пр.9-23'!R15</f>
        <v>0</v>
      </c>
    </row>
    <row r="16" spans="1:18" x14ac:dyDescent="0.25">
      <c r="A16" s="711">
        <v>5</v>
      </c>
      <c r="B16" s="712" t="s">
        <v>24</v>
      </c>
      <c r="C16" s="713" t="s">
        <v>25</v>
      </c>
      <c r="D16" s="714">
        <f t="shared" si="1"/>
        <v>5698</v>
      </c>
      <c r="E16" s="714">
        <f>'[11]Диспан.набл.взрослых Пр.3-23'!E16+'[11]Уточнение Пр.9-23'!E16</f>
        <v>4693</v>
      </c>
      <c r="F16" s="714">
        <f>'[11]Диспан.набл.взрослых Пр.3-23'!F16+'[11]Уточнение Пр.9-23'!F16</f>
        <v>916</v>
      </c>
      <c r="G16" s="714">
        <f>'[11]Диспан.набл.взрослых Пр.3-23'!G16+'[11]Уточнение Пр.9-23'!G16</f>
        <v>52</v>
      </c>
      <c r="H16" s="714">
        <f>'[11]Диспан.набл.взрослых Пр.3-23'!H16+'[11]Уточнение Пр.9-23'!H16</f>
        <v>9</v>
      </c>
      <c r="I16" s="714">
        <f>'[11]Диспан.набл.взрослых Пр.3-23'!I16+'[11]Уточнение Пр.9-23'!I16</f>
        <v>0</v>
      </c>
      <c r="J16" s="714">
        <f>'[11]Диспан.набл.взрослых Пр.3-23'!J16+'[11]Уточнение Пр.9-23'!J16</f>
        <v>0</v>
      </c>
      <c r="K16" s="714">
        <f>'[11]Диспан.набл.взрослых Пр.3-23'!K16+'[11]Уточнение Пр.9-23'!K16</f>
        <v>0</v>
      </c>
      <c r="L16" s="714">
        <f>'[11]Диспан.набл.взрослых Пр.3-23'!L16+'[11]Уточнение Пр.9-23'!L16</f>
        <v>0</v>
      </c>
      <c r="M16" s="714">
        <f>'[11]Диспан.набл.взрослых Пр.3-23'!M16+'[11]Уточнение Пр.9-23'!M16</f>
        <v>0</v>
      </c>
      <c r="N16" s="714">
        <f>'[11]Диспан.набл.взрослых Пр.3-23'!N16+'[11]Уточнение Пр.9-23'!N16</f>
        <v>7</v>
      </c>
      <c r="O16" s="714">
        <f>'[11]Диспан.набл.взрослых Пр.3-23'!O16+'[11]Уточнение Пр.9-23'!O16</f>
        <v>5</v>
      </c>
      <c r="P16" s="714">
        <f>'[11]Диспан.набл.взрослых Пр.3-23'!P16+'[11]Уточнение Пр.9-23'!P16</f>
        <v>3</v>
      </c>
      <c r="Q16" s="714">
        <f>'[11]Диспан.набл.взрослых Пр.3-23'!Q16+'[11]Уточнение Пр.9-23'!Q16</f>
        <v>13</v>
      </c>
      <c r="R16" s="714">
        <f>'[11]Диспан.набл.взрослых Пр.3-23'!R16+'[11]Уточнение Пр.9-23'!R16</f>
        <v>0</v>
      </c>
    </row>
    <row r="17" spans="1:18" x14ac:dyDescent="0.25">
      <c r="A17" s="711">
        <v>6</v>
      </c>
      <c r="B17" s="716" t="s">
        <v>26</v>
      </c>
      <c r="C17" s="653" t="s">
        <v>27</v>
      </c>
      <c r="D17" s="714">
        <f t="shared" si="1"/>
        <v>46860</v>
      </c>
      <c r="E17" s="714">
        <f>'[11]Диспан.набл.взрослых Пр.3-23'!E17+'[11]Уточнение Пр.9-23'!E17</f>
        <v>45681</v>
      </c>
      <c r="F17" s="714">
        <f>'[11]Диспан.набл.взрослых Пр.3-23'!F17+'[11]Уточнение Пр.9-23'!F17</f>
        <v>699</v>
      </c>
      <c r="G17" s="714">
        <f>'[11]Диспан.набл.взрослых Пр.3-23'!G17+'[11]Уточнение Пр.9-23'!G17</f>
        <v>13</v>
      </c>
      <c r="H17" s="714">
        <f>'[11]Диспан.набл.взрослых Пр.3-23'!H17+'[11]Уточнение Пр.9-23'!H17</f>
        <v>38</v>
      </c>
      <c r="I17" s="714">
        <f>'[11]Диспан.набл.взрослых Пр.3-23'!I17+'[11]Уточнение Пр.9-23'!I17</f>
        <v>0</v>
      </c>
      <c r="J17" s="714">
        <f>'[11]Диспан.набл.взрослых Пр.3-23'!J17+'[11]Уточнение Пр.9-23'!J17</f>
        <v>0</v>
      </c>
      <c r="K17" s="714">
        <f>'[11]Диспан.набл.взрослых Пр.3-23'!K17+'[11]Уточнение Пр.9-23'!K17</f>
        <v>1</v>
      </c>
      <c r="L17" s="714">
        <f>'[11]Диспан.набл.взрослых Пр.3-23'!L17+'[11]Уточнение Пр.9-23'!L17</f>
        <v>1</v>
      </c>
      <c r="M17" s="714">
        <f>'[11]Диспан.набл.взрослых Пр.3-23'!M17+'[11]Уточнение Пр.9-23'!M17</f>
        <v>4</v>
      </c>
      <c r="N17" s="714">
        <f>'[11]Диспан.набл.взрослых Пр.3-23'!N17+'[11]Уточнение Пр.9-23'!N17</f>
        <v>66</v>
      </c>
      <c r="O17" s="714">
        <f>'[11]Диспан.набл.взрослых Пр.3-23'!O17+'[11]Уточнение Пр.9-23'!O17</f>
        <v>1</v>
      </c>
      <c r="P17" s="714">
        <f>'[11]Диспан.набл.взрослых Пр.3-23'!P17+'[11]Уточнение Пр.9-23'!P17</f>
        <v>0</v>
      </c>
      <c r="Q17" s="714">
        <f>'[11]Диспан.набл.взрослых Пр.3-23'!Q17+'[11]Уточнение Пр.9-23'!Q17</f>
        <v>347</v>
      </c>
      <c r="R17" s="714">
        <f>'[11]Диспан.набл.взрослых Пр.3-23'!R17+'[11]Уточнение Пр.9-23'!R17</f>
        <v>9</v>
      </c>
    </row>
    <row r="18" spans="1:18" x14ac:dyDescent="0.25">
      <c r="A18" s="711">
        <v>7</v>
      </c>
      <c r="B18" s="717" t="s">
        <v>28</v>
      </c>
      <c r="C18" s="1" t="s">
        <v>29</v>
      </c>
      <c r="D18" s="714">
        <f t="shared" si="1"/>
        <v>15539</v>
      </c>
      <c r="E18" s="714">
        <f>'[11]Диспан.набл.взрослых Пр.3-23'!E18+'[11]Уточнение Пр.9-23'!E18</f>
        <v>13840</v>
      </c>
      <c r="F18" s="714">
        <f>'[11]Диспан.набл.взрослых Пр.3-23'!F18+'[11]Уточнение Пр.9-23'!F18</f>
        <v>1253</v>
      </c>
      <c r="G18" s="714">
        <f>'[11]Диспан.набл.взрослых Пр.3-23'!G18+'[11]Уточнение Пр.9-23'!G18</f>
        <v>338</v>
      </c>
      <c r="H18" s="714">
        <f>'[11]Диспан.набл.взрослых Пр.3-23'!H18+'[11]Уточнение Пр.9-23'!H18</f>
        <v>21</v>
      </c>
      <c r="I18" s="714">
        <f>'[11]Диспан.набл.взрослых Пр.3-23'!I18+'[11]Уточнение Пр.9-23'!I18</f>
        <v>0</v>
      </c>
      <c r="J18" s="714">
        <f>'[11]Диспан.набл.взрослых Пр.3-23'!J18+'[11]Уточнение Пр.9-23'!J18</f>
        <v>0</v>
      </c>
      <c r="K18" s="714">
        <f>'[11]Диспан.набл.взрослых Пр.3-23'!K18+'[11]Уточнение Пр.9-23'!K18</f>
        <v>12</v>
      </c>
      <c r="L18" s="714">
        <f>'[11]Диспан.набл.взрослых Пр.3-23'!L18+'[11]Уточнение Пр.9-23'!L18</f>
        <v>3</v>
      </c>
      <c r="M18" s="714">
        <f>'[11]Диспан.набл.взрослых Пр.3-23'!M18+'[11]Уточнение Пр.9-23'!M18</f>
        <v>1</v>
      </c>
      <c r="N18" s="714">
        <f>'[11]Диспан.набл.взрослых Пр.3-23'!N18+'[11]Уточнение Пр.9-23'!N18</f>
        <v>1</v>
      </c>
      <c r="O18" s="714">
        <f>'[11]Диспан.набл.взрослых Пр.3-23'!O18+'[11]Уточнение Пр.9-23'!O18</f>
        <v>15</v>
      </c>
      <c r="P18" s="714">
        <f>'[11]Диспан.набл.взрослых Пр.3-23'!P18+'[11]Уточнение Пр.9-23'!P18</f>
        <v>9</v>
      </c>
      <c r="Q18" s="714">
        <f>'[11]Диспан.набл.взрослых Пр.3-23'!Q18+'[11]Уточнение Пр.9-23'!Q18</f>
        <v>46</v>
      </c>
      <c r="R18" s="714">
        <f>'[11]Диспан.набл.взрослых Пр.3-23'!R18+'[11]Уточнение Пр.9-23'!R18</f>
        <v>0</v>
      </c>
    </row>
    <row r="19" spans="1:18" x14ac:dyDescent="0.25">
      <c r="A19" s="711">
        <v>8</v>
      </c>
      <c r="B19" s="716" t="s">
        <v>30</v>
      </c>
      <c r="C19" s="653" t="s">
        <v>31</v>
      </c>
      <c r="D19" s="714">
        <f t="shared" si="1"/>
        <v>6227</v>
      </c>
      <c r="E19" s="714">
        <f>'[11]Диспан.набл.взрослых Пр.3-23'!E19+'[11]Уточнение Пр.9-23'!E19</f>
        <v>6100</v>
      </c>
      <c r="F19" s="714">
        <f>'[11]Диспан.набл.взрослых Пр.3-23'!F19+'[11]Уточнение Пр.9-23'!F19</f>
        <v>3</v>
      </c>
      <c r="G19" s="714">
        <f>'[11]Диспан.набл.взрослых Пр.3-23'!G19+'[11]Уточнение Пр.9-23'!G19</f>
        <v>15</v>
      </c>
      <c r="H19" s="714">
        <f>'[11]Диспан.набл.взрослых Пр.3-23'!H19+'[11]Уточнение Пр.9-23'!H19</f>
        <v>12</v>
      </c>
      <c r="I19" s="714">
        <f>'[11]Диспан.набл.взрослых Пр.3-23'!I19+'[11]Уточнение Пр.9-23'!I19</f>
        <v>0</v>
      </c>
      <c r="J19" s="714">
        <f>'[11]Диспан.набл.взрослых Пр.3-23'!J19+'[11]Уточнение Пр.9-23'!J19</f>
        <v>1</v>
      </c>
      <c r="K19" s="714">
        <f>'[11]Диспан.набл.взрослых Пр.3-23'!K19+'[11]Уточнение Пр.9-23'!K19</f>
        <v>0</v>
      </c>
      <c r="L19" s="714">
        <f>'[11]Диспан.набл.взрослых Пр.3-23'!L19+'[11]Уточнение Пр.9-23'!L19</f>
        <v>0</v>
      </c>
      <c r="M19" s="714">
        <f>'[11]Диспан.набл.взрослых Пр.3-23'!M19+'[11]Уточнение Пр.9-23'!M19</f>
        <v>1</v>
      </c>
      <c r="N19" s="714">
        <f>'[11]Диспан.набл.взрослых Пр.3-23'!N19+'[11]Уточнение Пр.9-23'!N19</f>
        <v>5</v>
      </c>
      <c r="O19" s="714">
        <f>'[11]Диспан.набл.взрослых Пр.3-23'!O19+'[11]Уточнение Пр.9-23'!O19</f>
        <v>35</v>
      </c>
      <c r="P19" s="714">
        <f>'[11]Диспан.набл.взрослых Пр.3-23'!P19+'[11]Уточнение Пр.9-23'!P19</f>
        <v>0</v>
      </c>
      <c r="Q19" s="714">
        <f>'[11]Диспан.набл.взрослых Пр.3-23'!Q19+'[11]Уточнение Пр.9-23'!Q19</f>
        <v>49</v>
      </c>
      <c r="R19" s="714">
        <f>'[11]Диспан.набл.взрослых Пр.3-23'!R19+'[11]Уточнение Пр.9-23'!R19</f>
        <v>6</v>
      </c>
    </row>
    <row r="20" spans="1:18" x14ac:dyDescent="0.25">
      <c r="A20" s="711">
        <v>9</v>
      </c>
      <c r="B20" s="716" t="s">
        <v>32</v>
      </c>
      <c r="C20" s="653" t="s">
        <v>33</v>
      </c>
      <c r="D20" s="714">
        <f t="shared" si="1"/>
        <v>7377</v>
      </c>
      <c r="E20" s="714">
        <f>'[11]Диспан.набл.взрослых Пр.3-23'!E20+'[11]Уточнение Пр.9-23'!E20</f>
        <v>7131</v>
      </c>
      <c r="F20" s="714">
        <f>'[11]Диспан.набл.взрослых Пр.3-23'!F20+'[11]Уточнение Пр.9-23'!F20</f>
        <v>48</v>
      </c>
      <c r="G20" s="714">
        <f>'[11]Диспан.набл.взрослых Пр.3-23'!G20+'[11]Уточнение Пр.9-23'!G20</f>
        <v>1</v>
      </c>
      <c r="H20" s="714">
        <f>'[11]Диспан.набл.взрослых Пр.3-23'!H20+'[11]Уточнение Пр.9-23'!H20</f>
        <v>180</v>
      </c>
      <c r="I20" s="714">
        <f>'[11]Диспан.набл.взрослых Пр.3-23'!I20+'[11]Уточнение Пр.9-23'!I20</f>
        <v>0</v>
      </c>
      <c r="J20" s="714">
        <f>'[11]Диспан.набл.взрослых Пр.3-23'!J20+'[11]Уточнение Пр.9-23'!J20</f>
        <v>0</v>
      </c>
      <c r="K20" s="714">
        <f>'[11]Диспан.набл.взрослых Пр.3-23'!K20+'[11]Уточнение Пр.9-23'!K20</f>
        <v>0</v>
      </c>
      <c r="L20" s="714">
        <f>'[11]Диспан.набл.взрослых Пр.3-23'!L20+'[11]Уточнение Пр.9-23'!L20</f>
        <v>0</v>
      </c>
      <c r="M20" s="714">
        <f>'[11]Диспан.набл.взрослых Пр.3-23'!M20+'[11]Уточнение Пр.9-23'!M20</f>
        <v>1</v>
      </c>
      <c r="N20" s="714">
        <f>'[11]Диспан.набл.взрослых Пр.3-23'!N20+'[11]Уточнение Пр.9-23'!N20</f>
        <v>1</v>
      </c>
      <c r="O20" s="714">
        <f>'[11]Диспан.набл.взрослых Пр.3-23'!O20+'[11]Уточнение Пр.9-23'!O20</f>
        <v>3</v>
      </c>
      <c r="P20" s="714">
        <f>'[11]Диспан.набл.взрослых Пр.3-23'!P20+'[11]Уточнение Пр.9-23'!P20</f>
        <v>0</v>
      </c>
      <c r="Q20" s="714">
        <f>'[11]Диспан.набл.взрослых Пр.3-23'!Q20+'[11]Уточнение Пр.9-23'!Q20</f>
        <v>12</v>
      </c>
      <c r="R20" s="714">
        <f>'[11]Диспан.набл.взрослых Пр.3-23'!R20+'[11]Уточнение Пр.9-23'!R20</f>
        <v>0</v>
      </c>
    </row>
    <row r="21" spans="1:18" x14ac:dyDescent="0.25">
      <c r="A21" s="711">
        <v>10</v>
      </c>
      <c r="B21" s="716" t="s">
        <v>34</v>
      </c>
      <c r="C21" s="653" t="s">
        <v>35</v>
      </c>
      <c r="D21" s="714">
        <f t="shared" si="1"/>
        <v>9011</v>
      </c>
      <c r="E21" s="714">
        <f>'[11]Диспан.набл.взрослых Пр.3-23'!E21+'[11]Уточнение Пр.9-23'!E21</f>
        <v>8808</v>
      </c>
      <c r="F21" s="714">
        <f>'[11]Диспан.набл.взрослых Пр.3-23'!F21+'[11]Уточнение Пр.9-23'!F21</f>
        <v>56</v>
      </c>
      <c r="G21" s="714">
        <f>'[11]Диспан.набл.взрослых Пр.3-23'!G21+'[11]Уточнение Пр.9-23'!G21</f>
        <v>0</v>
      </c>
      <c r="H21" s="714">
        <f>'[11]Диспан.набл.взрослых Пр.3-23'!H21+'[11]Уточнение Пр.9-23'!H21</f>
        <v>76</v>
      </c>
      <c r="I21" s="714">
        <f>'[11]Диспан.набл.взрослых Пр.3-23'!I21+'[11]Уточнение Пр.9-23'!I21</f>
        <v>0</v>
      </c>
      <c r="J21" s="714">
        <f>'[11]Диспан.набл.взрослых Пр.3-23'!J21+'[11]Уточнение Пр.9-23'!J21</f>
        <v>0</v>
      </c>
      <c r="K21" s="714">
        <f>'[11]Диспан.набл.взрослых Пр.3-23'!K21+'[11]Уточнение Пр.9-23'!K21</f>
        <v>3</v>
      </c>
      <c r="L21" s="714">
        <f>'[11]Диспан.набл.взрослых Пр.3-23'!L21+'[11]Уточнение Пр.9-23'!L21</f>
        <v>0</v>
      </c>
      <c r="M21" s="714">
        <f>'[11]Диспан.набл.взрослых Пр.3-23'!M21+'[11]Уточнение Пр.9-23'!M21</f>
        <v>2</v>
      </c>
      <c r="N21" s="714">
        <f>'[11]Диспан.набл.взрослых Пр.3-23'!N21+'[11]Уточнение Пр.9-23'!N21</f>
        <v>0</v>
      </c>
      <c r="O21" s="714">
        <f>'[11]Диспан.набл.взрослых Пр.3-23'!O21+'[11]Уточнение Пр.9-23'!O21</f>
        <v>0</v>
      </c>
      <c r="P21" s="714">
        <f>'[11]Диспан.набл.взрослых Пр.3-23'!P21+'[11]Уточнение Пр.9-23'!P21</f>
        <v>0</v>
      </c>
      <c r="Q21" s="714">
        <f>'[11]Диспан.набл.взрослых Пр.3-23'!Q21+'[11]Уточнение Пр.9-23'!Q21</f>
        <v>41</v>
      </c>
      <c r="R21" s="714">
        <f>'[11]Диспан.набл.взрослых Пр.3-23'!R21+'[11]Уточнение Пр.9-23'!R21</f>
        <v>25</v>
      </c>
    </row>
    <row r="22" spans="1:18" x14ac:dyDescent="0.25">
      <c r="A22" s="711">
        <v>11</v>
      </c>
      <c r="B22" s="716" t="s">
        <v>36</v>
      </c>
      <c r="C22" s="653" t="s">
        <v>37</v>
      </c>
      <c r="D22" s="714">
        <f t="shared" si="1"/>
        <v>8641</v>
      </c>
      <c r="E22" s="714">
        <f>'[11]Диспан.набл.взрослых Пр.3-23'!E22+'[11]Уточнение Пр.9-23'!E22</f>
        <v>8436</v>
      </c>
      <c r="F22" s="714">
        <f>'[11]Диспан.набл.взрослых Пр.3-23'!F22+'[11]Уточнение Пр.9-23'!F22</f>
        <v>168</v>
      </c>
      <c r="G22" s="714">
        <f>'[11]Диспан.набл.взрослых Пр.3-23'!G22+'[11]Уточнение Пр.9-23'!G22</f>
        <v>0</v>
      </c>
      <c r="H22" s="714">
        <f>'[11]Диспан.набл.взрослых Пр.3-23'!H22+'[11]Уточнение Пр.9-23'!H22</f>
        <v>9</v>
      </c>
      <c r="I22" s="714">
        <f>'[11]Диспан.набл.взрослых Пр.3-23'!I22+'[11]Уточнение Пр.9-23'!I22</f>
        <v>0</v>
      </c>
      <c r="J22" s="714">
        <f>'[11]Диспан.набл.взрослых Пр.3-23'!J22+'[11]Уточнение Пр.9-23'!J22</f>
        <v>0</v>
      </c>
      <c r="K22" s="714">
        <f>'[11]Диспан.набл.взрослых Пр.3-23'!K22+'[11]Уточнение Пр.9-23'!K22</f>
        <v>0</v>
      </c>
      <c r="L22" s="714">
        <f>'[11]Диспан.набл.взрослых Пр.3-23'!L22+'[11]Уточнение Пр.9-23'!L22</f>
        <v>0</v>
      </c>
      <c r="M22" s="714">
        <f>'[11]Диспан.набл.взрослых Пр.3-23'!M22+'[11]Уточнение Пр.9-23'!M22</f>
        <v>3</v>
      </c>
      <c r="N22" s="714">
        <f>'[11]Диспан.набл.взрослых Пр.3-23'!N22+'[11]Уточнение Пр.9-23'!N22</f>
        <v>16</v>
      </c>
      <c r="O22" s="714">
        <f>'[11]Диспан.набл.взрослых Пр.3-23'!O22+'[11]Уточнение Пр.9-23'!O22</f>
        <v>0</v>
      </c>
      <c r="P22" s="714">
        <f>'[11]Диспан.набл.взрослых Пр.3-23'!P22+'[11]Уточнение Пр.9-23'!P22</f>
        <v>0</v>
      </c>
      <c r="Q22" s="714">
        <f>'[11]Диспан.набл.взрослых Пр.3-23'!Q22+'[11]Уточнение Пр.9-23'!Q22</f>
        <v>8</v>
      </c>
      <c r="R22" s="714">
        <f>'[11]Диспан.набл.взрослых Пр.3-23'!R22+'[11]Уточнение Пр.9-23'!R22</f>
        <v>1</v>
      </c>
    </row>
    <row r="23" spans="1:18" x14ac:dyDescent="0.25">
      <c r="A23" s="711">
        <v>12</v>
      </c>
      <c r="B23" s="716" t="s">
        <v>38</v>
      </c>
      <c r="C23" s="653" t="s">
        <v>39</v>
      </c>
      <c r="D23" s="714">
        <f t="shared" si="1"/>
        <v>14669</v>
      </c>
      <c r="E23" s="714">
        <f>'[11]Диспан.набл.взрослых Пр.3-23'!E23+'[11]Уточнение Пр.9-23'!E23</f>
        <v>12692</v>
      </c>
      <c r="F23" s="714">
        <f>'[11]Диспан.набл.взрослых Пр.3-23'!F23+'[11]Уточнение Пр.9-23'!F23</f>
        <v>1574</v>
      </c>
      <c r="G23" s="714">
        <f>'[11]Диспан.набл.взрослых Пр.3-23'!G23+'[11]Уточнение Пр.9-23'!G23</f>
        <v>316</v>
      </c>
      <c r="H23" s="714">
        <f>'[11]Диспан.набл.взрослых Пр.3-23'!H23+'[11]Уточнение Пр.9-23'!H23</f>
        <v>82</v>
      </c>
      <c r="I23" s="714">
        <f>'[11]Диспан.набл.взрослых Пр.3-23'!I23+'[11]Уточнение Пр.9-23'!I23</f>
        <v>0</v>
      </c>
      <c r="J23" s="714">
        <f>'[11]Диспан.набл.взрослых Пр.3-23'!J23+'[11]Уточнение Пр.9-23'!J23</f>
        <v>0</v>
      </c>
      <c r="K23" s="714">
        <f>'[11]Диспан.набл.взрослых Пр.3-23'!K23+'[11]Уточнение Пр.9-23'!K23</f>
        <v>0</v>
      </c>
      <c r="L23" s="714">
        <f>'[11]Диспан.набл.взрослых Пр.3-23'!L23+'[11]Уточнение Пр.9-23'!L23</f>
        <v>0</v>
      </c>
      <c r="M23" s="714">
        <f>'[11]Диспан.набл.взрослых Пр.3-23'!M23+'[11]Уточнение Пр.9-23'!M23</f>
        <v>0</v>
      </c>
      <c r="N23" s="714">
        <f>'[11]Диспан.набл.взрослых Пр.3-23'!N23+'[11]Уточнение Пр.9-23'!N23</f>
        <v>0</v>
      </c>
      <c r="O23" s="714">
        <f>'[11]Диспан.набл.взрослых Пр.3-23'!O23+'[11]Уточнение Пр.9-23'!O23</f>
        <v>0</v>
      </c>
      <c r="P23" s="714">
        <f>'[11]Диспан.набл.взрослых Пр.3-23'!P23+'[11]Уточнение Пр.9-23'!P23</f>
        <v>0</v>
      </c>
      <c r="Q23" s="714">
        <f>'[11]Диспан.набл.взрослых Пр.3-23'!Q23+'[11]Уточнение Пр.9-23'!Q23</f>
        <v>3</v>
      </c>
      <c r="R23" s="714">
        <f>'[11]Диспан.набл.взрослых Пр.3-23'!R23+'[11]Уточнение Пр.9-23'!R23</f>
        <v>2</v>
      </c>
    </row>
    <row r="24" spans="1:18" x14ac:dyDescent="0.25">
      <c r="A24" s="711">
        <v>13</v>
      </c>
      <c r="B24" s="716" t="s">
        <v>40</v>
      </c>
      <c r="C24" s="713" t="s">
        <v>41</v>
      </c>
      <c r="D24" s="714">
        <f t="shared" si="1"/>
        <v>0</v>
      </c>
      <c r="E24" s="714">
        <f>'[11]Диспан.набл.взрослых Пр.3-23'!E24+'[11]Уточнение Пр.9-23'!E24</f>
        <v>0</v>
      </c>
      <c r="F24" s="714">
        <f>'[11]Диспан.набл.взрослых Пр.3-23'!F24+'[11]Уточнение Пр.9-23'!F24</f>
        <v>0</v>
      </c>
      <c r="G24" s="714">
        <f>'[11]Диспан.набл.взрослых Пр.3-23'!G24+'[11]Уточнение Пр.9-23'!G24</f>
        <v>0</v>
      </c>
      <c r="H24" s="714">
        <f>'[11]Диспан.набл.взрослых Пр.3-23'!H24+'[11]Уточнение Пр.9-23'!H24</f>
        <v>0</v>
      </c>
      <c r="I24" s="714">
        <f>'[11]Диспан.набл.взрослых Пр.3-23'!I24+'[11]Уточнение Пр.9-23'!I24</f>
        <v>0</v>
      </c>
      <c r="J24" s="714">
        <f>'[11]Диспан.набл.взрослых Пр.3-23'!J24+'[11]Уточнение Пр.9-23'!J24</f>
        <v>0</v>
      </c>
      <c r="K24" s="714">
        <f>'[11]Диспан.набл.взрослых Пр.3-23'!K24+'[11]Уточнение Пр.9-23'!K24</f>
        <v>0</v>
      </c>
      <c r="L24" s="714">
        <f>'[11]Диспан.набл.взрослых Пр.3-23'!L24+'[11]Уточнение Пр.9-23'!L24</f>
        <v>0</v>
      </c>
      <c r="M24" s="714">
        <f>'[11]Диспан.набл.взрослых Пр.3-23'!M24+'[11]Уточнение Пр.9-23'!M24</f>
        <v>0</v>
      </c>
      <c r="N24" s="714">
        <f>'[11]Диспан.набл.взрослых Пр.3-23'!N24+'[11]Уточнение Пр.9-23'!N24</f>
        <v>0</v>
      </c>
      <c r="O24" s="714">
        <f>'[11]Диспан.набл.взрослых Пр.3-23'!O24+'[11]Уточнение Пр.9-23'!O24</f>
        <v>0</v>
      </c>
      <c r="P24" s="714">
        <f>'[11]Диспан.набл.взрослых Пр.3-23'!P24+'[11]Уточнение Пр.9-23'!P24</f>
        <v>0</v>
      </c>
      <c r="Q24" s="714">
        <f>'[11]Диспан.набл.взрослых Пр.3-23'!Q24+'[11]Уточнение Пр.9-23'!Q24</f>
        <v>0</v>
      </c>
      <c r="R24" s="714">
        <f>'[11]Диспан.набл.взрослых Пр.3-23'!R24+'[11]Уточнение Пр.9-23'!R24</f>
        <v>0</v>
      </c>
    </row>
    <row r="25" spans="1:18" x14ac:dyDescent="0.25">
      <c r="A25" s="711">
        <v>14</v>
      </c>
      <c r="B25" s="712" t="s">
        <v>42</v>
      </c>
      <c r="C25" s="653" t="s">
        <v>43</v>
      </c>
      <c r="D25" s="714">
        <f t="shared" si="1"/>
        <v>0</v>
      </c>
      <c r="E25" s="714">
        <f>'[11]Диспан.набл.взрослых Пр.3-23'!E25+'[11]Уточнение Пр.9-23'!E25</f>
        <v>0</v>
      </c>
      <c r="F25" s="714">
        <f>'[11]Диспан.набл.взрослых Пр.3-23'!F25+'[11]Уточнение Пр.9-23'!F25</f>
        <v>0</v>
      </c>
      <c r="G25" s="714">
        <f>'[11]Диспан.набл.взрослых Пр.3-23'!G25+'[11]Уточнение Пр.9-23'!G25</f>
        <v>0</v>
      </c>
      <c r="H25" s="714">
        <f>'[11]Диспан.набл.взрослых Пр.3-23'!H25+'[11]Уточнение Пр.9-23'!H25</f>
        <v>0</v>
      </c>
      <c r="I25" s="714">
        <f>'[11]Диспан.набл.взрослых Пр.3-23'!I25+'[11]Уточнение Пр.9-23'!I25</f>
        <v>0</v>
      </c>
      <c r="J25" s="714">
        <f>'[11]Диспан.набл.взрослых Пр.3-23'!J25+'[11]Уточнение Пр.9-23'!J25</f>
        <v>0</v>
      </c>
      <c r="K25" s="714">
        <f>'[11]Диспан.набл.взрослых Пр.3-23'!K25+'[11]Уточнение Пр.9-23'!K25</f>
        <v>0</v>
      </c>
      <c r="L25" s="714">
        <f>'[11]Диспан.набл.взрослых Пр.3-23'!L25+'[11]Уточнение Пр.9-23'!L25</f>
        <v>0</v>
      </c>
      <c r="M25" s="714">
        <f>'[11]Диспан.набл.взрослых Пр.3-23'!M25+'[11]Уточнение Пр.9-23'!M25</f>
        <v>0</v>
      </c>
      <c r="N25" s="714">
        <f>'[11]Диспан.набл.взрослых Пр.3-23'!N25+'[11]Уточнение Пр.9-23'!N25</f>
        <v>0</v>
      </c>
      <c r="O25" s="714">
        <f>'[11]Диспан.набл.взрослых Пр.3-23'!O25+'[11]Уточнение Пр.9-23'!O25</f>
        <v>0</v>
      </c>
      <c r="P25" s="714">
        <f>'[11]Диспан.набл.взрослых Пр.3-23'!P25+'[11]Уточнение Пр.9-23'!P25</f>
        <v>0</v>
      </c>
      <c r="Q25" s="714">
        <f>'[11]Диспан.набл.взрослых Пр.3-23'!Q25+'[11]Уточнение Пр.9-23'!Q25</f>
        <v>0</v>
      </c>
      <c r="R25" s="714">
        <f>'[11]Диспан.набл.взрослых Пр.3-23'!R25+'[11]Уточнение Пр.9-23'!R25</f>
        <v>0</v>
      </c>
    </row>
    <row r="26" spans="1:18" x14ac:dyDescent="0.25">
      <c r="A26" s="711">
        <v>15</v>
      </c>
      <c r="B26" s="716" t="s">
        <v>44</v>
      </c>
      <c r="C26" s="653" t="s">
        <v>45</v>
      </c>
      <c r="D26" s="714">
        <f t="shared" si="1"/>
        <v>6357</v>
      </c>
      <c r="E26" s="714">
        <f>'[11]Диспан.набл.взрослых Пр.3-23'!E26+'[11]Уточнение Пр.9-23'!E26</f>
        <v>5931</v>
      </c>
      <c r="F26" s="714">
        <f>'[11]Диспан.набл.взрослых Пр.3-23'!F26+'[11]Уточнение Пр.9-23'!F26</f>
        <v>294</v>
      </c>
      <c r="G26" s="714">
        <f>'[11]Диспан.набл.взрослых Пр.3-23'!G26+'[11]Уточнение Пр.9-23'!G26</f>
        <v>74</v>
      </c>
      <c r="H26" s="714">
        <f>'[11]Диспан.набл.взрослых Пр.3-23'!H26+'[11]Уточнение Пр.9-23'!H26</f>
        <v>4</v>
      </c>
      <c r="I26" s="714">
        <f>'[11]Диспан.набл.взрослых Пр.3-23'!I26+'[11]Уточнение Пр.9-23'!I26</f>
        <v>0</v>
      </c>
      <c r="J26" s="714">
        <f>'[11]Диспан.набл.взрослых Пр.3-23'!J26+'[11]Уточнение Пр.9-23'!J26</f>
        <v>0</v>
      </c>
      <c r="K26" s="714">
        <f>'[11]Диспан.набл.взрослых Пр.3-23'!K26+'[11]Уточнение Пр.9-23'!K26</f>
        <v>0</v>
      </c>
      <c r="L26" s="714">
        <f>'[11]Диспан.набл.взрослых Пр.3-23'!L26+'[11]Уточнение Пр.9-23'!L26</f>
        <v>0</v>
      </c>
      <c r="M26" s="714">
        <f>'[11]Диспан.набл.взрослых Пр.3-23'!M26+'[11]Уточнение Пр.9-23'!M26</f>
        <v>1</v>
      </c>
      <c r="N26" s="714">
        <f>'[11]Диспан.набл.взрослых Пр.3-23'!N26+'[11]Уточнение Пр.9-23'!N26</f>
        <v>18</v>
      </c>
      <c r="O26" s="714">
        <f>'[11]Диспан.набл.взрослых Пр.3-23'!O26+'[11]Уточнение Пр.9-23'!O26</f>
        <v>1</v>
      </c>
      <c r="P26" s="714">
        <f>'[11]Диспан.набл.взрослых Пр.3-23'!P26+'[11]Уточнение Пр.9-23'!P26</f>
        <v>0</v>
      </c>
      <c r="Q26" s="714">
        <f>'[11]Диспан.набл.взрослых Пр.3-23'!Q26+'[11]Уточнение Пр.9-23'!Q26</f>
        <v>20</v>
      </c>
      <c r="R26" s="714">
        <f>'[11]Диспан.набл.взрослых Пр.3-23'!R26+'[11]Уточнение Пр.9-23'!R26</f>
        <v>14</v>
      </c>
    </row>
    <row r="27" spans="1:18" x14ac:dyDescent="0.25">
      <c r="A27" s="711">
        <v>16</v>
      </c>
      <c r="B27" s="716" t="s">
        <v>46</v>
      </c>
      <c r="C27" s="653" t="s">
        <v>47</v>
      </c>
      <c r="D27" s="714">
        <f t="shared" si="1"/>
        <v>6446</v>
      </c>
      <c r="E27" s="714">
        <f>'[11]Диспан.набл.взрослых Пр.3-23'!E27+'[11]Уточнение Пр.9-23'!E27</f>
        <v>5331</v>
      </c>
      <c r="F27" s="714">
        <f>'[11]Диспан.набл.взрослых Пр.3-23'!F27+'[11]Уточнение Пр.9-23'!F27</f>
        <v>757</v>
      </c>
      <c r="G27" s="714">
        <f>'[11]Диспан.набл.взрослых Пр.3-23'!G27+'[11]Уточнение Пр.9-23'!G27</f>
        <v>167</v>
      </c>
      <c r="H27" s="714">
        <f>'[11]Диспан.набл.взрослых Пр.3-23'!H27+'[11]Уточнение Пр.9-23'!H27</f>
        <v>94</v>
      </c>
      <c r="I27" s="714">
        <f>'[11]Диспан.набл.взрослых Пр.3-23'!I27+'[11]Уточнение Пр.9-23'!I27</f>
        <v>0</v>
      </c>
      <c r="J27" s="714">
        <f>'[11]Диспан.набл.взрослых Пр.3-23'!J27+'[11]Уточнение Пр.9-23'!J27</f>
        <v>0</v>
      </c>
      <c r="K27" s="714">
        <f>'[11]Диспан.набл.взрослых Пр.3-23'!K27+'[11]Уточнение Пр.9-23'!K27</f>
        <v>0</v>
      </c>
      <c r="L27" s="714">
        <f>'[11]Диспан.набл.взрослых Пр.3-23'!L27+'[11]Уточнение Пр.9-23'!L27</f>
        <v>0</v>
      </c>
      <c r="M27" s="714">
        <f>'[11]Диспан.набл.взрослых Пр.3-23'!M27+'[11]Уточнение Пр.9-23'!M27</f>
        <v>2</v>
      </c>
      <c r="N27" s="714">
        <f>'[11]Диспан.набл.взрослых Пр.3-23'!N27+'[11]Уточнение Пр.9-23'!N27</f>
        <v>83</v>
      </c>
      <c r="O27" s="714">
        <f>'[11]Диспан.набл.взрослых Пр.3-23'!O27+'[11]Уточнение Пр.9-23'!O27</f>
        <v>0</v>
      </c>
      <c r="P27" s="714">
        <f>'[11]Диспан.набл.взрослых Пр.3-23'!P27+'[11]Уточнение Пр.9-23'!P27</f>
        <v>1</v>
      </c>
      <c r="Q27" s="714">
        <f>'[11]Диспан.набл.взрослых Пр.3-23'!Q27+'[11]Уточнение Пр.9-23'!Q27</f>
        <v>9</v>
      </c>
      <c r="R27" s="714">
        <f>'[11]Диспан.набл.взрослых Пр.3-23'!R27+'[11]Уточнение Пр.9-23'!R27</f>
        <v>2</v>
      </c>
    </row>
    <row r="28" spans="1:18" x14ac:dyDescent="0.25">
      <c r="A28" s="711">
        <v>17</v>
      </c>
      <c r="B28" s="716" t="s">
        <v>48</v>
      </c>
      <c r="C28" s="653" t="s">
        <v>49</v>
      </c>
      <c r="D28" s="714">
        <f t="shared" si="1"/>
        <v>7622</v>
      </c>
      <c r="E28" s="714">
        <f>'[11]Диспан.набл.взрослых Пр.3-23'!E28+'[11]Уточнение Пр.9-23'!E28</f>
        <v>6903</v>
      </c>
      <c r="F28" s="714">
        <f>'[11]Диспан.набл.взрослых Пр.3-23'!F28+'[11]Уточнение Пр.9-23'!F28</f>
        <v>380</v>
      </c>
      <c r="G28" s="714">
        <f>'[11]Диспан.набл.взрослых Пр.3-23'!G28+'[11]Уточнение Пр.9-23'!G28</f>
        <v>179</v>
      </c>
      <c r="H28" s="714">
        <f>'[11]Диспан.набл.взрослых Пр.3-23'!H28+'[11]Уточнение Пр.9-23'!H28</f>
        <v>22</v>
      </c>
      <c r="I28" s="714">
        <f>'[11]Диспан.набл.взрослых Пр.3-23'!I28+'[11]Уточнение Пр.9-23'!I28</f>
        <v>0</v>
      </c>
      <c r="J28" s="714">
        <f>'[11]Диспан.набл.взрослых Пр.3-23'!J28+'[11]Уточнение Пр.9-23'!J28</f>
        <v>0</v>
      </c>
      <c r="K28" s="714">
        <f>'[11]Диспан.набл.взрослых Пр.3-23'!K28+'[11]Уточнение Пр.9-23'!K28</f>
        <v>0</v>
      </c>
      <c r="L28" s="714">
        <f>'[11]Диспан.набл.взрослых Пр.3-23'!L28+'[11]Уточнение Пр.9-23'!L28</f>
        <v>1</v>
      </c>
      <c r="M28" s="714">
        <f>'[11]Диспан.набл.взрослых Пр.3-23'!M28+'[11]Уточнение Пр.9-23'!M28</f>
        <v>1</v>
      </c>
      <c r="N28" s="714">
        <f>'[11]Диспан.набл.взрослых Пр.3-23'!N28+'[11]Уточнение Пр.9-23'!N28</f>
        <v>4</v>
      </c>
      <c r="O28" s="714">
        <f>'[11]Диспан.набл.взрослых Пр.3-23'!O28+'[11]Уточнение Пр.9-23'!O28</f>
        <v>0</v>
      </c>
      <c r="P28" s="714">
        <f>'[11]Диспан.набл.взрослых Пр.3-23'!P28+'[11]Уточнение Пр.9-23'!P28</f>
        <v>0</v>
      </c>
      <c r="Q28" s="714">
        <f>'[11]Диспан.набл.взрослых Пр.3-23'!Q28+'[11]Уточнение Пр.9-23'!Q28</f>
        <v>129</v>
      </c>
      <c r="R28" s="714">
        <f>'[11]Диспан.набл.взрослых Пр.3-23'!R28+'[11]Уточнение Пр.9-23'!R28</f>
        <v>3</v>
      </c>
    </row>
    <row r="29" spans="1:18" x14ac:dyDescent="0.25">
      <c r="A29" s="711">
        <v>18</v>
      </c>
      <c r="B29" s="716" t="s">
        <v>50</v>
      </c>
      <c r="C29" s="653" t="s">
        <v>51</v>
      </c>
      <c r="D29" s="714">
        <f t="shared" si="1"/>
        <v>13025</v>
      </c>
      <c r="E29" s="714">
        <f>'[11]Диспан.набл.взрослых Пр.3-23'!E29+'[11]Уточнение Пр.9-23'!E29</f>
        <v>12799</v>
      </c>
      <c r="F29" s="714">
        <f>'[11]Диспан.набл.взрослых Пр.3-23'!F29+'[11]Уточнение Пр.9-23'!F29</f>
        <v>41</v>
      </c>
      <c r="G29" s="714">
        <f>'[11]Диспан.набл.взрослых Пр.3-23'!G29+'[11]Уточнение Пр.9-23'!G29</f>
        <v>50</v>
      </c>
      <c r="H29" s="714">
        <f>'[11]Диспан.набл.взрослых Пр.3-23'!H29+'[11]Уточнение Пр.9-23'!H29</f>
        <v>62</v>
      </c>
      <c r="I29" s="714">
        <f>'[11]Диспан.набл.взрослых Пр.3-23'!I29+'[11]Уточнение Пр.9-23'!I29</f>
        <v>0</v>
      </c>
      <c r="J29" s="714">
        <f>'[11]Диспан.набл.взрослых Пр.3-23'!J29+'[11]Уточнение Пр.9-23'!J29</f>
        <v>0</v>
      </c>
      <c r="K29" s="714">
        <f>'[11]Диспан.набл.взрослых Пр.3-23'!K29+'[11]Уточнение Пр.9-23'!K29</f>
        <v>1</v>
      </c>
      <c r="L29" s="714">
        <f>'[11]Диспан.набл.взрослых Пр.3-23'!L29+'[11]Уточнение Пр.9-23'!L29</f>
        <v>2</v>
      </c>
      <c r="M29" s="714">
        <f>'[11]Диспан.набл.взрослых Пр.3-23'!M29+'[11]Уточнение Пр.9-23'!M29</f>
        <v>0</v>
      </c>
      <c r="N29" s="714">
        <f>'[11]Диспан.набл.взрослых Пр.3-23'!N29+'[11]Уточнение Пр.9-23'!N29</f>
        <v>3</v>
      </c>
      <c r="O29" s="714">
        <f>'[11]Диспан.набл.взрослых Пр.3-23'!O29+'[11]Уточнение Пр.9-23'!O29</f>
        <v>3</v>
      </c>
      <c r="P29" s="714">
        <f>'[11]Диспан.набл.взрослых Пр.3-23'!P29+'[11]Уточнение Пр.9-23'!P29</f>
        <v>6</v>
      </c>
      <c r="Q29" s="714">
        <f>'[11]Диспан.набл.взрослых Пр.3-23'!Q29+'[11]Уточнение Пр.9-23'!Q29</f>
        <v>40</v>
      </c>
      <c r="R29" s="714">
        <f>'[11]Диспан.набл.взрослых Пр.3-23'!R29+'[11]Уточнение Пр.9-23'!R29</f>
        <v>18</v>
      </c>
    </row>
    <row r="30" spans="1:18" x14ac:dyDescent="0.25">
      <c r="A30" s="711">
        <v>19</v>
      </c>
      <c r="B30" s="712" t="s">
        <v>52</v>
      </c>
      <c r="C30" s="713" t="s">
        <v>53</v>
      </c>
      <c r="D30" s="714">
        <f t="shared" si="1"/>
        <v>3339</v>
      </c>
      <c r="E30" s="714">
        <f>'[11]Диспан.набл.взрослых Пр.3-23'!E30+'[11]Уточнение Пр.9-23'!E30</f>
        <v>3220</v>
      </c>
      <c r="F30" s="714">
        <f>'[11]Диспан.набл.взрослых Пр.3-23'!F30+'[11]Уточнение Пр.9-23'!F30</f>
        <v>0</v>
      </c>
      <c r="G30" s="714">
        <f>'[11]Диспан.набл.взрослых Пр.3-23'!G30+'[11]Уточнение Пр.9-23'!G30</f>
        <v>9</v>
      </c>
      <c r="H30" s="714">
        <f>'[11]Диспан.набл.взрослых Пр.3-23'!H30+'[11]Уточнение Пр.9-23'!H30</f>
        <v>0</v>
      </c>
      <c r="I30" s="714">
        <f>'[11]Диспан.набл.взрослых Пр.3-23'!I30+'[11]Уточнение Пр.9-23'!I30</f>
        <v>0</v>
      </c>
      <c r="J30" s="714">
        <f>'[11]Диспан.набл.взрослых Пр.3-23'!J30+'[11]Уточнение Пр.9-23'!J30</f>
        <v>0</v>
      </c>
      <c r="K30" s="714">
        <f>'[11]Диспан.набл.взрослых Пр.3-23'!K30+'[11]Уточнение Пр.9-23'!K30</f>
        <v>0</v>
      </c>
      <c r="L30" s="714">
        <f>'[11]Диспан.набл.взрослых Пр.3-23'!L30+'[11]Уточнение Пр.9-23'!L30</f>
        <v>5</v>
      </c>
      <c r="M30" s="714">
        <f>'[11]Диспан.набл.взрослых Пр.3-23'!M30+'[11]Уточнение Пр.9-23'!M30</f>
        <v>0</v>
      </c>
      <c r="N30" s="714">
        <f>'[11]Диспан.набл.взрослых Пр.3-23'!N30+'[11]Уточнение Пр.9-23'!N30</f>
        <v>14</v>
      </c>
      <c r="O30" s="714">
        <f>'[11]Диспан.набл.взрослых Пр.3-23'!O30+'[11]Уточнение Пр.9-23'!O30</f>
        <v>0</v>
      </c>
      <c r="P30" s="714">
        <f>'[11]Диспан.набл.взрослых Пр.3-23'!P30+'[11]Уточнение Пр.9-23'!P30</f>
        <v>0</v>
      </c>
      <c r="Q30" s="714">
        <f>'[11]Диспан.набл.взрослых Пр.3-23'!Q30+'[11]Уточнение Пр.9-23'!Q30</f>
        <v>91</v>
      </c>
      <c r="R30" s="714">
        <f>'[11]Диспан.набл.взрослых Пр.3-23'!R30+'[11]Уточнение Пр.9-23'!R30</f>
        <v>0</v>
      </c>
    </row>
    <row r="31" spans="1:18" x14ac:dyDescent="0.25">
      <c r="A31" s="711">
        <v>20</v>
      </c>
      <c r="B31" s="712" t="s">
        <v>54</v>
      </c>
      <c r="C31" s="713" t="s">
        <v>55</v>
      </c>
      <c r="D31" s="714">
        <f t="shared" si="1"/>
        <v>4550</v>
      </c>
      <c r="E31" s="714">
        <f>'[11]Диспан.набл.взрослых Пр.3-23'!E31+'[11]Уточнение Пр.9-23'!E31</f>
        <v>4406</v>
      </c>
      <c r="F31" s="714">
        <f>'[11]Диспан.набл.взрослых Пр.3-23'!F31+'[11]Уточнение Пр.9-23'!F31</f>
        <v>0</v>
      </c>
      <c r="G31" s="714">
        <f>'[11]Диспан.набл.взрослых Пр.3-23'!G31+'[11]Уточнение Пр.9-23'!G31</f>
        <v>93</v>
      </c>
      <c r="H31" s="714">
        <f>'[11]Диспан.набл.взрослых Пр.3-23'!H31+'[11]Уточнение Пр.9-23'!H31</f>
        <v>2</v>
      </c>
      <c r="I31" s="714">
        <f>'[11]Диспан.набл.взрослых Пр.3-23'!I31+'[11]Уточнение Пр.9-23'!I31</f>
        <v>0</v>
      </c>
      <c r="J31" s="714">
        <f>'[11]Диспан.набл.взрослых Пр.3-23'!J31+'[11]Уточнение Пр.9-23'!J31</f>
        <v>0</v>
      </c>
      <c r="K31" s="714">
        <f>'[11]Диспан.набл.взрослых Пр.3-23'!K31+'[11]Уточнение Пр.9-23'!K31</f>
        <v>0</v>
      </c>
      <c r="L31" s="714">
        <f>'[11]Диспан.набл.взрослых Пр.3-23'!L31+'[11]Уточнение Пр.9-23'!L31</f>
        <v>0</v>
      </c>
      <c r="M31" s="714">
        <f>'[11]Диспан.набл.взрослых Пр.3-23'!M31+'[11]Уточнение Пр.9-23'!M31</f>
        <v>0</v>
      </c>
      <c r="N31" s="714">
        <f>'[11]Диспан.набл.взрослых Пр.3-23'!N31+'[11]Уточнение Пр.9-23'!N31</f>
        <v>4</v>
      </c>
      <c r="O31" s="714">
        <f>'[11]Диспан.набл.взрослых Пр.3-23'!O31+'[11]Уточнение Пр.9-23'!O31</f>
        <v>0</v>
      </c>
      <c r="P31" s="714">
        <f>'[11]Диспан.набл.взрослых Пр.3-23'!P31+'[11]Уточнение Пр.9-23'!P31</f>
        <v>4</v>
      </c>
      <c r="Q31" s="714">
        <f>'[11]Диспан.набл.взрослых Пр.3-23'!Q31+'[11]Уточнение Пр.9-23'!Q31</f>
        <v>41</v>
      </c>
      <c r="R31" s="714">
        <f>'[11]Диспан.набл.взрослых Пр.3-23'!R31+'[11]Уточнение Пр.9-23'!R31</f>
        <v>0</v>
      </c>
    </row>
    <row r="32" spans="1:18" x14ac:dyDescent="0.25">
      <c r="A32" s="711">
        <v>21</v>
      </c>
      <c r="B32" s="712" t="s">
        <v>56</v>
      </c>
      <c r="C32" s="713" t="s">
        <v>57</v>
      </c>
      <c r="D32" s="714">
        <f t="shared" si="1"/>
        <v>17600</v>
      </c>
      <c r="E32" s="714">
        <f>'[11]Диспан.набл.взрослых Пр.3-23'!E32+'[11]Уточнение Пр.9-23'!E32</f>
        <v>16901</v>
      </c>
      <c r="F32" s="714">
        <f>'[11]Диспан.набл.взрослых Пр.3-23'!F32+'[11]Уточнение Пр.9-23'!F32</f>
        <v>525</v>
      </c>
      <c r="G32" s="714">
        <f>'[11]Диспан.набл.взрослых Пр.3-23'!G32+'[11]Уточнение Пр.9-23'!G32</f>
        <v>0</v>
      </c>
      <c r="H32" s="714">
        <f>'[11]Диспан.набл.взрослых Пр.3-23'!H32+'[11]Уточнение Пр.9-23'!H32</f>
        <v>40</v>
      </c>
      <c r="I32" s="714">
        <f>'[11]Диспан.набл.взрослых Пр.3-23'!I32+'[11]Уточнение Пр.9-23'!I32</f>
        <v>0</v>
      </c>
      <c r="J32" s="714">
        <f>'[11]Диспан.набл.взрослых Пр.3-23'!J32+'[11]Уточнение Пр.9-23'!J32</f>
        <v>0</v>
      </c>
      <c r="K32" s="714">
        <f>'[11]Диспан.набл.взрослых Пр.3-23'!K32+'[11]Уточнение Пр.9-23'!K32</f>
        <v>2</v>
      </c>
      <c r="L32" s="714">
        <f>'[11]Диспан.набл.взрослых Пр.3-23'!L32+'[11]Уточнение Пр.9-23'!L32</f>
        <v>0</v>
      </c>
      <c r="M32" s="714">
        <f>'[11]Диспан.набл.взрослых Пр.3-23'!M32+'[11]Уточнение Пр.9-23'!M32</f>
        <v>0</v>
      </c>
      <c r="N32" s="714">
        <f>'[11]Диспан.набл.взрослых Пр.3-23'!N32+'[11]Уточнение Пр.9-23'!N32</f>
        <v>35</v>
      </c>
      <c r="O32" s="714">
        <f>'[11]Диспан.набл.взрослых Пр.3-23'!O32+'[11]Уточнение Пр.9-23'!O32</f>
        <v>1</v>
      </c>
      <c r="P32" s="714">
        <f>'[11]Диспан.набл.взрослых Пр.3-23'!P32+'[11]Уточнение Пр.9-23'!P32</f>
        <v>1</v>
      </c>
      <c r="Q32" s="714">
        <f>'[11]Диспан.набл.взрослых Пр.3-23'!Q32+'[11]Уточнение Пр.9-23'!Q32</f>
        <v>86</v>
      </c>
      <c r="R32" s="714">
        <f>'[11]Диспан.набл.взрослых Пр.3-23'!R32+'[11]Уточнение Пр.9-23'!R32</f>
        <v>9</v>
      </c>
    </row>
    <row r="33" spans="1:18" x14ac:dyDescent="0.25">
      <c r="A33" s="711">
        <v>22</v>
      </c>
      <c r="B33" s="712" t="s">
        <v>58</v>
      </c>
      <c r="C33" s="713" t="s">
        <v>59</v>
      </c>
      <c r="D33" s="714">
        <f t="shared" si="1"/>
        <v>17702</v>
      </c>
      <c r="E33" s="714">
        <f>'[11]Диспан.набл.взрослых Пр.3-23'!E33+'[11]Уточнение Пр.9-23'!E33</f>
        <v>16049</v>
      </c>
      <c r="F33" s="714">
        <f>'[11]Диспан.набл.взрослых Пр.3-23'!F33+'[11]Уточнение Пр.9-23'!F33</f>
        <v>1481</v>
      </c>
      <c r="G33" s="714">
        <f>'[11]Диспан.набл.взрослых Пр.3-23'!G33+'[11]Уточнение Пр.9-23'!G33</f>
        <v>117</v>
      </c>
      <c r="H33" s="714">
        <f>'[11]Диспан.набл.взрослых Пр.3-23'!H33+'[11]Уточнение Пр.9-23'!H33</f>
        <v>24</v>
      </c>
      <c r="I33" s="714">
        <f>'[11]Диспан.набл.взрослых Пр.3-23'!I33+'[11]Уточнение Пр.9-23'!I33</f>
        <v>0</v>
      </c>
      <c r="J33" s="714">
        <f>'[11]Диспан.набл.взрослых Пр.3-23'!J33+'[11]Уточнение Пр.9-23'!J33</f>
        <v>0</v>
      </c>
      <c r="K33" s="714">
        <f>'[11]Диспан.набл.взрослых Пр.3-23'!K33+'[11]Уточнение Пр.9-23'!K33</f>
        <v>0</v>
      </c>
      <c r="L33" s="714">
        <f>'[11]Диспан.набл.взрослых Пр.3-23'!L33+'[11]Уточнение Пр.9-23'!L33</f>
        <v>0</v>
      </c>
      <c r="M33" s="714">
        <f>'[11]Диспан.набл.взрослых Пр.3-23'!M33+'[11]Уточнение Пр.9-23'!M33</f>
        <v>2</v>
      </c>
      <c r="N33" s="714">
        <f>'[11]Диспан.набл.взрослых Пр.3-23'!N33+'[11]Уточнение Пр.9-23'!N33</f>
        <v>1</v>
      </c>
      <c r="O33" s="714">
        <f>'[11]Диспан.набл.взрослых Пр.3-23'!O33+'[11]Уточнение Пр.9-23'!O33</f>
        <v>0</v>
      </c>
      <c r="P33" s="714">
        <f>'[11]Диспан.набл.взрослых Пр.3-23'!P33+'[11]Уточнение Пр.9-23'!P33</f>
        <v>5</v>
      </c>
      <c r="Q33" s="714">
        <f>'[11]Диспан.набл.взрослых Пр.3-23'!Q33+'[11]Уточнение Пр.9-23'!Q33</f>
        <v>22</v>
      </c>
      <c r="R33" s="714">
        <f>'[11]Диспан.набл.взрослых Пр.3-23'!R33+'[11]Уточнение Пр.9-23'!R33</f>
        <v>1</v>
      </c>
    </row>
    <row r="34" spans="1:18" x14ac:dyDescent="0.25">
      <c r="A34" s="711">
        <v>23</v>
      </c>
      <c r="B34" s="716" t="s">
        <v>60</v>
      </c>
      <c r="C34" s="653" t="s">
        <v>61</v>
      </c>
      <c r="D34" s="714">
        <f t="shared" si="1"/>
        <v>2092</v>
      </c>
      <c r="E34" s="714">
        <f>'[11]Диспан.набл.взрослых Пр.3-23'!E34+'[11]Уточнение Пр.9-23'!E34</f>
        <v>1984</v>
      </c>
      <c r="F34" s="714">
        <f>'[11]Диспан.набл.взрослых Пр.3-23'!F34+'[11]Уточнение Пр.9-23'!F34</f>
        <v>0</v>
      </c>
      <c r="G34" s="714">
        <f>'[11]Диспан.набл.взрослых Пр.3-23'!G34+'[11]Уточнение Пр.9-23'!G34</f>
        <v>45</v>
      </c>
      <c r="H34" s="714">
        <f>'[11]Диспан.набл.взрослых Пр.3-23'!H34+'[11]Уточнение Пр.9-23'!H34</f>
        <v>32</v>
      </c>
      <c r="I34" s="714">
        <f>'[11]Диспан.набл.взрослых Пр.3-23'!I34+'[11]Уточнение Пр.9-23'!I34</f>
        <v>0</v>
      </c>
      <c r="J34" s="714">
        <f>'[11]Диспан.набл.взрослых Пр.3-23'!J34+'[11]Уточнение Пр.9-23'!J34</f>
        <v>1</v>
      </c>
      <c r="K34" s="714">
        <f>'[11]Диспан.набл.взрослых Пр.3-23'!K34+'[11]Уточнение Пр.9-23'!K34</f>
        <v>0</v>
      </c>
      <c r="L34" s="714">
        <f>'[11]Диспан.набл.взрослых Пр.3-23'!L34+'[11]Уточнение Пр.9-23'!L34</f>
        <v>0</v>
      </c>
      <c r="M34" s="714">
        <f>'[11]Диспан.набл.взрослых Пр.3-23'!M34+'[11]Уточнение Пр.9-23'!M34</f>
        <v>4</v>
      </c>
      <c r="N34" s="714">
        <f>'[11]Диспан.набл.взрослых Пр.3-23'!N34+'[11]Уточнение Пр.9-23'!N34</f>
        <v>13</v>
      </c>
      <c r="O34" s="714">
        <f>'[11]Диспан.набл.взрослых Пр.3-23'!O34+'[11]Уточнение Пр.9-23'!O34</f>
        <v>4</v>
      </c>
      <c r="P34" s="714">
        <f>'[11]Диспан.набл.взрослых Пр.3-23'!P34+'[11]Уточнение Пр.9-23'!P34</f>
        <v>0</v>
      </c>
      <c r="Q34" s="714">
        <f>'[11]Диспан.набл.взрослых Пр.3-23'!Q34+'[11]Уточнение Пр.9-23'!Q34</f>
        <v>9</v>
      </c>
      <c r="R34" s="714">
        <f>'[11]Диспан.набл.взрослых Пр.3-23'!R34+'[11]Уточнение Пр.9-23'!R34</f>
        <v>0</v>
      </c>
    </row>
    <row r="35" spans="1:18" x14ac:dyDescent="0.25">
      <c r="A35" s="711">
        <v>24</v>
      </c>
      <c r="B35" s="716" t="s">
        <v>62</v>
      </c>
      <c r="C35" s="653" t="s">
        <v>63</v>
      </c>
      <c r="D35" s="714">
        <f t="shared" si="1"/>
        <v>0</v>
      </c>
      <c r="E35" s="714">
        <f>'[11]Диспан.набл.взрослых Пр.3-23'!E35+'[11]Уточнение Пр.9-23'!E35</f>
        <v>0</v>
      </c>
      <c r="F35" s="714">
        <f>'[11]Диспан.набл.взрослых Пр.3-23'!F35+'[11]Уточнение Пр.9-23'!F35</f>
        <v>0</v>
      </c>
      <c r="G35" s="714">
        <f>'[11]Диспан.набл.взрослых Пр.3-23'!G35+'[11]Уточнение Пр.9-23'!G35</f>
        <v>0</v>
      </c>
      <c r="H35" s="714">
        <f>'[11]Диспан.набл.взрослых Пр.3-23'!H35+'[11]Уточнение Пр.9-23'!H35</f>
        <v>0</v>
      </c>
      <c r="I35" s="714">
        <f>'[11]Диспан.набл.взрослых Пр.3-23'!I35+'[11]Уточнение Пр.9-23'!I35</f>
        <v>0</v>
      </c>
      <c r="J35" s="714">
        <f>'[11]Диспан.набл.взрослых Пр.3-23'!J35+'[11]Уточнение Пр.9-23'!J35</f>
        <v>0</v>
      </c>
      <c r="K35" s="714">
        <f>'[11]Диспан.набл.взрослых Пр.3-23'!K35+'[11]Уточнение Пр.9-23'!K35</f>
        <v>0</v>
      </c>
      <c r="L35" s="714">
        <f>'[11]Диспан.набл.взрослых Пр.3-23'!L35+'[11]Уточнение Пр.9-23'!L35</f>
        <v>0</v>
      </c>
      <c r="M35" s="714">
        <f>'[11]Диспан.набл.взрослых Пр.3-23'!M35+'[11]Уточнение Пр.9-23'!M35</f>
        <v>0</v>
      </c>
      <c r="N35" s="714">
        <f>'[11]Диспан.набл.взрослых Пр.3-23'!N35+'[11]Уточнение Пр.9-23'!N35</f>
        <v>0</v>
      </c>
      <c r="O35" s="714">
        <f>'[11]Диспан.набл.взрослых Пр.3-23'!O35+'[11]Уточнение Пр.9-23'!O35</f>
        <v>0</v>
      </c>
      <c r="P35" s="714">
        <f>'[11]Диспан.набл.взрослых Пр.3-23'!P35+'[11]Уточнение Пр.9-23'!P35</f>
        <v>0</v>
      </c>
      <c r="Q35" s="714">
        <f>'[11]Диспан.набл.взрослых Пр.3-23'!Q35+'[11]Уточнение Пр.9-23'!Q35</f>
        <v>0</v>
      </c>
      <c r="R35" s="714">
        <f>'[11]Диспан.набл.взрослых Пр.3-23'!R35+'[11]Уточнение Пр.9-23'!R35</f>
        <v>0</v>
      </c>
    </row>
    <row r="36" spans="1:18" ht="24" x14ac:dyDescent="0.25">
      <c r="A36" s="711">
        <v>25</v>
      </c>
      <c r="B36" s="716" t="s">
        <v>64</v>
      </c>
      <c r="C36" s="653" t="s">
        <v>65</v>
      </c>
      <c r="D36" s="714">
        <f t="shared" si="1"/>
        <v>0</v>
      </c>
      <c r="E36" s="714">
        <f>'[11]Диспан.набл.взрослых Пр.3-23'!E36+'[11]Уточнение Пр.9-23'!E36</f>
        <v>0</v>
      </c>
      <c r="F36" s="714">
        <f>'[11]Диспан.набл.взрослых Пр.3-23'!F36+'[11]Уточнение Пр.9-23'!F36</f>
        <v>0</v>
      </c>
      <c r="G36" s="714">
        <f>'[11]Диспан.набл.взрослых Пр.3-23'!G36+'[11]Уточнение Пр.9-23'!G36</f>
        <v>0</v>
      </c>
      <c r="H36" s="714">
        <f>'[11]Диспан.набл.взрослых Пр.3-23'!H36+'[11]Уточнение Пр.9-23'!H36</f>
        <v>0</v>
      </c>
      <c r="I36" s="714">
        <f>'[11]Диспан.набл.взрослых Пр.3-23'!I36+'[11]Уточнение Пр.9-23'!I36</f>
        <v>0</v>
      </c>
      <c r="J36" s="714">
        <f>'[11]Диспан.набл.взрослых Пр.3-23'!J36+'[11]Уточнение Пр.9-23'!J36</f>
        <v>0</v>
      </c>
      <c r="K36" s="714">
        <f>'[11]Диспан.набл.взрослых Пр.3-23'!K36+'[11]Уточнение Пр.9-23'!K36</f>
        <v>0</v>
      </c>
      <c r="L36" s="714">
        <f>'[11]Диспан.набл.взрослых Пр.3-23'!L36+'[11]Уточнение Пр.9-23'!L36</f>
        <v>0</v>
      </c>
      <c r="M36" s="714">
        <f>'[11]Диспан.набл.взрослых Пр.3-23'!M36+'[11]Уточнение Пр.9-23'!M36</f>
        <v>0</v>
      </c>
      <c r="N36" s="714">
        <f>'[11]Диспан.набл.взрослых Пр.3-23'!N36+'[11]Уточнение Пр.9-23'!N36</f>
        <v>0</v>
      </c>
      <c r="O36" s="714">
        <f>'[11]Диспан.набл.взрослых Пр.3-23'!O36+'[11]Уточнение Пр.9-23'!O36</f>
        <v>0</v>
      </c>
      <c r="P36" s="714">
        <f>'[11]Диспан.набл.взрослых Пр.3-23'!P36+'[11]Уточнение Пр.9-23'!P36</f>
        <v>0</v>
      </c>
      <c r="Q36" s="714">
        <f>'[11]Диспан.набл.взрослых Пр.3-23'!Q36+'[11]Уточнение Пр.9-23'!Q36</f>
        <v>0</v>
      </c>
      <c r="R36" s="714">
        <f>'[11]Диспан.набл.взрослых Пр.3-23'!R36+'[11]Уточнение Пр.9-23'!R36</f>
        <v>0</v>
      </c>
    </row>
    <row r="37" spans="1:18" x14ac:dyDescent="0.25">
      <c r="A37" s="711">
        <v>26</v>
      </c>
      <c r="B37" s="712" t="s">
        <v>66</v>
      </c>
      <c r="C37" s="1" t="s">
        <v>67</v>
      </c>
      <c r="D37" s="714">
        <f t="shared" si="1"/>
        <v>43837</v>
      </c>
      <c r="E37" s="714">
        <f>'[11]Диспан.набл.взрослых Пр.9-23'!E37+'[11]Уточнение Пр.11-23'!E37</f>
        <v>39091</v>
      </c>
      <c r="F37" s="714">
        <f>'[11]Диспан.набл.взрослых Пр.9-23'!F37+'[11]Уточнение Пр.11-23'!F37</f>
        <v>2465</v>
      </c>
      <c r="G37" s="714">
        <f>'[11]Диспан.набл.взрослых Пр.9-23'!G37+'[11]Уточнение Пр.11-23'!G37</f>
        <v>975</v>
      </c>
      <c r="H37" s="714">
        <f>'[11]Диспан.набл.взрослых Пр.9-23'!H37+'[11]Уточнение Пр.11-23'!H37</f>
        <v>1145</v>
      </c>
      <c r="I37" s="714">
        <f>'[11]Диспан.набл.взрослых Пр.9-23'!I37+'[11]Уточнение Пр.11-23'!I37</f>
        <v>0</v>
      </c>
      <c r="J37" s="714">
        <f>'[11]Диспан.набл.взрослых Пр.9-23'!J37+'[11]Уточнение Пр.11-23'!J37</f>
        <v>1</v>
      </c>
      <c r="K37" s="714">
        <f>'[11]Диспан.набл.взрослых Пр.9-23'!K37+'[11]Уточнение Пр.11-23'!K37</f>
        <v>4</v>
      </c>
      <c r="L37" s="714">
        <f>'[11]Диспан.набл.взрослых Пр.9-23'!L37+'[11]Уточнение Пр.11-23'!L37</f>
        <v>17</v>
      </c>
      <c r="M37" s="714">
        <f>'[11]Диспан.набл.взрослых Пр.9-23'!M37+'[11]Уточнение Пр.11-23'!M37</f>
        <v>4</v>
      </c>
      <c r="N37" s="714">
        <f>'[11]Диспан.набл.взрослых Пр.9-23'!N37+'[11]Уточнение Пр.11-23'!N37</f>
        <v>36</v>
      </c>
      <c r="O37" s="714">
        <f>'[11]Диспан.набл.взрослых Пр.9-23'!O37+'[11]Уточнение Пр.11-23'!O37</f>
        <v>6</v>
      </c>
      <c r="P37" s="714">
        <f>'[11]Диспан.набл.взрослых Пр.9-23'!P37+'[11]Уточнение Пр.11-23'!P37</f>
        <v>5</v>
      </c>
      <c r="Q37" s="714">
        <f>'[11]Диспан.набл.взрослых Пр.9-23'!Q37+'[11]Уточнение Пр.11-23'!Q37</f>
        <v>8</v>
      </c>
      <c r="R37" s="714">
        <f>'[11]Диспан.набл.взрослых Пр.9-23'!R37+'[11]Уточнение Пр.11-23'!R37</f>
        <v>80</v>
      </c>
    </row>
    <row r="38" spans="1:18" x14ac:dyDescent="0.25">
      <c r="A38" s="711">
        <v>27</v>
      </c>
      <c r="B38" s="716" t="s">
        <v>68</v>
      </c>
      <c r="C38" s="653" t="s">
        <v>69</v>
      </c>
      <c r="D38" s="714">
        <f t="shared" si="1"/>
        <v>11602</v>
      </c>
      <c r="E38" s="714">
        <f>'[11]Диспан.набл.взрослых Пр.9-23'!E38+'[11]Уточнение Пр.11-23'!E38</f>
        <v>10821</v>
      </c>
      <c r="F38" s="714">
        <f>'[11]Диспан.набл.взрослых Пр.9-23'!F38+'[11]Уточнение Пр.11-23'!F38</f>
        <v>458</v>
      </c>
      <c r="G38" s="714">
        <f>'[11]Диспан.набл.взрослых Пр.9-23'!G38+'[11]Уточнение Пр.11-23'!G38</f>
        <v>0</v>
      </c>
      <c r="H38" s="714">
        <f>'[11]Диспан.набл.взрослых Пр.9-23'!H38+'[11]Уточнение Пр.11-23'!H38</f>
        <v>185</v>
      </c>
      <c r="I38" s="714">
        <f>'[11]Диспан.набл.взрослых Пр.9-23'!I38+'[11]Уточнение Пр.11-23'!I38</f>
        <v>0</v>
      </c>
      <c r="J38" s="714">
        <f>'[11]Диспан.набл.взрослых Пр.9-23'!J38+'[11]Уточнение Пр.11-23'!J38</f>
        <v>0</v>
      </c>
      <c r="K38" s="714">
        <f>'[11]Диспан.набл.взрослых Пр.9-23'!K38+'[11]Уточнение Пр.11-23'!K38</f>
        <v>13</v>
      </c>
      <c r="L38" s="714">
        <f>'[11]Диспан.набл.взрослых Пр.9-23'!L38+'[11]Уточнение Пр.11-23'!L38</f>
        <v>0</v>
      </c>
      <c r="M38" s="714">
        <f>'[11]Диспан.набл.взрослых Пр.9-23'!M38+'[11]Уточнение Пр.11-23'!M38</f>
        <v>3</v>
      </c>
      <c r="N38" s="714">
        <f>'[11]Диспан.набл.взрослых Пр.9-23'!N38+'[11]Уточнение Пр.11-23'!N38</f>
        <v>63</v>
      </c>
      <c r="O38" s="714">
        <f>'[11]Диспан.набл.взрослых Пр.9-23'!O38+'[11]Уточнение Пр.11-23'!O38</f>
        <v>0</v>
      </c>
      <c r="P38" s="714">
        <f>'[11]Диспан.набл.взрослых Пр.9-23'!P38+'[11]Уточнение Пр.11-23'!P38</f>
        <v>1</v>
      </c>
      <c r="Q38" s="714">
        <f>'[11]Диспан.набл.взрослых Пр.9-23'!Q38+'[11]Уточнение Пр.11-23'!Q38</f>
        <v>13</v>
      </c>
      <c r="R38" s="714">
        <f>'[11]Диспан.набл.взрослых Пр.9-23'!R38+'[11]Уточнение Пр.11-23'!R38</f>
        <v>45</v>
      </c>
    </row>
    <row r="39" spans="1:18" x14ac:dyDescent="0.25">
      <c r="A39" s="711">
        <v>28</v>
      </c>
      <c r="B39" s="716" t="s">
        <v>70</v>
      </c>
      <c r="C39" s="653" t="s">
        <v>71</v>
      </c>
      <c r="D39" s="714">
        <f t="shared" si="1"/>
        <v>0</v>
      </c>
      <c r="E39" s="714">
        <f>'[11]Диспан.набл.взрослых Пр.3-23'!E39+'[11]Уточнение Пр.9-23'!E39</f>
        <v>0</v>
      </c>
      <c r="F39" s="714">
        <f>'[11]Диспан.набл.взрослых Пр.3-23'!F39+'[11]Уточнение Пр.9-23'!F39</f>
        <v>0</v>
      </c>
      <c r="G39" s="714">
        <f>'[11]Диспан.набл.взрослых Пр.3-23'!G39+'[11]Уточнение Пр.9-23'!G39</f>
        <v>0</v>
      </c>
      <c r="H39" s="714">
        <f>'[11]Диспан.набл.взрослых Пр.3-23'!H39+'[11]Уточнение Пр.9-23'!H39</f>
        <v>0</v>
      </c>
      <c r="I39" s="714">
        <f>'[11]Диспан.набл.взрослых Пр.3-23'!I39+'[11]Уточнение Пр.9-23'!I39</f>
        <v>0</v>
      </c>
      <c r="J39" s="714">
        <f>'[11]Диспан.набл.взрослых Пр.3-23'!J39+'[11]Уточнение Пр.9-23'!J39</f>
        <v>0</v>
      </c>
      <c r="K39" s="714">
        <f>'[11]Диспан.набл.взрослых Пр.3-23'!K39+'[11]Уточнение Пр.9-23'!K39</f>
        <v>0</v>
      </c>
      <c r="L39" s="714">
        <f>'[11]Диспан.набл.взрослых Пр.3-23'!L39+'[11]Уточнение Пр.9-23'!L39</f>
        <v>0</v>
      </c>
      <c r="M39" s="714">
        <f>'[11]Диспан.набл.взрослых Пр.3-23'!M39+'[11]Уточнение Пр.9-23'!M39</f>
        <v>0</v>
      </c>
      <c r="N39" s="714">
        <f>'[11]Диспан.набл.взрослых Пр.3-23'!N39+'[11]Уточнение Пр.9-23'!N39</f>
        <v>0</v>
      </c>
      <c r="O39" s="714">
        <f>'[11]Диспан.набл.взрослых Пр.3-23'!O39+'[11]Уточнение Пр.9-23'!O39</f>
        <v>0</v>
      </c>
      <c r="P39" s="714">
        <f>'[11]Диспан.набл.взрослых Пр.3-23'!P39+'[11]Уточнение Пр.9-23'!P39</f>
        <v>0</v>
      </c>
      <c r="Q39" s="714">
        <f>'[11]Диспан.набл.взрослых Пр.3-23'!Q39+'[11]Уточнение Пр.9-23'!Q39</f>
        <v>0</v>
      </c>
      <c r="R39" s="714">
        <f>'[11]Диспан.набл.взрослых Пр.3-23'!R39+'[11]Уточнение Пр.9-23'!R39</f>
        <v>0</v>
      </c>
    </row>
    <row r="40" spans="1:18" x14ac:dyDescent="0.25">
      <c r="A40" s="711">
        <v>29</v>
      </c>
      <c r="B40" s="715" t="s">
        <v>72</v>
      </c>
      <c r="C40" s="1" t="s">
        <v>73</v>
      </c>
      <c r="D40" s="714">
        <f t="shared" si="1"/>
        <v>0</v>
      </c>
      <c r="E40" s="714">
        <f>'[11]Диспан.набл.взрослых Пр.3-23'!E40+'[11]Уточнение Пр.9-23'!E40</f>
        <v>0</v>
      </c>
      <c r="F40" s="714">
        <f>'[11]Диспан.набл.взрослых Пр.3-23'!F40+'[11]Уточнение Пр.9-23'!F40</f>
        <v>0</v>
      </c>
      <c r="G40" s="714">
        <f>'[11]Диспан.набл.взрослых Пр.3-23'!G40+'[11]Уточнение Пр.9-23'!G40</f>
        <v>0</v>
      </c>
      <c r="H40" s="714">
        <f>'[11]Диспан.набл.взрослых Пр.3-23'!H40+'[11]Уточнение Пр.9-23'!H40</f>
        <v>0</v>
      </c>
      <c r="I40" s="714">
        <f>'[11]Диспан.набл.взрослых Пр.3-23'!I40+'[11]Уточнение Пр.9-23'!I40</f>
        <v>0</v>
      </c>
      <c r="J40" s="714">
        <f>'[11]Диспан.набл.взрослых Пр.3-23'!J40+'[11]Уточнение Пр.9-23'!J40</f>
        <v>0</v>
      </c>
      <c r="K40" s="714">
        <f>'[11]Диспан.набл.взрослых Пр.3-23'!K40+'[11]Уточнение Пр.9-23'!K40</f>
        <v>0</v>
      </c>
      <c r="L40" s="714">
        <f>'[11]Диспан.набл.взрослых Пр.3-23'!L40+'[11]Уточнение Пр.9-23'!L40</f>
        <v>0</v>
      </c>
      <c r="M40" s="714">
        <f>'[11]Диспан.набл.взрослых Пр.3-23'!M40+'[11]Уточнение Пр.9-23'!M40</f>
        <v>0</v>
      </c>
      <c r="N40" s="714">
        <f>'[11]Диспан.набл.взрослых Пр.3-23'!N40+'[11]Уточнение Пр.9-23'!N40</f>
        <v>0</v>
      </c>
      <c r="O40" s="714">
        <f>'[11]Диспан.набл.взрослых Пр.3-23'!O40+'[11]Уточнение Пр.9-23'!O40</f>
        <v>0</v>
      </c>
      <c r="P40" s="714">
        <f>'[11]Диспан.набл.взрослых Пр.3-23'!P40+'[11]Уточнение Пр.9-23'!P40</f>
        <v>0</v>
      </c>
      <c r="Q40" s="714">
        <f>'[11]Диспан.набл.взрослых Пр.3-23'!Q40+'[11]Уточнение Пр.9-23'!Q40</f>
        <v>0</v>
      </c>
      <c r="R40" s="714">
        <f>'[11]Диспан.набл.взрослых Пр.3-23'!R40+'[11]Уточнение Пр.9-23'!R40</f>
        <v>0</v>
      </c>
    </row>
    <row r="41" spans="1:18" ht="24" x14ac:dyDescent="0.25">
      <c r="A41" s="711">
        <v>30</v>
      </c>
      <c r="B41" s="712" t="s">
        <v>74</v>
      </c>
      <c r="C41" s="713" t="s">
        <v>377</v>
      </c>
      <c r="D41" s="714">
        <f t="shared" si="1"/>
        <v>0</v>
      </c>
      <c r="E41" s="714">
        <f>'[11]Диспан.набл.взрослых Пр.3-23'!E41+'[11]Уточнение Пр.9-23'!E41</f>
        <v>0</v>
      </c>
      <c r="F41" s="714">
        <f>'[11]Диспан.набл.взрослых Пр.3-23'!F41+'[11]Уточнение Пр.9-23'!F41</f>
        <v>0</v>
      </c>
      <c r="G41" s="714">
        <f>'[11]Диспан.набл.взрослых Пр.3-23'!G41+'[11]Уточнение Пр.9-23'!G41</f>
        <v>0</v>
      </c>
      <c r="H41" s="714">
        <f>'[11]Диспан.набл.взрослых Пр.3-23'!H41+'[11]Уточнение Пр.9-23'!H41</f>
        <v>0</v>
      </c>
      <c r="I41" s="714">
        <f>'[11]Диспан.набл.взрослых Пр.3-23'!I41+'[11]Уточнение Пр.9-23'!I41</f>
        <v>0</v>
      </c>
      <c r="J41" s="714">
        <f>'[11]Диспан.набл.взрослых Пр.3-23'!J41+'[11]Уточнение Пр.9-23'!J41</f>
        <v>0</v>
      </c>
      <c r="K41" s="714">
        <f>'[11]Диспан.набл.взрослых Пр.3-23'!K41+'[11]Уточнение Пр.9-23'!K41</f>
        <v>0</v>
      </c>
      <c r="L41" s="714">
        <f>'[11]Диспан.набл.взрослых Пр.3-23'!L41+'[11]Уточнение Пр.9-23'!L41</f>
        <v>0</v>
      </c>
      <c r="M41" s="714">
        <f>'[11]Диспан.набл.взрослых Пр.3-23'!M41+'[11]Уточнение Пр.9-23'!M41</f>
        <v>0</v>
      </c>
      <c r="N41" s="714">
        <f>'[11]Диспан.набл.взрослых Пр.3-23'!N41+'[11]Уточнение Пр.9-23'!N41</f>
        <v>0</v>
      </c>
      <c r="O41" s="714">
        <f>'[11]Диспан.набл.взрослых Пр.3-23'!O41+'[11]Уточнение Пр.9-23'!O41</f>
        <v>0</v>
      </c>
      <c r="P41" s="714">
        <f>'[11]Диспан.набл.взрослых Пр.3-23'!P41+'[11]Уточнение Пр.9-23'!P41</f>
        <v>0</v>
      </c>
      <c r="Q41" s="714">
        <f>'[11]Диспан.набл.взрослых Пр.3-23'!Q41+'[11]Уточнение Пр.9-23'!Q41</f>
        <v>0</v>
      </c>
      <c r="R41" s="714">
        <f>'[11]Диспан.набл.взрослых Пр.3-23'!R41+'[11]Уточнение Пр.9-23'!R41</f>
        <v>0</v>
      </c>
    </row>
    <row r="42" spans="1:18" ht="24" x14ac:dyDescent="0.25">
      <c r="A42" s="711">
        <v>31</v>
      </c>
      <c r="B42" s="716" t="s">
        <v>75</v>
      </c>
      <c r="C42" s="653" t="s">
        <v>76</v>
      </c>
      <c r="D42" s="714">
        <f t="shared" si="1"/>
        <v>156</v>
      </c>
      <c r="E42" s="714">
        <f>'[11]Диспан.набл.взрослых Пр.3-23'!E42+'[11]Уточнение Пр.9-23'!E42</f>
        <v>2</v>
      </c>
      <c r="F42" s="714">
        <f>'[11]Диспан.набл.взрослых Пр.3-23'!F42+'[11]Уточнение Пр.9-23'!F42</f>
        <v>85</v>
      </c>
      <c r="G42" s="714">
        <f>'[11]Диспан.набл.взрослых Пр.3-23'!G42+'[11]Уточнение Пр.9-23'!G42</f>
        <v>3</v>
      </c>
      <c r="H42" s="714">
        <f>'[11]Диспан.набл.взрослых Пр.3-23'!H42+'[11]Уточнение Пр.9-23'!H42</f>
        <v>11</v>
      </c>
      <c r="I42" s="714">
        <f>'[11]Диспан.набл.взрослых Пр.3-23'!I42+'[11]Уточнение Пр.9-23'!I42</f>
        <v>0</v>
      </c>
      <c r="J42" s="714">
        <f>'[11]Диспан.набл.взрослых Пр.3-23'!J42+'[11]Уточнение Пр.9-23'!J42</f>
        <v>0</v>
      </c>
      <c r="K42" s="714">
        <f>'[11]Диспан.набл.взрослых Пр.3-23'!K42+'[11]Уточнение Пр.9-23'!K42</f>
        <v>0</v>
      </c>
      <c r="L42" s="714">
        <f>'[11]Диспан.набл.взрослых Пр.3-23'!L42+'[11]Уточнение Пр.9-23'!L42</f>
        <v>0</v>
      </c>
      <c r="M42" s="714">
        <f>'[11]Диспан.набл.взрослых Пр.3-23'!M42+'[11]Уточнение Пр.9-23'!M42</f>
        <v>1</v>
      </c>
      <c r="N42" s="714">
        <f>'[11]Диспан.набл.взрослых Пр.3-23'!N42+'[11]Уточнение Пр.9-23'!N42</f>
        <v>4</v>
      </c>
      <c r="O42" s="714">
        <f>'[11]Диспан.набл.взрослых Пр.3-23'!O42+'[11]Уточнение Пр.9-23'!O42</f>
        <v>0</v>
      </c>
      <c r="P42" s="714">
        <f>'[11]Диспан.набл.взрослых Пр.3-23'!P42+'[11]Уточнение Пр.9-23'!P42</f>
        <v>0</v>
      </c>
      <c r="Q42" s="714">
        <f>'[11]Диспан.набл.взрослых Пр.3-23'!Q42+'[11]Уточнение Пр.9-23'!Q42</f>
        <v>50</v>
      </c>
      <c r="R42" s="714">
        <f>'[11]Диспан.набл.взрослых Пр.3-23'!R42+'[11]Уточнение Пр.9-23'!R42</f>
        <v>0</v>
      </c>
    </row>
    <row r="43" spans="1:18" x14ac:dyDescent="0.25">
      <c r="A43" s="711">
        <v>32</v>
      </c>
      <c r="B43" s="715" t="s">
        <v>77</v>
      </c>
      <c r="C43" s="713" t="s">
        <v>78</v>
      </c>
      <c r="D43" s="714">
        <f t="shared" si="1"/>
        <v>18204</v>
      </c>
      <c r="E43" s="714">
        <f>'[11]Диспан.набл.взрослых Пр.3-23'!E43+'[11]Уточнение Пр.9-23'!E43</f>
        <v>16961</v>
      </c>
      <c r="F43" s="714">
        <f>'[11]Диспан.набл.взрослых Пр.3-23'!F43+'[11]Уточнение Пр.9-23'!F43</f>
        <v>556</v>
      </c>
      <c r="G43" s="714">
        <f>'[11]Диспан.набл.взрослых Пр.3-23'!G43+'[11]Уточнение Пр.9-23'!G43</f>
        <v>418</v>
      </c>
      <c r="H43" s="714">
        <f>'[11]Диспан.набл.взрослых Пр.3-23'!H43+'[11]Уточнение Пр.9-23'!H43</f>
        <v>254</v>
      </c>
      <c r="I43" s="714">
        <f>'[11]Диспан.набл.взрослых Пр.3-23'!I43+'[11]Уточнение Пр.9-23'!I43</f>
        <v>0</v>
      </c>
      <c r="J43" s="714">
        <f>'[11]Диспан.набл.взрослых Пр.3-23'!J43+'[11]Уточнение Пр.9-23'!J43</f>
        <v>0</v>
      </c>
      <c r="K43" s="714">
        <f>'[11]Диспан.набл.взрослых Пр.3-23'!K43+'[11]Уточнение Пр.9-23'!K43</f>
        <v>0</v>
      </c>
      <c r="L43" s="714">
        <f>'[11]Диспан.набл.взрослых Пр.3-23'!L43+'[11]Уточнение Пр.9-23'!L43</f>
        <v>0</v>
      </c>
      <c r="M43" s="714">
        <f>'[11]Диспан.набл.взрослых Пр.3-23'!M43+'[11]Уточнение Пр.9-23'!M43</f>
        <v>0</v>
      </c>
      <c r="N43" s="714">
        <f>'[11]Диспан.набл.взрослых Пр.3-23'!N43+'[11]Уточнение Пр.9-23'!N43</f>
        <v>4</v>
      </c>
      <c r="O43" s="714">
        <f>'[11]Диспан.набл.взрослых Пр.3-23'!O43+'[11]Уточнение Пр.9-23'!O43</f>
        <v>6</v>
      </c>
      <c r="P43" s="714">
        <f>'[11]Диспан.набл.взрослых Пр.3-23'!P43+'[11]Уточнение Пр.9-23'!P43</f>
        <v>2</v>
      </c>
      <c r="Q43" s="714">
        <f>'[11]Диспан.набл.взрослых Пр.3-23'!Q43+'[11]Уточнение Пр.9-23'!Q43</f>
        <v>3</v>
      </c>
      <c r="R43" s="714">
        <f>'[11]Диспан.набл.взрослых Пр.3-23'!R43+'[11]Уточнение Пр.9-23'!R43</f>
        <v>0</v>
      </c>
    </row>
    <row r="44" spans="1:18" x14ac:dyDescent="0.25">
      <c r="A44" s="711">
        <v>33</v>
      </c>
      <c r="B44" s="717" t="s">
        <v>79</v>
      </c>
      <c r="C44" s="1" t="s">
        <v>80</v>
      </c>
      <c r="D44" s="714">
        <f t="shared" si="1"/>
        <v>26101</v>
      </c>
      <c r="E44" s="714">
        <f>'[11]Диспан.набл.взрослых Пр.3-23'!E44+'[11]Уточнение Пр.9-23'!E44</f>
        <v>24034</v>
      </c>
      <c r="F44" s="714">
        <f>'[11]Диспан.набл.взрослых Пр.3-23'!F44+'[11]Уточнение Пр.9-23'!F44</f>
        <v>920</v>
      </c>
      <c r="G44" s="714">
        <f>'[11]Диспан.набл.взрослых Пр.3-23'!G44+'[11]Уточнение Пр.9-23'!G44</f>
        <v>625</v>
      </c>
      <c r="H44" s="714">
        <f>'[11]Диспан.набл.взрослых Пр.3-23'!H44+'[11]Уточнение Пр.9-23'!H44</f>
        <v>41</v>
      </c>
      <c r="I44" s="714">
        <f>'[11]Диспан.набл.взрослых Пр.3-23'!I44+'[11]Уточнение Пр.9-23'!I44</f>
        <v>1</v>
      </c>
      <c r="J44" s="714">
        <f>'[11]Диспан.набл.взрослых Пр.3-23'!J44+'[11]Уточнение Пр.9-23'!J44</f>
        <v>0</v>
      </c>
      <c r="K44" s="714">
        <f>'[11]Диспан.набл.взрослых Пр.3-23'!K44+'[11]Уточнение Пр.9-23'!K44</f>
        <v>1</v>
      </c>
      <c r="L44" s="714">
        <f>'[11]Диспан.набл.взрослых Пр.3-23'!L44+'[11]Уточнение Пр.9-23'!L44</f>
        <v>5</v>
      </c>
      <c r="M44" s="714">
        <f>'[11]Диспан.набл.взрослых Пр.3-23'!M44+'[11]Уточнение Пр.9-23'!M44</f>
        <v>0</v>
      </c>
      <c r="N44" s="714">
        <f>'[11]Диспан.набл.взрослых Пр.3-23'!N44+'[11]Уточнение Пр.9-23'!N44</f>
        <v>30</v>
      </c>
      <c r="O44" s="714">
        <f>'[11]Диспан.набл.взрослых Пр.3-23'!O44+'[11]Уточнение Пр.9-23'!O44</f>
        <v>0</v>
      </c>
      <c r="P44" s="714">
        <f>'[11]Диспан.набл.взрослых Пр.3-23'!P44+'[11]Уточнение Пр.9-23'!P44</f>
        <v>0</v>
      </c>
      <c r="Q44" s="714">
        <f>'[11]Диспан.набл.взрослых Пр.3-23'!Q44+'[11]Уточнение Пр.9-23'!Q44</f>
        <v>426</v>
      </c>
      <c r="R44" s="714">
        <f>'[11]Диспан.набл.взрослых Пр.3-23'!R44+'[11]Уточнение Пр.9-23'!R44</f>
        <v>18</v>
      </c>
    </row>
    <row r="45" spans="1:18" x14ac:dyDescent="0.25">
      <c r="A45" s="711">
        <v>34</v>
      </c>
      <c r="B45" s="715" t="s">
        <v>81</v>
      </c>
      <c r="C45" s="713" t="s">
        <v>82</v>
      </c>
      <c r="D45" s="714">
        <f t="shared" si="1"/>
        <v>4276</v>
      </c>
      <c r="E45" s="714">
        <f>'[11]Диспан.набл.взрослых Пр.3-23'!E45+'[11]Уточнение Пр.9-23'!E45</f>
        <v>3024</v>
      </c>
      <c r="F45" s="714">
        <f>'[11]Диспан.набл.взрослых Пр.3-23'!F45+'[11]Уточнение Пр.9-23'!F45</f>
        <v>1186</v>
      </c>
      <c r="G45" s="714">
        <f>'[11]Диспан.набл.взрослых Пр.3-23'!G45+'[11]Уточнение Пр.9-23'!G45</f>
        <v>8</v>
      </c>
      <c r="H45" s="714">
        <f>'[11]Диспан.набл.взрослых Пр.3-23'!H45+'[11]Уточнение Пр.9-23'!H45</f>
        <v>37</v>
      </c>
      <c r="I45" s="714">
        <f>'[11]Диспан.набл.взрослых Пр.3-23'!I45+'[11]Уточнение Пр.9-23'!I45</f>
        <v>0</v>
      </c>
      <c r="J45" s="714">
        <f>'[11]Диспан.набл.взрослых Пр.3-23'!J45+'[11]Уточнение Пр.9-23'!J45</f>
        <v>0</v>
      </c>
      <c r="K45" s="714">
        <f>'[11]Диспан.набл.взрослых Пр.3-23'!K45+'[11]Уточнение Пр.9-23'!K45</f>
        <v>0</v>
      </c>
      <c r="L45" s="714">
        <f>'[11]Диспан.набл.взрослых Пр.3-23'!L45+'[11]Уточнение Пр.9-23'!L45</f>
        <v>0</v>
      </c>
      <c r="M45" s="714">
        <f>'[11]Диспан.набл.взрослых Пр.3-23'!M45+'[11]Уточнение Пр.9-23'!M45</f>
        <v>0</v>
      </c>
      <c r="N45" s="714">
        <f>'[11]Диспан.набл.взрослых Пр.3-23'!N45+'[11]Уточнение Пр.9-23'!N45</f>
        <v>0</v>
      </c>
      <c r="O45" s="714">
        <f>'[11]Диспан.набл.взрослых Пр.3-23'!O45+'[11]Уточнение Пр.9-23'!O45</f>
        <v>0</v>
      </c>
      <c r="P45" s="714">
        <f>'[11]Диспан.набл.взрослых Пр.3-23'!P45+'[11]Уточнение Пр.9-23'!P45</f>
        <v>0</v>
      </c>
      <c r="Q45" s="714">
        <f>'[11]Диспан.набл.взрослых Пр.3-23'!Q45+'[11]Уточнение Пр.9-23'!Q45</f>
        <v>21</v>
      </c>
      <c r="R45" s="714">
        <f>'[11]Диспан.набл.взрослых Пр.3-23'!R45+'[11]Уточнение Пр.9-23'!R45</f>
        <v>0</v>
      </c>
    </row>
    <row r="46" spans="1:18" x14ac:dyDescent="0.25">
      <c r="A46" s="711">
        <v>35</v>
      </c>
      <c r="B46" s="716" t="s">
        <v>83</v>
      </c>
      <c r="C46" s="653" t="s">
        <v>84</v>
      </c>
      <c r="D46" s="714">
        <f t="shared" si="1"/>
        <v>16198</v>
      </c>
      <c r="E46" s="714">
        <f>'[11]Диспан.набл.взрослых Пр.3-23'!E46+'[11]Уточнение Пр.9-23'!E46</f>
        <v>15130</v>
      </c>
      <c r="F46" s="714">
        <f>'[11]Диспан.набл.взрослых Пр.3-23'!F46+'[11]Уточнение Пр.9-23'!F46</f>
        <v>253</v>
      </c>
      <c r="G46" s="714">
        <f>'[11]Диспан.набл.взрослых Пр.3-23'!G46+'[11]Уточнение Пр.9-23'!G46</f>
        <v>443</v>
      </c>
      <c r="H46" s="714">
        <f>'[11]Диспан.набл.взрослых Пр.3-23'!H46+'[11]Уточнение Пр.9-23'!H46</f>
        <v>51</v>
      </c>
      <c r="I46" s="714">
        <f>'[11]Диспан.набл.взрослых Пр.3-23'!I46+'[11]Уточнение Пр.9-23'!I46</f>
        <v>0</v>
      </c>
      <c r="J46" s="714">
        <f>'[11]Диспан.набл.взрослых Пр.3-23'!J46+'[11]Уточнение Пр.9-23'!J46</f>
        <v>1</v>
      </c>
      <c r="K46" s="714">
        <f>'[11]Диспан.набл.взрослых Пр.3-23'!K46+'[11]Уточнение Пр.9-23'!K46</f>
        <v>20</v>
      </c>
      <c r="L46" s="714">
        <f>'[11]Диспан.набл.взрослых Пр.3-23'!L46+'[11]Уточнение Пр.9-23'!L46</f>
        <v>8</v>
      </c>
      <c r="M46" s="714">
        <f>'[11]Диспан.набл.взрослых Пр.3-23'!M46+'[11]Уточнение Пр.9-23'!M46</f>
        <v>1</v>
      </c>
      <c r="N46" s="714">
        <f>'[11]Диспан.набл.взрослых Пр.3-23'!N46+'[11]Уточнение Пр.9-23'!N46</f>
        <v>13</v>
      </c>
      <c r="O46" s="714">
        <f>'[11]Диспан.набл.взрослых Пр.3-23'!O46+'[11]Уточнение Пр.9-23'!O46</f>
        <v>3</v>
      </c>
      <c r="P46" s="714">
        <f>'[11]Диспан.набл.взрослых Пр.3-23'!P46+'[11]Уточнение Пр.9-23'!P46</f>
        <v>0</v>
      </c>
      <c r="Q46" s="714">
        <f>'[11]Диспан.набл.взрослых Пр.3-23'!Q46+'[11]Уточнение Пр.9-23'!Q46</f>
        <v>217</v>
      </c>
      <c r="R46" s="714">
        <f>'[11]Диспан.набл.взрослых Пр.3-23'!R46+'[11]Уточнение Пр.9-23'!R46</f>
        <v>58</v>
      </c>
    </row>
    <row r="47" spans="1:18" x14ac:dyDescent="0.25">
      <c r="A47" s="711">
        <v>36</v>
      </c>
      <c r="B47" s="715" t="s">
        <v>85</v>
      </c>
      <c r="C47" s="713" t="s">
        <v>86</v>
      </c>
      <c r="D47" s="714">
        <f t="shared" si="1"/>
        <v>6751</v>
      </c>
      <c r="E47" s="714">
        <f>'[11]Диспан.набл.взрослых Пр.3-23'!E47+'[11]Уточнение Пр.9-23'!E47</f>
        <v>6259</v>
      </c>
      <c r="F47" s="714">
        <f>'[11]Диспан.набл.взрослых Пр.3-23'!F47+'[11]Уточнение Пр.9-23'!F47</f>
        <v>242</v>
      </c>
      <c r="G47" s="714">
        <f>'[11]Диспан.набл.взрослых Пр.3-23'!G47+'[11]Уточнение Пр.9-23'!G47</f>
        <v>130</v>
      </c>
      <c r="H47" s="714">
        <f>'[11]Диспан.набл.взрослых Пр.3-23'!H47+'[11]Уточнение Пр.9-23'!H47</f>
        <v>78</v>
      </c>
      <c r="I47" s="714">
        <f>'[11]Диспан.набл.взрослых Пр.3-23'!I47+'[11]Уточнение Пр.9-23'!I47</f>
        <v>0</v>
      </c>
      <c r="J47" s="714">
        <f>'[11]Диспан.набл.взрослых Пр.3-23'!J47+'[11]Уточнение Пр.9-23'!J47</f>
        <v>0</v>
      </c>
      <c r="K47" s="714">
        <f>'[11]Диспан.набл.взрослых Пр.3-23'!K47+'[11]Уточнение Пр.9-23'!K47</f>
        <v>3</v>
      </c>
      <c r="L47" s="714">
        <f>'[11]Диспан.набл.взрослых Пр.3-23'!L47+'[11]Уточнение Пр.9-23'!L47</f>
        <v>2</v>
      </c>
      <c r="M47" s="714">
        <f>'[11]Диспан.набл.взрослых Пр.3-23'!M47+'[11]Уточнение Пр.9-23'!M47</f>
        <v>2</v>
      </c>
      <c r="N47" s="714">
        <f>'[11]Диспан.набл.взрослых Пр.3-23'!N47+'[11]Уточнение Пр.9-23'!N47</f>
        <v>27</v>
      </c>
      <c r="O47" s="714">
        <f>'[11]Диспан.набл.взрослых Пр.3-23'!O47+'[11]Уточнение Пр.9-23'!O47</f>
        <v>1</v>
      </c>
      <c r="P47" s="714">
        <f>'[11]Диспан.набл.взрослых Пр.3-23'!P47+'[11]Уточнение Пр.9-23'!P47</f>
        <v>0</v>
      </c>
      <c r="Q47" s="714">
        <f>'[11]Диспан.набл.взрослых Пр.3-23'!Q47+'[11]Уточнение Пр.9-23'!Q47</f>
        <v>7</v>
      </c>
      <c r="R47" s="714">
        <f>'[11]Диспан.набл.взрослых Пр.3-23'!R47+'[11]Уточнение Пр.9-23'!R47</f>
        <v>0</v>
      </c>
    </row>
    <row r="48" spans="1:18" x14ac:dyDescent="0.25">
      <c r="A48" s="711">
        <v>37</v>
      </c>
      <c r="B48" s="712" t="s">
        <v>87</v>
      </c>
      <c r="C48" s="713" t="s">
        <v>88</v>
      </c>
      <c r="D48" s="714">
        <f t="shared" si="1"/>
        <v>30682</v>
      </c>
      <c r="E48" s="714">
        <f>'[11]Диспан.набл.взрослых Пр.3-23'!E48+'[11]Уточнение Пр.9-23'!E48</f>
        <v>26192</v>
      </c>
      <c r="F48" s="714">
        <f>'[11]Диспан.набл.взрослых Пр.3-23'!F48+'[11]Уточнение Пр.9-23'!F48</f>
        <v>3487</v>
      </c>
      <c r="G48" s="714">
        <f>'[11]Диспан.набл.взрослых Пр.3-23'!G48+'[11]Уточнение Пр.9-23'!G48</f>
        <v>594</v>
      </c>
      <c r="H48" s="714">
        <f>'[11]Диспан.набл.взрослых Пр.3-23'!H48+'[11]Уточнение Пр.9-23'!H48</f>
        <v>336</v>
      </c>
      <c r="I48" s="714">
        <f>'[11]Диспан.набл.взрослых Пр.3-23'!I48+'[11]Уточнение Пр.9-23'!I48</f>
        <v>0</v>
      </c>
      <c r="J48" s="714">
        <f>'[11]Диспан.набл.взрослых Пр.3-23'!J48+'[11]Уточнение Пр.9-23'!J48</f>
        <v>2</v>
      </c>
      <c r="K48" s="714">
        <f>'[11]Диспан.набл.взрослых Пр.3-23'!K48+'[11]Уточнение Пр.9-23'!K48</f>
        <v>21</v>
      </c>
      <c r="L48" s="714">
        <f>'[11]Диспан.набл.взрослых Пр.3-23'!L48+'[11]Уточнение Пр.9-23'!L48</f>
        <v>5</v>
      </c>
      <c r="M48" s="714">
        <f>'[11]Диспан.набл.взрослых Пр.3-23'!M48+'[11]Уточнение Пр.9-23'!M48</f>
        <v>2</v>
      </c>
      <c r="N48" s="714">
        <f>'[11]Диспан.набл.взрослых Пр.3-23'!N48+'[11]Уточнение Пр.9-23'!N48</f>
        <v>2</v>
      </c>
      <c r="O48" s="714">
        <f>'[11]Диспан.набл.взрослых Пр.3-23'!O48+'[11]Уточнение Пр.9-23'!O48</f>
        <v>2</v>
      </c>
      <c r="P48" s="714">
        <f>'[11]Диспан.набл.взрослых Пр.3-23'!P48+'[11]Уточнение Пр.9-23'!P48</f>
        <v>0</v>
      </c>
      <c r="Q48" s="714">
        <f>'[11]Диспан.набл.взрослых Пр.3-23'!Q48+'[11]Уточнение Пр.9-23'!Q48</f>
        <v>31</v>
      </c>
      <c r="R48" s="714">
        <f>'[11]Диспан.набл.взрослых Пр.3-23'!R48+'[11]Уточнение Пр.9-23'!R48</f>
        <v>8</v>
      </c>
    </row>
    <row r="49" spans="1:18" x14ac:dyDescent="0.25">
      <c r="A49" s="711">
        <v>38</v>
      </c>
      <c r="B49" s="718" t="s">
        <v>89</v>
      </c>
      <c r="C49" s="719" t="s">
        <v>90</v>
      </c>
      <c r="D49" s="714">
        <f t="shared" si="1"/>
        <v>6892</v>
      </c>
      <c r="E49" s="714">
        <f>'[11]Диспан.набл.взрослых Пр.3-23'!E49+'[11]Уточнение Пр.9-23'!E49</f>
        <v>6400</v>
      </c>
      <c r="F49" s="714">
        <f>'[11]Диспан.набл.взрослых Пр.3-23'!F49+'[11]Уточнение Пр.9-23'!F49</f>
        <v>433</v>
      </c>
      <c r="G49" s="714">
        <f>'[11]Диспан.набл.взрослых Пр.3-23'!G49+'[11]Уточнение Пр.9-23'!G49</f>
        <v>0</v>
      </c>
      <c r="H49" s="714">
        <f>'[11]Диспан.набл.взрослых Пр.3-23'!H49+'[11]Уточнение Пр.9-23'!H49</f>
        <v>39</v>
      </c>
      <c r="I49" s="714">
        <f>'[11]Диспан.набл.взрослых Пр.3-23'!I49+'[11]Уточнение Пр.9-23'!I49</f>
        <v>0</v>
      </c>
      <c r="J49" s="714">
        <f>'[11]Диспан.набл.взрослых Пр.3-23'!J49+'[11]Уточнение Пр.9-23'!J49</f>
        <v>0</v>
      </c>
      <c r="K49" s="714">
        <f>'[11]Диспан.набл.взрослых Пр.3-23'!K49+'[11]Уточнение Пр.9-23'!K49</f>
        <v>13</v>
      </c>
      <c r="L49" s="714">
        <f>'[11]Диспан.набл.взрослых Пр.3-23'!L49+'[11]Уточнение Пр.9-23'!L49</f>
        <v>2</v>
      </c>
      <c r="M49" s="714">
        <f>'[11]Диспан.набл.взрослых Пр.3-23'!M49+'[11]Уточнение Пр.9-23'!M49</f>
        <v>3</v>
      </c>
      <c r="N49" s="714">
        <f>'[11]Диспан.набл.взрослых Пр.3-23'!N49+'[11]Уточнение Пр.9-23'!N49</f>
        <v>0</v>
      </c>
      <c r="O49" s="714">
        <f>'[11]Диспан.набл.взрослых Пр.3-23'!O49+'[11]Уточнение Пр.9-23'!O49</f>
        <v>0</v>
      </c>
      <c r="P49" s="714">
        <f>'[11]Диспан.набл.взрослых Пр.3-23'!P49+'[11]Уточнение Пр.9-23'!P49</f>
        <v>0</v>
      </c>
      <c r="Q49" s="714">
        <f>'[11]Диспан.набл.взрослых Пр.3-23'!Q49+'[11]Уточнение Пр.9-23'!Q49</f>
        <v>0</v>
      </c>
      <c r="R49" s="714">
        <f>'[11]Диспан.набл.взрослых Пр.3-23'!R49+'[11]Уточнение Пр.9-23'!R49</f>
        <v>2</v>
      </c>
    </row>
    <row r="50" spans="1:18" x14ac:dyDescent="0.25">
      <c r="A50" s="711">
        <v>39</v>
      </c>
      <c r="B50" s="712" t="s">
        <v>91</v>
      </c>
      <c r="C50" s="713" t="s">
        <v>92</v>
      </c>
      <c r="D50" s="714">
        <f t="shared" si="1"/>
        <v>7075</v>
      </c>
      <c r="E50" s="714">
        <f>'[11]Диспан.набл.взрослых Пр.3-23'!E50+'[11]Уточнение Пр.9-23'!E50</f>
        <v>6886</v>
      </c>
      <c r="F50" s="714">
        <f>'[11]Диспан.набл.взрослых Пр.3-23'!F50+'[11]Уточнение Пр.9-23'!F50</f>
        <v>133</v>
      </c>
      <c r="G50" s="714">
        <f>'[11]Диспан.набл.взрослых Пр.3-23'!G50+'[11]Уточнение Пр.9-23'!G50</f>
        <v>8</v>
      </c>
      <c r="H50" s="714">
        <f>'[11]Диспан.набл.взрослых Пр.3-23'!H50+'[11]Уточнение Пр.9-23'!H50</f>
        <v>0</v>
      </c>
      <c r="I50" s="714">
        <f>'[11]Диспан.набл.взрослых Пр.3-23'!I50+'[11]Уточнение Пр.9-23'!I50</f>
        <v>0</v>
      </c>
      <c r="J50" s="714">
        <f>'[11]Диспан.набл.взрослых Пр.3-23'!J50+'[11]Уточнение Пр.9-23'!J50</f>
        <v>0</v>
      </c>
      <c r="K50" s="714">
        <f>'[11]Диспан.набл.взрослых Пр.3-23'!K50+'[11]Уточнение Пр.9-23'!K50</f>
        <v>0</v>
      </c>
      <c r="L50" s="714">
        <f>'[11]Диспан.набл.взрослых Пр.3-23'!L50+'[11]Уточнение Пр.9-23'!L50</f>
        <v>0</v>
      </c>
      <c r="M50" s="714">
        <f>'[11]Диспан.набл.взрослых Пр.3-23'!M50+'[11]Уточнение Пр.9-23'!M50</f>
        <v>0</v>
      </c>
      <c r="N50" s="714">
        <f>'[11]Диспан.набл.взрослых Пр.3-23'!N50+'[11]Уточнение Пр.9-23'!N50</f>
        <v>6</v>
      </c>
      <c r="O50" s="714">
        <f>'[11]Диспан.набл.взрослых Пр.3-23'!O50+'[11]Уточнение Пр.9-23'!O50</f>
        <v>0</v>
      </c>
      <c r="P50" s="714">
        <f>'[11]Диспан.набл.взрослых Пр.3-23'!P50+'[11]Уточнение Пр.9-23'!P50</f>
        <v>0</v>
      </c>
      <c r="Q50" s="714">
        <f>'[11]Диспан.набл.взрослых Пр.3-23'!Q50+'[11]Уточнение Пр.9-23'!Q50</f>
        <v>42</v>
      </c>
      <c r="R50" s="714">
        <f>'[11]Диспан.набл.взрослых Пр.3-23'!R50+'[11]Уточнение Пр.9-23'!R50</f>
        <v>0</v>
      </c>
    </row>
    <row r="51" spans="1:18" x14ac:dyDescent="0.25">
      <c r="A51" s="711">
        <v>40</v>
      </c>
      <c r="B51" s="717" t="s">
        <v>93</v>
      </c>
      <c r="C51" s="1" t="s">
        <v>94</v>
      </c>
      <c r="D51" s="714">
        <f t="shared" si="1"/>
        <v>11151</v>
      </c>
      <c r="E51" s="714">
        <f>'[11]Диспан.набл.взрослых Пр.3-23'!E51+'[11]Уточнение Пр.9-23'!E51</f>
        <v>9771</v>
      </c>
      <c r="F51" s="714">
        <f>'[11]Диспан.набл.взрослых Пр.3-23'!F51+'[11]Уточнение Пр.9-23'!F51</f>
        <v>736</v>
      </c>
      <c r="G51" s="714">
        <f>'[11]Диспан.набл.взрослых Пр.3-23'!G51+'[11]Уточнение Пр.9-23'!G51</f>
        <v>141</v>
      </c>
      <c r="H51" s="714">
        <f>'[11]Диспан.набл.взрослых Пр.3-23'!H51+'[11]Уточнение Пр.9-23'!H51</f>
        <v>384</v>
      </c>
      <c r="I51" s="714">
        <f>'[11]Диспан.набл.взрослых Пр.3-23'!I51+'[11]Уточнение Пр.9-23'!I51</f>
        <v>0</v>
      </c>
      <c r="J51" s="714">
        <f>'[11]Диспан.набл.взрослых Пр.3-23'!J51+'[11]Уточнение Пр.9-23'!J51</f>
        <v>0</v>
      </c>
      <c r="K51" s="714">
        <f>'[11]Диспан.набл.взрослых Пр.3-23'!K51+'[11]Уточнение Пр.9-23'!K51</f>
        <v>0</v>
      </c>
      <c r="L51" s="714">
        <f>'[11]Диспан.набл.взрослых Пр.3-23'!L51+'[11]Уточнение Пр.9-23'!L51</f>
        <v>0</v>
      </c>
      <c r="M51" s="714">
        <f>'[11]Диспан.набл.взрослых Пр.3-23'!M51+'[11]Уточнение Пр.9-23'!M51</f>
        <v>2</v>
      </c>
      <c r="N51" s="714">
        <f>'[11]Диспан.набл.взрослых Пр.3-23'!N51+'[11]Уточнение Пр.9-23'!N51</f>
        <v>77</v>
      </c>
      <c r="O51" s="714">
        <f>'[11]Диспан.набл.взрослых Пр.3-23'!O51+'[11]Уточнение Пр.9-23'!O51</f>
        <v>7</v>
      </c>
      <c r="P51" s="714">
        <f>'[11]Диспан.набл.взрослых Пр.3-23'!P51+'[11]Уточнение Пр.9-23'!P51</f>
        <v>0</v>
      </c>
      <c r="Q51" s="714">
        <f>'[11]Диспан.набл.взрослых Пр.3-23'!Q51+'[11]Уточнение Пр.9-23'!Q51</f>
        <v>33</v>
      </c>
      <c r="R51" s="714">
        <f>'[11]Диспан.набл.взрослых Пр.3-23'!R51+'[11]Уточнение Пр.9-23'!R51</f>
        <v>0</v>
      </c>
    </row>
    <row r="52" spans="1:18" x14ac:dyDescent="0.25">
      <c r="A52" s="711">
        <v>41</v>
      </c>
      <c r="B52" s="716" t="s">
        <v>95</v>
      </c>
      <c r="C52" s="653" t="s">
        <v>96</v>
      </c>
      <c r="D52" s="714">
        <f t="shared" si="1"/>
        <v>4778</v>
      </c>
      <c r="E52" s="714">
        <f>'[11]Диспан.набл.взрослых Пр.3-23'!E52+'[11]Уточнение Пр.9-23'!E52</f>
        <v>4575</v>
      </c>
      <c r="F52" s="714">
        <f>'[11]Диспан.набл.взрослых Пр.3-23'!F52+'[11]Уточнение Пр.9-23'!F52</f>
        <v>135</v>
      </c>
      <c r="G52" s="714">
        <f>'[11]Диспан.набл.взрослых Пр.3-23'!G52+'[11]Уточнение Пр.9-23'!G52</f>
        <v>0</v>
      </c>
      <c r="H52" s="714">
        <f>'[11]Диспан.набл.взрослых Пр.3-23'!H52+'[11]Уточнение Пр.9-23'!H52</f>
        <v>8</v>
      </c>
      <c r="I52" s="714">
        <f>'[11]Диспан.набл.взрослых Пр.3-23'!I52+'[11]Уточнение Пр.9-23'!I52</f>
        <v>0</v>
      </c>
      <c r="J52" s="714">
        <f>'[11]Диспан.набл.взрослых Пр.3-23'!J52+'[11]Уточнение Пр.9-23'!J52</f>
        <v>2</v>
      </c>
      <c r="K52" s="714">
        <f>'[11]Диспан.набл.взрослых Пр.3-23'!K52+'[11]Уточнение Пр.9-23'!K52</f>
        <v>0</v>
      </c>
      <c r="L52" s="714">
        <f>'[11]Диспан.набл.взрослых Пр.3-23'!L52+'[11]Уточнение Пр.9-23'!L52</f>
        <v>0</v>
      </c>
      <c r="M52" s="714">
        <f>'[11]Диспан.набл.взрослых Пр.3-23'!M52+'[11]Уточнение Пр.9-23'!M52</f>
        <v>1</v>
      </c>
      <c r="N52" s="714">
        <f>'[11]Диспан.набл.взрослых Пр.3-23'!N52+'[11]Уточнение Пр.9-23'!N52</f>
        <v>35</v>
      </c>
      <c r="O52" s="714">
        <f>'[11]Диспан.набл.взрослых Пр.3-23'!O52+'[11]Уточнение Пр.9-23'!O52</f>
        <v>3</v>
      </c>
      <c r="P52" s="714">
        <f>'[11]Диспан.набл.взрослых Пр.3-23'!P52+'[11]Уточнение Пр.9-23'!P52</f>
        <v>0</v>
      </c>
      <c r="Q52" s="714">
        <f>'[11]Диспан.набл.взрослых Пр.3-23'!Q52+'[11]Уточнение Пр.9-23'!Q52</f>
        <v>19</v>
      </c>
      <c r="R52" s="714">
        <f>'[11]Диспан.набл.взрослых Пр.3-23'!R52+'[11]Уточнение Пр.9-23'!R52</f>
        <v>0</v>
      </c>
    </row>
    <row r="53" spans="1:18" x14ac:dyDescent="0.25">
      <c r="A53" s="711">
        <v>42</v>
      </c>
      <c r="B53" s="715" t="s">
        <v>97</v>
      </c>
      <c r="C53" s="713" t="s">
        <v>98</v>
      </c>
      <c r="D53" s="714">
        <f t="shared" si="1"/>
        <v>1380</v>
      </c>
      <c r="E53" s="714">
        <f>'[11]Диспан.набл.взрослых Пр.3-23'!E53+'[11]Уточнение Пр.9-23'!E53</f>
        <v>1015</v>
      </c>
      <c r="F53" s="714">
        <f>'[11]Диспан.набл.взрослых Пр.3-23'!F53+'[11]Уточнение Пр.9-23'!F53</f>
        <v>318</v>
      </c>
      <c r="G53" s="714">
        <f>'[11]Диспан.набл.взрослых Пр.3-23'!G53+'[11]Уточнение Пр.9-23'!G53</f>
        <v>38</v>
      </c>
      <c r="H53" s="714">
        <f>'[11]Диспан.набл.взрослых Пр.3-23'!H53+'[11]Уточнение Пр.9-23'!H53</f>
        <v>2</v>
      </c>
      <c r="I53" s="714">
        <f>'[11]Диспан.набл.взрослых Пр.3-23'!I53+'[11]Уточнение Пр.9-23'!I53</f>
        <v>0</v>
      </c>
      <c r="J53" s="714">
        <f>'[11]Диспан.набл.взрослых Пр.3-23'!J53+'[11]Уточнение Пр.9-23'!J53</f>
        <v>0</v>
      </c>
      <c r="K53" s="714">
        <f>'[11]Диспан.набл.взрослых Пр.3-23'!K53+'[11]Уточнение Пр.9-23'!K53</f>
        <v>0</v>
      </c>
      <c r="L53" s="714">
        <f>'[11]Диспан.набл.взрослых Пр.3-23'!L53+'[11]Уточнение Пр.9-23'!L53</f>
        <v>0</v>
      </c>
      <c r="M53" s="714">
        <f>'[11]Диспан.набл.взрослых Пр.3-23'!M53+'[11]Уточнение Пр.9-23'!M53</f>
        <v>0</v>
      </c>
      <c r="N53" s="714">
        <f>'[11]Диспан.набл.взрослых Пр.3-23'!N53+'[11]Уточнение Пр.9-23'!N53</f>
        <v>5</v>
      </c>
      <c r="O53" s="714">
        <f>'[11]Диспан.набл.взрослых Пр.3-23'!O53+'[11]Уточнение Пр.9-23'!O53</f>
        <v>0</v>
      </c>
      <c r="P53" s="714">
        <f>'[11]Диспан.набл.взрослых Пр.3-23'!P53+'[11]Уточнение Пр.9-23'!P53</f>
        <v>0</v>
      </c>
      <c r="Q53" s="714">
        <f>'[11]Диспан.набл.взрослых Пр.3-23'!Q53+'[11]Уточнение Пр.9-23'!Q53</f>
        <v>1</v>
      </c>
      <c r="R53" s="714">
        <f>'[11]Диспан.набл.взрослых Пр.3-23'!R53+'[11]Уточнение Пр.9-23'!R53</f>
        <v>1</v>
      </c>
    </row>
    <row r="54" spans="1:18" x14ac:dyDescent="0.25">
      <c r="A54" s="711">
        <v>43</v>
      </c>
      <c r="B54" s="716" t="s">
        <v>99</v>
      </c>
      <c r="C54" s="653" t="s">
        <v>100</v>
      </c>
      <c r="D54" s="714">
        <f t="shared" si="1"/>
        <v>30550</v>
      </c>
      <c r="E54" s="714">
        <f>'[11]Диспан.набл.взрослых Пр.3-23'!E54+'[11]Уточнение Пр.9-23'!E54</f>
        <v>28024</v>
      </c>
      <c r="F54" s="714">
        <f>'[11]Диспан.набл.взрослых Пр.3-23'!F54+'[11]Уточнение Пр.9-23'!F54</f>
        <v>995</v>
      </c>
      <c r="G54" s="714">
        <f>'[11]Диспан.набл.взрослых Пр.3-23'!G54+'[11]Уточнение Пр.9-23'!G54</f>
        <v>1158</v>
      </c>
      <c r="H54" s="714">
        <f>'[11]Диспан.набл.взрослых Пр.3-23'!H54+'[11]Уточнение Пр.9-23'!H54</f>
        <v>126</v>
      </c>
      <c r="I54" s="714">
        <f>'[11]Диспан.набл.взрослых Пр.3-23'!I54+'[11]Уточнение Пр.9-23'!I54</f>
        <v>0</v>
      </c>
      <c r="J54" s="714">
        <f>'[11]Диспан.набл.взрослых Пр.3-23'!J54+'[11]Уточнение Пр.9-23'!J54</f>
        <v>5</v>
      </c>
      <c r="K54" s="714">
        <f>'[11]Диспан.набл.взрослых Пр.3-23'!K54+'[11]Уточнение Пр.9-23'!K54</f>
        <v>13</v>
      </c>
      <c r="L54" s="714">
        <f>'[11]Диспан.набл.взрослых Пр.3-23'!L54+'[11]Уточнение Пр.9-23'!L54</f>
        <v>1</v>
      </c>
      <c r="M54" s="714">
        <f>'[11]Диспан.набл.взрослых Пр.3-23'!M54+'[11]Уточнение Пр.9-23'!M54</f>
        <v>6</v>
      </c>
      <c r="N54" s="714">
        <f>'[11]Диспан.набл.взрослых Пр.3-23'!N54+'[11]Уточнение Пр.9-23'!N54</f>
        <v>142</v>
      </c>
      <c r="O54" s="714">
        <f>'[11]Диспан.набл.взрослых Пр.3-23'!O54+'[11]Уточнение Пр.9-23'!O54</f>
        <v>6</v>
      </c>
      <c r="P54" s="714">
        <f>'[11]Диспан.набл.взрослых Пр.3-23'!P54+'[11]Уточнение Пр.9-23'!P54</f>
        <v>0</v>
      </c>
      <c r="Q54" s="714">
        <f>'[11]Диспан.набл.взрослых Пр.3-23'!Q54+'[11]Уточнение Пр.9-23'!Q54</f>
        <v>72</v>
      </c>
      <c r="R54" s="714">
        <f>'[11]Диспан.набл.взрослых Пр.3-23'!R54+'[11]Уточнение Пр.9-23'!R54</f>
        <v>2</v>
      </c>
    </row>
    <row r="55" spans="1:18" x14ac:dyDescent="0.25">
      <c r="A55" s="711">
        <v>44</v>
      </c>
      <c r="B55" s="712" t="s">
        <v>101</v>
      </c>
      <c r="C55" s="713" t="s">
        <v>102</v>
      </c>
      <c r="D55" s="714">
        <f t="shared" si="1"/>
        <v>7669</v>
      </c>
      <c r="E55" s="714">
        <f>'[11]Диспан.набл.взрослых Пр.3-23'!E55+'[11]Уточнение Пр.9-23'!E55</f>
        <v>6154</v>
      </c>
      <c r="F55" s="714">
        <f>'[11]Диспан.набл.взрослых Пр.3-23'!F55+'[11]Уточнение Пр.9-23'!F55</f>
        <v>1220</v>
      </c>
      <c r="G55" s="714">
        <f>'[11]Диспан.набл.взрослых Пр.3-23'!G55+'[11]Уточнение Пр.9-23'!G55</f>
        <v>92</v>
      </c>
      <c r="H55" s="714">
        <f>'[11]Диспан.набл.взрослых Пр.3-23'!H55+'[11]Уточнение Пр.9-23'!H55</f>
        <v>173</v>
      </c>
      <c r="I55" s="714">
        <f>'[11]Диспан.набл.взрослых Пр.3-23'!I55+'[11]Уточнение Пр.9-23'!I55</f>
        <v>0</v>
      </c>
      <c r="J55" s="714">
        <f>'[11]Диспан.набл.взрослых Пр.3-23'!J55+'[11]Уточнение Пр.9-23'!J55</f>
        <v>0</v>
      </c>
      <c r="K55" s="714">
        <f>'[11]Диспан.набл.взрослых Пр.3-23'!K55+'[11]Уточнение Пр.9-23'!K55</f>
        <v>0</v>
      </c>
      <c r="L55" s="714">
        <f>'[11]Диспан.набл.взрослых Пр.3-23'!L55+'[11]Уточнение Пр.9-23'!L55</f>
        <v>0</v>
      </c>
      <c r="M55" s="714">
        <f>'[11]Диспан.набл.взрослых Пр.3-23'!M55+'[11]Уточнение Пр.9-23'!M55</f>
        <v>0</v>
      </c>
      <c r="N55" s="714">
        <f>'[11]Диспан.набл.взрослых Пр.3-23'!N55+'[11]Уточнение Пр.9-23'!N55</f>
        <v>14</v>
      </c>
      <c r="O55" s="714">
        <f>'[11]Диспан.набл.взрослых Пр.3-23'!O55+'[11]Уточнение Пр.9-23'!O55</f>
        <v>1</v>
      </c>
      <c r="P55" s="714">
        <f>'[11]Диспан.набл.взрослых Пр.3-23'!P55+'[11]Уточнение Пр.9-23'!P55</f>
        <v>0</v>
      </c>
      <c r="Q55" s="714">
        <f>'[11]Диспан.набл.взрослых Пр.3-23'!Q55+'[11]Уточнение Пр.9-23'!Q55</f>
        <v>15</v>
      </c>
      <c r="R55" s="714">
        <f>'[11]Диспан.набл.взрослых Пр.3-23'!R55+'[11]Уточнение Пр.9-23'!R55</f>
        <v>0</v>
      </c>
    </row>
    <row r="56" spans="1:18" x14ac:dyDescent="0.25">
      <c r="A56" s="711">
        <v>45</v>
      </c>
      <c r="B56" s="712" t="s">
        <v>103</v>
      </c>
      <c r="C56" s="713" t="s">
        <v>104</v>
      </c>
      <c r="D56" s="714">
        <f t="shared" si="1"/>
        <v>11826</v>
      </c>
      <c r="E56" s="714">
        <f>'[11]Диспан.набл.взрослых Пр.3-23'!E56+'[11]Уточнение Пр.9-23'!E56</f>
        <v>11538</v>
      </c>
      <c r="F56" s="714">
        <f>'[11]Диспан.набл.взрослых Пр.3-23'!F56+'[11]Уточнение Пр.9-23'!F56</f>
        <v>94</v>
      </c>
      <c r="G56" s="714">
        <f>'[11]Диспан.набл.взрослых Пр.3-23'!G56+'[11]Уточнение Пр.9-23'!G56</f>
        <v>78</v>
      </c>
      <c r="H56" s="714">
        <f>'[11]Диспан.набл.взрослых Пр.3-23'!H56+'[11]Уточнение Пр.9-23'!H56</f>
        <v>9</v>
      </c>
      <c r="I56" s="714">
        <f>'[11]Диспан.набл.взрослых Пр.3-23'!I56+'[11]Уточнение Пр.9-23'!I56</f>
        <v>0</v>
      </c>
      <c r="J56" s="714">
        <f>'[11]Диспан.набл.взрослых Пр.3-23'!J56+'[11]Уточнение Пр.9-23'!J56</f>
        <v>0</v>
      </c>
      <c r="K56" s="714">
        <f>'[11]Диспан.набл.взрослых Пр.3-23'!K56+'[11]Уточнение Пр.9-23'!K56</f>
        <v>0</v>
      </c>
      <c r="L56" s="714">
        <f>'[11]Диспан.набл.взрослых Пр.3-23'!L56+'[11]Уточнение Пр.9-23'!L56</f>
        <v>1</v>
      </c>
      <c r="M56" s="714">
        <f>'[11]Диспан.набл.взрослых Пр.3-23'!M56+'[11]Уточнение Пр.9-23'!M56</f>
        <v>1</v>
      </c>
      <c r="N56" s="714">
        <f>'[11]Диспан.набл.взрослых Пр.3-23'!N56+'[11]Уточнение Пр.9-23'!N56</f>
        <v>7</v>
      </c>
      <c r="O56" s="714">
        <f>'[11]Диспан.набл.взрослых Пр.3-23'!O56+'[11]Уточнение Пр.9-23'!O56</f>
        <v>1</v>
      </c>
      <c r="P56" s="714">
        <f>'[11]Диспан.набл.взрослых Пр.3-23'!P56+'[11]Уточнение Пр.9-23'!P56</f>
        <v>0</v>
      </c>
      <c r="Q56" s="714">
        <f>'[11]Диспан.набл.взрослых Пр.3-23'!Q56+'[11]Уточнение Пр.9-23'!Q56</f>
        <v>83</v>
      </c>
      <c r="R56" s="714">
        <f>'[11]Диспан.набл.взрослых Пр.3-23'!R56+'[11]Уточнение Пр.9-23'!R56</f>
        <v>14</v>
      </c>
    </row>
    <row r="57" spans="1:18" x14ac:dyDescent="0.25">
      <c r="A57" s="711">
        <v>46</v>
      </c>
      <c r="B57" s="716" t="s">
        <v>105</v>
      </c>
      <c r="C57" s="653" t="s">
        <v>106</v>
      </c>
      <c r="D57" s="714">
        <f t="shared" si="1"/>
        <v>6876</v>
      </c>
      <c r="E57" s="714">
        <f>'[11]Диспан.набл.взрослых Пр.3-23'!E57+'[11]Уточнение Пр.9-23'!E57</f>
        <v>6802</v>
      </c>
      <c r="F57" s="714">
        <f>'[11]Диспан.набл.взрослых Пр.3-23'!F57+'[11]Уточнение Пр.9-23'!F57</f>
        <v>1</v>
      </c>
      <c r="G57" s="714">
        <f>'[11]Диспан.набл.взрослых Пр.3-23'!G57+'[11]Уточнение Пр.9-23'!G57</f>
        <v>8</v>
      </c>
      <c r="H57" s="714">
        <f>'[11]Диспан.набл.взрослых Пр.3-23'!H57+'[11]Уточнение Пр.9-23'!H57</f>
        <v>29</v>
      </c>
      <c r="I57" s="714">
        <f>'[11]Диспан.набл.взрослых Пр.3-23'!I57+'[11]Уточнение Пр.9-23'!I57</f>
        <v>0</v>
      </c>
      <c r="J57" s="714">
        <f>'[11]Диспан.набл.взрослых Пр.3-23'!J57+'[11]Уточнение Пр.9-23'!J57</f>
        <v>1</v>
      </c>
      <c r="K57" s="714">
        <f>'[11]Диспан.набл.взрослых Пр.3-23'!K57+'[11]Уточнение Пр.9-23'!K57</f>
        <v>0</v>
      </c>
      <c r="L57" s="714">
        <f>'[11]Диспан.набл.взрослых Пр.3-23'!L57+'[11]Уточнение Пр.9-23'!L57</f>
        <v>0</v>
      </c>
      <c r="M57" s="714">
        <f>'[11]Диспан.набл.взрослых Пр.3-23'!M57+'[11]Уточнение Пр.9-23'!M57</f>
        <v>1</v>
      </c>
      <c r="N57" s="714">
        <f>'[11]Диспан.набл.взрослых Пр.3-23'!N57+'[11]Уточнение Пр.9-23'!N57</f>
        <v>3</v>
      </c>
      <c r="O57" s="714">
        <f>'[11]Диспан.набл.взрослых Пр.3-23'!O57+'[11]Уточнение Пр.9-23'!O57</f>
        <v>2</v>
      </c>
      <c r="P57" s="714">
        <f>'[11]Диспан.набл.взрослых Пр.3-23'!P57+'[11]Уточнение Пр.9-23'!P57</f>
        <v>9</v>
      </c>
      <c r="Q57" s="714">
        <f>'[11]Диспан.набл.взрослых Пр.3-23'!Q57+'[11]Уточнение Пр.9-23'!Q57</f>
        <v>18</v>
      </c>
      <c r="R57" s="714">
        <f>'[11]Диспан.набл.взрослых Пр.3-23'!R57+'[11]Уточнение Пр.9-23'!R57</f>
        <v>2</v>
      </c>
    </row>
    <row r="58" spans="1:18" x14ac:dyDescent="0.25">
      <c r="A58" s="711">
        <v>47</v>
      </c>
      <c r="B58" s="716" t="s">
        <v>107</v>
      </c>
      <c r="C58" s="653" t="s">
        <v>108</v>
      </c>
      <c r="D58" s="714">
        <f t="shared" si="1"/>
        <v>10643</v>
      </c>
      <c r="E58" s="714">
        <f>'[11]Диспан.набл.взрослых Пр.3-23'!E58+'[11]Уточнение Пр.9-23'!E58</f>
        <v>9798</v>
      </c>
      <c r="F58" s="714">
        <f>'[11]Диспан.набл.взрослых Пр.3-23'!F58+'[11]Уточнение Пр.9-23'!F58</f>
        <v>427</v>
      </c>
      <c r="G58" s="714">
        <f>'[11]Диспан.набл.взрослых Пр.3-23'!G58+'[11]Уточнение Пр.9-23'!G58</f>
        <v>137</v>
      </c>
      <c r="H58" s="714">
        <f>'[11]Диспан.набл.взрослых Пр.3-23'!H58+'[11]Уточнение Пр.9-23'!H58</f>
        <v>227</v>
      </c>
      <c r="I58" s="714">
        <f>'[11]Диспан.набл.взрослых Пр.3-23'!I58+'[11]Уточнение Пр.9-23'!I58</f>
        <v>0</v>
      </c>
      <c r="J58" s="714">
        <f>'[11]Диспан.набл.взрослых Пр.3-23'!J58+'[11]Уточнение Пр.9-23'!J58</f>
        <v>3</v>
      </c>
      <c r="K58" s="714">
        <f>'[11]Диспан.набл.взрослых Пр.3-23'!K58+'[11]Уточнение Пр.9-23'!K58</f>
        <v>0</v>
      </c>
      <c r="L58" s="714">
        <f>'[11]Диспан.набл.взрослых Пр.3-23'!L58+'[11]Уточнение Пр.9-23'!L58</f>
        <v>0</v>
      </c>
      <c r="M58" s="714">
        <f>'[11]Диспан.набл.взрослых Пр.3-23'!M58+'[11]Уточнение Пр.9-23'!M58</f>
        <v>3</v>
      </c>
      <c r="N58" s="714">
        <f>'[11]Диспан.набл.взрослых Пр.3-23'!N58+'[11]Уточнение Пр.9-23'!N58</f>
        <v>11</v>
      </c>
      <c r="O58" s="714">
        <f>'[11]Диспан.набл.взрослых Пр.3-23'!O58+'[11]Уточнение Пр.9-23'!O58</f>
        <v>8</v>
      </c>
      <c r="P58" s="714">
        <f>'[11]Диспан.набл.взрослых Пр.3-23'!P58+'[11]Уточнение Пр.9-23'!P58</f>
        <v>3</v>
      </c>
      <c r="Q58" s="714">
        <f>'[11]Диспан.набл.взрослых Пр.3-23'!Q58+'[11]Уточнение Пр.9-23'!Q58</f>
        <v>26</v>
      </c>
      <c r="R58" s="714">
        <f>'[11]Диспан.набл.взрослых Пр.3-23'!R58+'[11]Уточнение Пр.9-23'!R58</f>
        <v>0</v>
      </c>
    </row>
    <row r="59" spans="1:18" x14ac:dyDescent="0.25">
      <c r="A59" s="711">
        <v>48</v>
      </c>
      <c r="B59" s="715" t="s">
        <v>109</v>
      </c>
      <c r="C59" s="713" t="s">
        <v>110</v>
      </c>
      <c r="D59" s="714">
        <f t="shared" si="1"/>
        <v>10150</v>
      </c>
      <c r="E59" s="714">
        <f>'[11]Диспан.набл.взрослых Пр.3-23'!E59+'[11]Уточнение Пр.9-23'!E59</f>
        <v>9702</v>
      </c>
      <c r="F59" s="714">
        <f>'[11]Диспан.набл.взрослых Пр.3-23'!F59+'[11]Уточнение Пр.9-23'!F59</f>
        <v>119</v>
      </c>
      <c r="G59" s="714">
        <f>'[11]Диспан.набл.взрослых Пр.3-23'!G59+'[11]Уточнение Пр.9-23'!G59</f>
        <v>253</v>
      </c>
      <c r="H59" s="714">
        <f>'[11]Диспан.набл.взрослых Пр.3-23'!H59+'[11]Уточнение Пр.9-23'!H59</f>
        <v>36</v>
      </c>
      <c r="I59" s="714">
        <f>'[11]Диспан.набл.взрослых Пр.3-23'!I59+'[11]Уточнение Пр.9-23'!I59</f>
        <v>0</v>
      </c>
      <c r="J59" s="714">
        <f>'[11]Диспан.набл.взрослых Пр.3-23'!J59+'[11]Уточнение Пр.9-23'!J59</f>
        <v>0</v>
      </c>
      <c r="K59" s="714">
        <f>'[11]Диспан.набл.взрослых Пр.3-23'!K59+'[11]Уточнение Пр.9-23'!K59</f>
        <v>0</v>
      </c>
      <c r="L59" s="714">
        <f>'[11]Диспан.набл.взрослых Пр.3-23'!L59+'[11]Уточнение Пр.9-23'!L59</f>
        <v>0</v>
      </c>
      <c r="M59" s="714">
        <f>'[11]Диспан.набл.взрослых Пр.3-23'!M59+'[11]Уточнение Пр.9-23'!M59</f>
        <v>3</v>
      </c>
      <c r="N59" s="714">
        <f>'[11]Диспан.набл.взрослых Пр.3-23'!N59+'[11]Уточнение Пр.9-23'!N59</f>
        <v>6</v>
      </c>
      <c r="O59" s="714">
        <f>'[11]Диспан.набл.взрослых Пр.3-23'!O59+'[11]Уточнение Пр.9-23'!O59</f>
        <v>1</v>
      </c>
      <c r="P59" s="714">
        <f>'[11]Диспан.набл.взрослых Пр.3-23'!P59+'[11]Уточнение Пр.9-23'!P59</f>
        <v>0</v>
      </c>
      <c r="Q59" s="714">
        <f>'[11]Диспан.набл.взрослых Пр.3-23'!Q59+'[11]Уточнение Пр.9-23'!Q59</f>
        <v>30</v>
      </c>
      <c r="R59" s="714">
        <f>'[11]Диспан.набл.взрослых Пр.3-23'!R59+'[11]Уточнение Пр.9-23'!R59</f>
        <v>0</v>
      </c>
    </row>
    <row r="60" spans="1:18" x14ac:dyDescent="0.25">
      <c r="A60" s="711">
        <v>49</v>
      </c>
      <c r="B60" s="716" t="s">
        <v>111</v>
      </c>
      <c r="C60" s="653" t="s">
        <v>112</v>
      </c>
      <c r="D60" s="714">
        <f t="shared" si="1"/>
        <v>3976</v>
      </c>
      <c r="E60" s="714">
        <f>'[11]Диспан.набл.взрослых Пр.3-23'!E60+'[11]Уточнение Пр.9-23'!E60</f>
        <v>2953</v>
      </c>
      <c r="F60" s="714">
        <f>'[11]Диспан.набл.взрослых Пр.3-23'!F60+'[11]Уточнение Пр.9-23'!F60</f>
        <v>168</v>
      </c>
      <c r="G60" s="714">
        <f>'[11]Диспан.набл.взрослых Пр.3-23'!G60+'[11]Уточнение Пр.9-23'!G60</f>
        <v>10</v>
      </c>
      <c r="H60" s="714">
        <f>'[11]Диспан.набл.взрослых Пр.3-23'!H60+'[11]Уточнение Пр.9-23'!H60</f>
        <v>35</v>
      </c>
      <c r="I60" s="714">
        <f>'[11]Диспан.набл.взрослых Пр.3-23'!I60+'[11]Уточнение Пр.9-23'!I60</f>
        <v>0</v>
      </c>
      <c r="J60" s="714">
        <f>'[11]Диспан.набл.взрослых Пр.3-23'!J60+'[11]Уточнение Пр.9-23'!J60</f>
        <v>0</v>
      </c>
      <c r="K60" s="714">
        <f>'[11]Диспан.набл.взрослых Пр.3-23'!K60+'[11]Уточнение Пр.9-23'!K60</f>
        <v>0</v>
      </c>
      <c r="L60" s="714">
        <f>'[11]Диспан.набл.взрослых Пр.3-23'!L60+'[11]Уточнение Пр.9-23'!L60</f>
        <v>0</v>
      </c>
      <c r="M60" s="714">
        <f>'[11]Диспан.набл.взрослых Пр.3-23'!M60+'[11]Уточнение Пр.9-23'!M60</f>
        <v>0</v>
      </c>
      <c r="N60" s="714">
        <f>'[11]Диспан.набл.взрослых Пр.3-23'!N60+'[11]Уточнение Пр.9-23'!N60</f>
        <v>796</v>
      </c>
      <c r="O60" s="714">
        <f>'[11]Диспан.набл.взрослых Пр.3-23'!O60+'[11]Уточнение Пр.9-23'!O60</f>
        <v>0</v>
      </c>
      <c r="P60" s="714">
        <f>'[11]Диспан.набл.взрослых Пр.3-23'!P60+'[11]Уточнение Пр.9-23'!P60</f>
        <v>0</v>
      </c>
      <c r="Q60" s="714">
        <f>'[11]Диспан.набл.взрослых Пр.3-23'!Q60+'[11]Уточнение Пр.9-23'!Q60</f>
        <v>14</v>
      </c>
      <c r="R60" s="714">
        <f>'[11]Диспан.набл.взрослых Пр.3-23'!R60+'[11]Уточнение Пр.9-23'!R60</f>
        <v>0</v>
      </c>
    </row>
    <row r="61" spans="1:18" x14ac:dyDescent="0.25">
      <c r="A61" s="711">
        <v>50</v>
      </c>
      <c r="B61" s="715" t="s">
        <v>113</v>
      </c>
      <c r="C61" s="713" t="s">
        <v>114</v>
      </c>
      <c r="D61" s="714">
        <f t="shared" si="1"/>
        <v>5429</v>
      </c>
      <c r="E61" s="714">
        <f>'[11]Диспан.набл.взрослых Пр.3-23'!E61+'[11]Уточнение Пр.9-23'!E61</f>
        <v>5102</v>
      </c>
      <c r="F61" s="714">
        <f>'[11]Диспан.набл.взрослых Пр.3-23'!F61+'[11]Уточнение Пр.9-23'!F61</f>
        <v>164</v>
      </c>
      <c r="G61" s="714">
        <f>'[11]Диспан.набл.взрослых Пр.3-23'!G61+'[11]Уточнение Пр.9-23'!G61</f>
        <v>100</v>
      </c>
      <c r="H61" s="714">
        <f>'[11]Диспан.набл.взрослых Пр.3-23'!H61+'[11]Уточнение Пр.9-23'!H61</f>
        <v>32</v>
      </c>
      <c r="I61" s="714">
        <f>'[11]Диспан.набл.взрослых Пр.3-23'!I61+'[11]Уточнение Пр.9-23'!I61</f>
        <v>0</v>
      </c>
      <c r="J61" s="714">
        <f>'[11]Диспан.набл.взрослых Пр.3-23'!J61+'[11]Уточнение Пр.9-23'!J61</f>
        <v>0</v>
      </c>
      <c r="K61" s="714">
        <f>'[11]Диспан.набл.взрослых Пр.3-23'!K61+'[11]Уточнение Пр.9-23'!K61</f>
        <v>1</v>
      </c>
      <c r="L61" s="714">
        <f>'[11]Диспан.набл.взрослых Пр.3-23'!L61+'[11]Уточнение Пр.9-23'!L61</f>
        <v>0</v>
      </c>
      <c r="M61" s="714">
        <f>'[11]Диспан.набл.взрослых Пр.3-23'!M61+'[11]Уточнение Пр.9-23'!M61</f>
        <v>0</v>
      </c>
      <c r="N61" s="714">
        <f>'[11]Диспан.набл.взрослых Пр.3-23'!N61+'[11]Уточнение Пр.9-23'!N61</f>
        <v>24</v>
      </c>
      <c r="O61" s="714">
        <f>'[11]Диспан.набл.взрослых Пр.3-23'!O61+'[11]Уточнение Пр.9-23'!O61</f>
        <v>0</v>
      </c>
      <c r="P61" s="714">
        <f>'[11]Диспан.набл.взрослых Пр.3-23'!P61+'[11]Уточнение Пр.9-23'!P61</f>
        <v>0</v>
      </c>
      <c r="Q61" s="714">
        <f>'[11]Диспан.набл.взрослых Пр.3-23'!Q61+'[11]Уточнение Пр.9-23'!Q61</f>
        <v>6</v>
      </c>
      <c r="R61" s="714">
        <f>'[11]Диспан.набл.взрослых Пр.3-23'!R61+'[11]Уточнение Пр.9-23'!R61</f>
        <v>0</v>
      </c>
    </row>
    <row r="62" spans="1:18" x14ac:dyDescent="0.25">
      <c r="A62" s="711">
        <v>51</v>
      </c>
      <c r="B62" s="716" t="s">
        <v>115</v>
      </c>
      <c r="C62" s="653" t="s">
        <v>116</v>
      </c>
      <c r="D62" s="714">
        <f t="shared" si="1"/>
        <v>12912</v>
      </c>
      <c r="E62" s="714">
        <f>'[11]Диспан.набл.взрослых Пр.3-23'!E62+'[11]Уточнение Пр.9-23'!E62</f>
        <v>11219</v>
      </c>
      <c r="F62" s="714">
        <f>'[11]Диспан.набл.взрослых Пр.3-23'!F62+'[11]Уточнение Пр.9-23'!F62</f>
        <v>1258</v>
      </c>
      <c r="G62" s="714">
        <f>'[11]Диспан.набл.взрослых Пр.3-23'!G62+'[11]Уточнение Пр.9-23'!G62</f>
        <v>243</v>
      </c>
      <c r="H62" s="714">
        <f>'[11]Диспан.набл.взрослых Пр.3-23'!H62+'[11]Уточнение Пр.9-23'!H62</f>
        <v>1</v>
      </c>
      <c r="I62" s="714">
        <f>'[11]Диспан.набл.взрослых Пр.3-23'!I62+'[11]Уточнение Пр.9-23'!I62</f>
        <v>0</v>
      </c>
      <c r="J62" s="714">
        <f>'[11]Диспан.набл.взрослых Пр.3-23'!J62+'[11]Уточнение Пр.9-23'!J62</f>
        <v>0</v>
      </c>
      <c r="K62" s="714">
        <f>'[11]Диспан.набл.взрослых Пр.3-23'!K62+'[11]Уточнение Пр.9-23'!K62</f>
        <v>5</v>
      </c>
      <c r="L62" s="714">
        <f>'[11]Диспан.набл.взрослых Пр.3-23'!L62+'[11]Уточнение Пр.9-23'!L62</f>
        <v>0</v>
      </c>
      <c r="M62" s="714">
        <f>'[11]Диспан.набл.взрослых Пр.3-23'!M62+'[11]Уточнение Пр.9-23'!M62</f>
        <v>4</v>
      </c>
      <c r="N62" s="714">
        <f>'[11]Диспан.набл.взрослых Пр.3-23'!N62+'[11]Уточнение Пр.9-23'!N62</f>
        <v>51</v>
      </c>
      <c r="O62" s="714">
        <f>'[11]Диспан.набл.взрослых Пр.3-23'!O62+'[11]Уточнение Пр.9-23'!O62</f>
        <v>2</v>
      </c>
      <c r="P62" s="714">
        <f>'[11]Диспан.набл.взрослых Пр.3-23'!P62+'[11]Уточнение Пр.9-23'!P62</f>
        <v>0</v>
      </c>
      <c r="Q62" s="714">
        <f>'[11]Диспан.набл.взрослых Пр.3-23'!Q62+'[11]Уточнение Пр.9-23'!Q62</f>
        <v>128</v>
      </c>
      <c r="R62" s="714">
        <f>'[11]Диспан.набл.взрослых Пр.3-23'!R62+'[11]Уточнение Пр.9-23'!R62</f>
        <v>1</v>
      </c>
    </row>
    <row r="63" spans="1:18" x14ac:dyDescent="0.25">
      <c r="A63" s="711">
        <v>52</v>
      </c>
      <c r="B63" s="716" t="s">
        <v>117</v>
      </c>
      <c r="C63" s="653" t="s">
        <v>118</v>
      </c>
      <c r="D63" s="714">
        <f t="shared" si="1"/>
        <v>35668</v>
      </c>
      <c r="E63" s="714">
        <f>'[11]Диспан.набл.взрослых Пр.3-23'!E63+'[11]Уточнение Пр.9-23'!E63</f>
        <v>33912</v>
      </c>
      <c r="F63" s="714">
        <f>'[11]Диспан.набл.взрослых Пр.3-23'!F63+'[11]Уточнение Пр.9-23'!F63</f>
        <v>1014</v>
      </c>
      <c r="G63" s="714">
        <f>'[11]Диспан.набл.взрослых Пр.3-23'!G63+'[11]Уточнение Пр.9-23'!G63</f>
        <v>596</v>
      </c>
      <c r="H63" s="714">
        <f>'[11]Диспан.набл.взрослых Пр.3-23'!H63+'[11]Уточнение Пр.9-23'!H63</f>
        <v>1</v>
      </c>
      <c r="I63" s="714">
        <f>'[11]Диспан.набл.взрослых Пр.3-23'!I63+'[11]Уточнение Пр.9-23'!I63</f>
        <v>0</v>
      </c>
      <c r="J63" s="714">
        <f>'[11]Диспан.набл.взрослых Пр.3-23'!J63+'[11]Уточнение Пр.9-23'!J63</f>
        <v>0</v>
      </c>
      <c r="K63" s="714">
        <f>'[11]Диспан.набл.взрослых Пр.3-23'!K63+'[11]Уточнение Пр.9-23'!K63</f>
        <v>0</v>
      </c>
      <c r="L63" s="714">
        <f>'[11]Диспан.набл.взрослых Пр.3-23'!L63+'[11]Уточнение Пр.9-23'!L63</f>
        <v>2</v>
      </c>
      <c r="M63" s="714">
        <f>'[11]Диспан.набл.взрослых Пр.3-23'!M63+'[11]Уточнение Пр.9-23'!M63</f>
        <v>2</v>
      </c>
      <c r="N63" s="714">
        <f>'[11]Диспан.набл.взрослых Пр.3-23'!N63+'[11]Уточнение Пр.9-23'!N63</f>
        <v>4</v>
      </c>
      <c r="O63" s="714">
        <f>'[11]Диспан.набл.взрослых Пр.3-23'!O63+'[11]Уточнение Пр.9-23'!O63</f>
        <v>11</v>
      </c>
      <c r="P63" s="714">
        <f>'[11]Диспан.набл.взрослых Пр.3-23'!P63+'[11]Уточнение Пр.9-23'!P63</f>
        <v>0</v>
      </c>
      <c r="Q63" s="714">
        <f>'[11]Диспан.набл.взрослых Пр.3-23'!Q63+'[11]Уточнение Пр.9-23'!Q63</f>
        <v>126</v>
      </c>
      <c r="R63" s="714">
        <f>'[11]Диспан.набл.взрослых Пр.3-23'!R63+'[11]Уточнение Пр.9-23'!R63</f>
        <v>0</v>
      </c>
    </row>
    <row r="64" spans="1:18" x14ac:dyDescent="0.25">
      <c r="A64" s="711">
        <v>53</v>
      </c>
      <c r="B64" s="716" t="s">
        <v>119</v>
      </c>
      <c r="C64" s="653" t="s">
        <v>120</v>
      </c>
      <c r="D64" s="714">
        <f t="shared" si="1"/>
        <v>5969</v>
      </c>
      <c r="E64" s="714">
        <f>'[11]Диспан.набл.взрослых Пр.3-23'!E64+'[11]Уточнение Пр.9-23'!E64</f>
        <v>5866</v>
      </c>
      <c r="F64" s="714">
        <f>'[11]Диспан.набл.взрослых Пр.3-23'!F64+'[11]Уточнение Пр.9-23'!F64</f>
        <v>22</v>
      </c>
      <c r="G64" s="714">
        <f>'[11]Диспан.набл.взрослых Пр.3-23'!G64+'[11]Уточнение Пр.9-23'!G64</f>
        <v>56</v>
      </c>
      <c r="H64" s="714">
        <f>'[11]Диспан.набл.взрослых Пр.3-23'!H64+'[11]Уточнение Пр.9-23'!H64</f>
        <v>2</v>
      </c>
      <c r="I64" s="714">
        <f>'[11]Диспан.набл.взрослых Пр.3-23'!I64+'[11]Уточнение Пр.9-23'!I64</f>
        <v>0</v>
      </c>
      <c r="J64" s="714">
        <f>'[11]Диспан.набл.взрослых Пр.3-23'!J64+'[11]Уточнение Пр.9-23'!J64</f>
        <v>0</v>
      </c>
      <c r="K64" s="714">
        <f>'[11]Диспан.набл.взрослых Пр.3-23'!K64+'[11]Уточнение Пр.9-23'!K64</f>
        <v>3</v>
      </c>
      <c r="L64" s="714">
        <f>'[11]Диспан.набл.взрослых Пр.3-23'!L64+'[11]Уточнение Пр.9-23'!L64</f>
        <v>1</v>
      </c>
      <c r="M64" s="714">
        <f>'[11]Диспан.набл.взрослых Пр.3-23'!M64+'[11]Уточнение Пр.9-23'!M64</f>
        <v>0</v>
      </c>
      <c r="N64" s="714">
        <f>'[11]Диспан.набл.взрослых Пр.3-23'!N64+'[11]Уточнение Пр.9-23'!N64</f>
        <v>9</v>
      </c>
      <c r="O64" s="714">
        <f>'[11]Диспан.набл.взрослых Пр.3-23'!O64+'[11]Уточнение Пр.9-23'!O64</f>
        <v>1</v>
      </c>
      <c r="P64" s="714">
        <f>'[11]Диспан.набл.взрослых Пр.3-23'!P64+'[11]Уточнение Пр.9-23'!P64</f>
        <v>0</v>
      </c>
      <c r="Q64" s="714">
        <f>'[11]Диспан.набл.взрослых Пр.3-23'!Q64+'[11]Уточнение Пр.9-23'!Q64</f>
        <v>9</v>
      </c>
      <c r="R64" s="714">
        <f>'[11]Диспан.набл.взрослых Пр.3-23'!R64+'[11]Уточнение Пр.9-23'!R64</f>
        <v>0</v>
      </c>
    </row>
    <row r="65" spans="1:18" x14ac:dyDescent="0.25">
      <c r="A65" s="711">
        <v>54</v>
      </c>
      <c r="B65" s="716" t="s">
        <v>121</v>
      </c>
      <c r="C65" s="653" t="s">
        <v>122</v>
      </c>
      <c r="D65" s="714">
        <f t="shared" si="1"/>
        <v>0</v>
      </c>
      <c r="E65" s="714">
        <f>'[11]Диспан.набл.взрослых Пр.3-23'!E65+'[11]Уточнение Пр.9-23'!E65</f>
        <v>0</v>
      </c>
      <c r="F65" s="714">
        <f>'[11]Диспан.набл.взрослых Пр.3-23'!F65+'[11]Уточнение Пр.9-23'!F65</f>
        <v>0</v>
      </c>
      <c r="G65" s="714">
        <f>'[11]Диспан.набл.взрослых Пр.3-23'!G65+'[11]Уточнение Пр.9-23'!G65</f>
        <v>0</v>
      </c>
      <c r="H65" s="714">
        <f>'[11]Диспан.набл.взрослых Пр.3-23'!H65+'[11]Уточнение Пр.9-23'!H65</f>
        <v>0</v>
      </c>
      <c r="I65" s="714">
        <f>'[11]Диспан.набл.взрослых Пр.3-23'!I65+'[11]Уточнение Пр.9-23'!I65</f>
        <v>0</v>
      </c>
      <c r="J65" s="714">
        <f>'[11]Диспан.набл.взрослых Пр.3-23'!J65+'[11]Уточнение Пр.9-23'!J65</f>
        <v>0</v>
      </c>
      <c r="K65" s="714">
        <f>'[11]Диспан.набл.взрослых Пр.3-23'!K65+'[11]Уточнение Пр.9-23'!K65</f>
        <v>0</v>
      </c>
      <c r="L65" s="714">
        <f>'[11]Диспан.набл.взрослых Пр.3-23'!L65+'[11]Уточнение Пр.9-23'!L65</f>
        <v>0</v>
      </c>
      <c r="M65" s="714">
        <f>'[11]Диспан.набл.взрослых Пр.3-23'!M65+'[11]Уточнение Пр.9-23'!M65</f>
        <v>0</v>
      </c>
      <c r="N65" s="714">
        <f>'[11]Диспан.набл.взрослых Пр.3-23'!N65+'[11]Уточнение Пр.9-23'!N65</f>
        <v>0</v>
      </c>
      <c r="O65" s="714">
        <f>'[11]Диспан.набл.взрослых Пр.3-23'!O65+'[11]Уточнение Пр.9-23'!O65</f>
        <v>0</v>
      </c>
      <c r="P65" s="714">
        <f>'[11]Диспан.набл.взрослых Пр.3-23'!P65+'[11]Уточнение Пр.9-23'!P65</f>
        <v>0</v>
      </c>
      <c r="Q65" s="714">
        <f>'[11]Диспан.набл.взрослых Пр.3-23'!Q65+'[11]Уточнение Пр.9-23'!Q65</f>
        <v>0</v>
      </c>
      <c r="R65" s="714">
        <f>'[11]Диспан.набл.взрослых Пр.3-23'!R65+'[11]Уточнение Пр.9-23'!R65</f>
        <v>0</v>
      </c>
    </row>
    <row r="66" spans="1:18" x14ac:dyDescent="0.25">
      <c r="A66" s="711">
        <v>55</v>
      </c>
      <c r="B66" s="716" t="s">
        <v>123</v>
      </c>
      <c r="C66" s="653" t="s">
        <v>124</v>
      </c>
      <c r="D66" s="714">
        <f t="shared" si="1"/>
        <v>0</v>
      </c>
      <c r="E66" s="714">
        <f>'[11]Диспан.набл.взрослых Пр.3-23'!E66+'[11]Уточнение Пр.9-23'!E66</f>
        <v>0</v>
      </c>
      <c r="F66" s="714">
        <f>'[11]Диспан.набл.взрослых Пр.3-23'!F66+'[11]Уточнение Пр.9-23'!F66</f>
        <v>0</v>
      </c>
      <c r="G66" s="714">
        <f>'[11]Диспан.набл.взрослых Пр.3-23'!G66+'[11]Уточнение Пр.9-23'!G66</f>
        <v>0</v>
      </c>
      <c r="H66" s="714">
        <f>'[11]Диспан.набл.взрослых Пр.3-23'!H66+'[11]Уточнение Пр.9-23'!H66</f>
        <v>0</v>
      </c>
      <c r="I66" s="714">
        <f>'[11]Диспан.набл.взрослых Пр.3-23'!I66+'[11]Уточнение Пр.9-23'!I66</f>
        <v>0</v>
      </c>
      <c r="J66" s="714">
        <f>'[11]Диспан.набл.взрослых Пр.3-23'!J66+'[11]Уточнение Пр.9-23'!J66</f>
        <v>0</v>
      </c>
      <c r="K66" s="714">
        <f>'[11]Диспан.набл.взрослых Пр.3-23'!K66+'[11]Уточнение Пр.9-23'!K66</f>
        <v>0</v>
      </c>
      <c r="L66" s="714">
        <f>'[11]Диспан.набл.взрослых Пр.3-23'!L66+'[11]Уточнение Пр.9-23'!L66</f>
        <v>0</v>
      </c>
      <c r="M66" s="714">
        <f>'[11]Диспан.набл.взрослых Пр.3-23'!M66+'[11]Уточнение Пр.9-23'!M66</f>
        <v>0</v>
      </c>
      <c r="N66" s="714">
        <f>'[11]Диспан.набл.взрослых Пр.3-23'!N66+'[11]Уточнение Пр.9-23'!N66</f>
        <v>0</v>
      </c>
      <c r="O66" s="714">
        <f>'[11]Диспан.набл.взрослых Пр.3-23'!O66+'[11]Уточнение Пр.9-23'!O66</f>
        <v>0</v>
      </c>
      <c r="P66" s="714">
        <f>'[11]Диспан.набл.взрослых Пр.3-23'!P66+'[11]Уточнение Пр.9-23'!P66</f>
        <v>0</v>
      </c>
      <c r="Q66" s="714">
        <f>'[11]Диспан.набл.взрослых Пр.3-23'!Q66+'[11]Уточнение Пр.9-23'!Q66</f>
        <v>0</v>
      </c>
      <c r="R66" s="714">
        <f>'[11]Диспан.набл.взрослых Пр.3-23'!R66+'[11]Уточнение Пр.9-23'!R66</f>
        <v>0</v>
      </c>
    </row>
    <row r="67" spans="1:18" x14ac:dyDescent="0.25">
      <c r="A67" s="711">
        <v>56</v>
      </c>
      <c r="B67" s="652" t="s">
        <v>125</v>
      </c>
      <c r="C67" s="1" t="s">
        <v>126</v>
      </c>
      <c r="D67" s="714">
        <f t="shared" si="1"/>
        <v>0</v>
      </c>
      <c r="E67" s="714">
        <f>'[11]Диспан.набл.взрослых Пр.3-23'!E67+'[11]Уточнение Пр.9-23'!E67</f>
        <v>0</v>
      </c>
      <c r="F67" s="714">
        <f>'[11]Диспан.набл.взрослых Пр.3-23'!F67+'[11]Уточнение Пр.9-23'!F67</f>
        <v>0</v>
      </c>
      <c r="G67" s="714">
        <f>'[11]Диспан.набл.взрослых Пр.3-23'!G67+'[11]Уточнение Пр.9-23'!G67</f>
        <v>0</v>
      </c>
      <c r="H67" s="714">
        <f>'[11]Диспан.набл.взрослых Пр.3-23'!H67+'[11]Уточнение Пр.9-23'!H67</f>
        <v>0</v>
      </c>
      <c r="I67" s="714">
        <f>'[11]Диспан.набл.взрослых Пр.3-23'!I67+'[11]Уточнение Пр.9-23'!I67</f>
        <v>0</v>
      </c>
      <c r="J67" s="714">
        <f>'[11]Диспан.набл.взрослых Пр.3-23'!J67+'[11]Уточнение Пр.9-23'!J67</f>
        <v>0</v>
      </c>
      <c r="K67" s="714">
        <f>'[11]Диспан.набл.взрослых Пр.3-23'!K67+'[11]Уточнение Пр.9-23'!K67</f>
        <v>0</v>
      </c>
      <c r="L67" s="714">
        <f>'[11]Диспан.набл.взрослых Пр.3-23'!L67+'[11]Уточнение Пр.9-23'!L67</f>
        <v>0</v>
      </c>
      <c r="M67" s="714">
        <f>'[11]Диспан.набл.взрослых Пр.3-23'!M67+'[11]Уточнение Пр.9-23'!M67</f>
        <v>0</v>
      </c>
      <c r="N67" s="714">
        <f>'[11]Диспан.набл.взрослых Пр.3-23'!N67+'[11]Уточнение Пр.9-23'!N67</f>
        <v>0</v>
      </c>
      <c r="O67" s="714">
        <f>'[11]Диспан.набл.взрослых Пр.3-23'!O67+'[11]Уточнение Пр.9-23'!O67</f>
        <v>0</v>
      </c>
      <c r="P67" s="714">
        <f>'[11]Диспан.набл.взрослых Пр.3-23'!P67+'[11]Уточнение Пр.9-23'!P67</f>
        <v>0</v>
      </c>
      <c r="Q67" s="714">
        <f>'[11]Диспан.набл.взрослых Пр.3-23'!Q67+'[11]Уточнение Пр.9-23'!Q67</f>
        <v>0</v>
      </c>
      <c r="R67" s="714">
        <f>'[11]Диспан.набл.взрослых Пр.3-23'!R67+'[11]Уточнение Пр.9-23'!R67</f>
        <v>0</v>
      </c>
    </row>
    <row r="68" spans="1:18" ht="24" x14ac:dyDescent="0.25">
      <c r="A68" s="711">
        <v>57</v>
      </c>
      <c r="B68" s="716" t="s">
        <v>127</v>
      </c>
      <c r="C68" s="653" t="s">
        <v>128</v>
      </c>
      <c r="D68" s="714">
        <f t="shared" si="1"/>
        <v>0</v>
      </c>
      <c r="E68" s="714">
        <f>'[11]Диспан.набл.взрослых Пр.3-23'!E68+'[11]Уточнение Пр.9-23'!E68</f>
        <v>0</v>
      </c>
      <c r="F68" s="714">
        <f>'[11]Диспан.набл.взрослых Пр.3-23'!F68+'[11]Уточнение Пр.9-23'!F68</f>
        <v>0</v>
      </c>
      <c r="G68" s="714">
        <f>'[11]Диспан.набл.взрослых Пр.3-23'!G68+'[11]Уточнение Пр.9-23'!G68</f>
        <v>0</v>
      </c>
      <c r="H68" s="714">
        <f>'[11]Диспан.набл.взрослых Пр.3-23'!H68+'[11]Уточнение Пр.9-23'!H68</f>
        <v>0</v>
      </c>
      <c r="I68" s="714">
        <f>'[11]Диспан.набл.взрослых Пр.3-23'!I68+'[11]Уточнение Пр.9-23'!I68</f>
        <v>0</v>
      </c>
      <c r="J68" s="714">
        <f>'[11]Диспан.набл.взрослых Пр.3-23'!J68+'[11]Уточнение Пр.9-23'!J68</f>
        <v>0</v>
      </c>
      <c r="K68" s="714">
        <f>'[11]Диспан.набл.взрослых Пр.3-23'!K68+'[11]Уточнение Пр.9-23'!K68</f>
        <v>0</v>
      </c>
      <c r="L68" s="714">
        <f>'[11]Диспан.набл.взрослых Пр.3-23'!L68+'[11]Уточнение Пр.9-23'!L68</f>
        <v>0</v>
      </c>
      <c r="M68" s="714">
        <f>'[11]Диспан.набл.взрослых Пр.3-23'!M68+'[11]Уточнение Пр.9-23'!M68</f>
        <v>0</v>
      </c>
      <c r="N68" s="714">
        <f>'[11]Диспан.набл.взрослых Пр.3-23'!N68+'[11]Уточнение Пр.9-23'!N68</f>
        <v>0</v>
      </c>
      <c r="O68" s="714">
        <f>'[11]Диспан.набл.взрослых Пр.3-23'!O68+'[11]Уточнение Пр.9-23'!O68</f>
        <v>0</v>
      </c>
      <c r="P68" s="714">
        <f>'[11]Диспан.набл.взрослых Пр.3-23'!P68+'[11]Уточнение Пр.9-23'!P68</f>
        <v>0</v>
      </c>
      <c r="Q68" s="714">
        <f>'[11]Диспан.набл.взрослых Пр.3-23'!Q68+'[11]Уточнение Пр.9-23'!Q68</f>
        <v>0</v>
      </c>
      <c r="R68" s="714">
        <f>'[11]Диспан.набл.взрослых Пр.3-23'!R68+'[11]Уточнение Пр.9-23'!R68</f>
        <v>0</v>
      </c>
    </row>
    <row r="69" spans="1:18" ht="24" x14ac:dyDescent="0.25">
      <c r="A69" s="711">
        <v>58</v>
      </c>
      <c r="B69" s="715" t="s">
        <v>129</v>
      </c>
      <c r="C69" s="653" t="s">
        <v>130</v>
      </c>
      <c r="D69" s="714">
        <f t="shared" si="1"/>
        <v>0</v>
      </c>
      <c r="E69" s="714">
        <f>'[11]Диспан.набл.взрослых Пр.3-23'!E69+'[11]Уточнение Пр.9-23'!E69</f>
        <v>0</v>
      </c>
      <c r="F69" s="714">
        <f>'[11]Диспан.набл.взрослых Пр.3-23'!F69+'[11]Уточнение Пр.9-23'!F69</f>
        <v>0</v>
      </c>
      <c r="G69" s="714">
        <f>'[11]Диспан.набл.взрослых Пр.3-23'!G69+'[11]Уточнение Пр.9-23'!G69</f>
        <v>0</v>
      </c>
      <c r="H69" s="714">
        <f>'[11]Диспан.набл.взрослых Пр.3-23'!H69+'[11]Уточнение Пр.9-23'!H69</f>
        <v>0</v>
      </c>
      <c r="I69" s="714">
        <f>'[11]Диспан.набл.взрослых Пр.3-23'!I69+'[11]Уточнение Пр.9-23'!I69</f>
        <v>0</v>
      </c>
      <c r="J69" s="714">
        <f>'[11]Диспан.набл.взрослых Пр.3-23'!J69+'[11]Уточнение Пр.9-23'!J69</f>
        <v>0</v>
      </c>
      <c r="K69" s="714">
        <f>'[11]Диспан.набл.взрослых Пр.3-23'!K69+'[11]Уточнение Пр.9-23'!K69</f>
        <v>0</v>
      </c>
      <c r="L69" s="714">
        <f>'[11]Диспан.набл.взрослых Пр.3-23'!L69+'[11]Уточнение Пр.9-23'!L69</f>
        <v>0</v>
      </c>
      <c r="M69" s="714">
        <f>'[11]Диспан.набл.взрослых Пр.3-23'!M69+'[11]Уточнение Пр.9-23'!M69</f>
        <v>0</v>
      </c>
      <c r="N69" s="714">
        <f>'[11]Диспан.набл.взрослых Пр.3-23'!N69+'[11]Уточнение Пр.9-23'!N69</f>
        <v>0</v>
      </c>
      <c r="O69" s="714">
        <f>'[11]Диспан.набл.взрослых Пр.3-23'!O69+'[11]Уточнение Пр.9-23'!O69</f>
        <v>0</v>
      </c>
      <c r="P69" s="714">
        <f>'[11]Диспан.набл.взрослых Пр.3-23'!P69+'[11]Уточнение Пр.9-23'!P69</f>
        <v>0</v>
      </c>
      <c r="Q69" s="714">
        <f>'[11]Диспан.набл.взрослых Пр.3-23'!Q69+'[11]Уточнение Пр.9-23'!Q69</f>
        <v>0</v>
      </c>
      <c r="R69" s="714">
        <f>'[11]Диспан.набл.взрослых Пр.3-23'!R69+'[11]Уточнение Пр.9-23'!R69</f>
        <v>0</v>
      </c>
    </row>
    <row r="70" spans="1:18" ht="24" x14ac:dyDescent="0.25">
      <c r="A70" s="711">
        <v>59</v>
      </c>
      <c r="B70" s="717" t="s">
        <v>131</v>
      </c>
      <c r="C70" s="1" t="s">
        <v>132</v>
      </c>
      <c r="D70" s="714">
        <f t="shared" si="1"/>
        <v>0</v>
      </c>
      <c r="E70" s="714">
        <f>'[11]Диспан.набл.взрослых Пр.3-23'!E70+'[11]Уточнение Пр.9-23'!E70</f>
        <v>0</v>
      </c>
      <c r="F70" s="714">
        <f>'[11]Диспан.набл.взрослых Пр.3-23'!F70+'[11]Уточнение Пр.9-23'!F70</f>
        <v>0</v>
      </c>
      <c r="G70" s="714">
        <f>'[11]Диспан.набл.взрослых Пр.3-23'!G70+'[11]Уточнение Пр.9-23'!G70</f>
        <v>0</v>
      </c>
      <c r="H70" s="714">
        <f>'[11]Диспан.набл.взрослых Пр.3-23'!H70+'[11]Уточнение Пр.9-23'!H70</f>
        <v>0</v>
      </c>
      <c r="I70" s="714">
        <f>'[11]Диспан.набл.взрослых Пр.3-23'!I70+'[11]Уточнение Пр.9-23'!I70</f>
        <v>0</v>
      </c>
      <c r="J70" s="714">
        <f>'[11]Диспан.набл.взрослых Пр.3-23'!J70+'[11]Уточнение Пр.9-23'!J70</f>
        <v>0</v>
      </c>
      <c r="K70" s="714">
        <f>'[11]Диспан.набл.взрослых Пр.3-23'!K70+'[11]Уточнение Пр.9-23'!K70</f>
        <v>0</v>
      </c>
      <c r="L70" s="714">
        <f>'[11]Диспан.набл.взрослых Пр.3-23'!L70+'[11]Уточнение Пр.9-23'!L70</f>
        <v>0</v>
      </c>
      <c r="M70" s="714">
        <f>'[11]Диспан.набл.взрослых Пр.3-23'!M70+'[11]Уточнение Пр.9-23'!M70</f>
        <v>0</v>
      </c>
      <c r="N70" s="714">
        <f>'[11]Диспан.набл.взрослых Пр.3-23'!N70+'[11]Уточнение Пр.9-23'!N70</f>
        <v>0</v>
      </c>
      <c r="O70" s="714">
        <f>'[11]Диспан.набл.взрослых Пр.3-23'!O70+'[11]Уточнение Пр.9-23'!O70</f>
        <v>0</v>
      </c>
      <c r="P70" s="714">
        <f>'[11]Диспан.набл.взрослых Пр.3-23'!P70+'[11]Уточнение Пр.9-23'!P70</f>
        <v>0</v>
      </c>
      <c r="Q70" s="714">
        <f>'[11]Диспан.набл.взрослых Пр.3-23'!Q70+'[11]Уточнение Пр.9-23'!Q70</f>
        <v>0</v>
      </c>
      <c r="R70" s="714">
        <f>'[11]Диспан.набл.взрослых Пр.3-23'!R70+'[11]Уточнение Пр.9-23'!R70</f>
        <v>0</v>
      </c>
    </row>
    <row r="71" spans="1:18" ht="24" x14ac:dyDescent="0.25">
      <c r="A71" s="711">
        <v>60</v>
      </c>
      <c r="B71" s="715" t="s">
        <v>133</v>
      </c>
      <c r="C71" s="653" t="s">
        <v>134</v>
      </c>
      <c r="D71" s="714">
        <f t="shared" si="1"/>
        <v>0</v>
      </c>
      <c r="E71" s="714">
        <f>'[11]Диспан.набл.взрослых Пр.3-23'!E71+'[11]Уточнение Пр.9-23'!E71</f>
        <v>0</v>
      </c>
      <c r="F71" s="714">
        <f>'[11]Диспан.набл.взрослых Пр.3-23'!F71+'[11]Уточнение Пр.9-23'!F71</f>
        <v>0</v>
      </c>
      <c r="G71" s="714">
        <f>'[11]Диспан.набл.взрослых Пр.3-23'!G71+'[11]Уточнение Пр.9-23'!G71</f>
        <v>0</v>
      </c>
      <c r="H71" s="714">
        <f>'[11]Диспан.набл.взрослых Пр.3-23'!H71+'[11]Уточнение Пр.9-23'!H71</f>
        <v>0</v>
      </c>
      <c r="I71" s="714">
        <f>'[11]Диспан.набл.взрослых Пр.3-23'!I71+'[11]Уточнение Пр.9-23'!I71</f>
        <v>0</v>
      </c>
      <c r="J71" s="714">
        <f>'[11]Диспан.набл.взрослых Пр.3-23'!J71+'[11]Уточнение Пр.9-23'!J71</f>
        <v>0</v>
      </c>
      <c r="K71" s="714">
        <f>'[11]Диспан.набл.взрослых Пр.3-23'!K71+'[11]Уточнение Пр.9-23'!K71</f>
        <v>0</v>
      </c>
      <c r="L71" s="714">
        <f>'[11]Диспан.набл.взрослых Пр.3-23'!L71+'[11]Уточнение Пр.9-23'!L71</f>
        <v>0</v>
      </c>
      <c r="M71" s="714">
        <f>'[11]Диспан.набл.взрослых Пр.3-23'!M71+'[11]Уточнение Пр.9-23'!M71</f>
        <v>0</v>
      </c>
      <c r="N71" s="714">
        <f>'[11]Диспан.набл.взрослых Пр.3-23'!N71+'[11]Уточнение Пр.9-23'!N71</f>
        <v>0</v>
      </c>
      <c r="O71" s="714">
        <f>'[11]Диспан.набл.взрослых Пр.3-23'!O71+'[11]Уточнение Пр.9-23'!O71</f>
        <v>0</v>
      </c>
      <c r="P71" s="714">
        <f>'[11]Диспан.набл.взрослых Пр.3-23'!P71+'[11]Уточнение Пр.9-23'!P71</f>
        <v>0</v>
      </c>
      <c r="Q71" s="714">
        <f>'[11]Диспан.набл.взрослых Пр.3-23'!Q71+'[11]Уточнение Пр.9-23'!Q71</f>
        <v>0</v>
      </c>
      <c r="R71" s="714">
        <f>'[11]Диспан.набл.взрослых Пр.3-23'!R71+'[11]Уточнение Пр.9-23'!R71</f>
        <v>0</v>
      </c>
    </row>
    <row r="72" spans="1:18" ht="24" x14ac:dyDescent="0.25">
      <c r="A72" s="711">
        <v>61</v>
      </c>
      <c r="B72" s="716" t="s">
        <v>135</v>
      </c>
      <c r="C72" s="653" t="s">
        <v>136</v>
      </c>
      <c r="D72" s="714">
        <f t="shared" si="1"/>
        <v>0</v>
      </c>
      <c r="E72" s="714">
        <f>'[11]Диспан.набл.взрослых Пр.3-23'!E72+'[11]Уточнение Пр.9-23'!E72</f>
        <v>0</v>
      </c>
      <c r="F72" s="714">
        <f>'[11]Диспан.набл.взрослых Пр.3-23'!F72+'[11]Уточнение Пр.9-23'!F72</f>
        <v>0</v>
      </c>
      <c r="G72" s="714">
        <f>'[11]Диспан.набл.взрослых Пр.3-23'!G72+'[11]Уточнение Пр.9-23'!G72</f>
        <v>0</v>
      </c>
      <c r="H72" s="714">
        <f>'[11]Диспан.набл.взрослых Пр.3-23'!H72+'[11]Уточнение Пр.9-23'!H72</f>
        <v>0</v>
      </c>
      <c r="I72" s="714">
        <f>'[11]Диспан.набл.взрослых Пр.3-23'!I72+'[11]Уточнение Пр.9-23'!I72</f>
        <v>0</v>
      </c>
      <c r="J72" s="714">
        <f>'[11]Диспан.набл.взрослых Пр.3-23'!J72+'[11]Уточнение Пр.9-23'!J72</f>
        <v>0</v>
      </c>
      <c r="K72" s="714">
        <f>'[11]Диспан.набл.взрослых Пр.3-23'!K72+'[11]Уточнение Пр.9-23'!K72</f>
        <v>0</v>
      </c>
      <c r="L72" s="714">
        <f>'[11]Диспан.набл.взрослых Пр.3-23'!L72+'[11]Уточнение Пр.9-23'!L72</f>
        <v>0</v>
      </c>
      <c r="M72" s="714">
        <f>'[11]Диспан.набл.взрослых Пр.3-23'!M72+'[11]Уточнение Пр.9-23'!M72</f>
        <v>0</v>
      </c>
      <c r="N72" s="714">
        <f>'[11]Диспан.набл.взрослых Пр.3-23'!N72+'[11]Уточнение Пр.9-23'!N72</f>
        <v>0</v>
      </c>
      <c r="O72" s="714">
        <f>'[11]Диспан.набл.взрослых Пр.3-23'!O72+'[11]Уточнение Пр.9-23'!O72</f>
        <v>0</v>
      </c>
      <c r="P72" s="714">
        <f>'[11]Диспан.набл.взрослых Пр.3-23'!P72+'[11]Уточнение Пр.9-23'!P72</f>
        <v>0</v>
      </c>
      <c r="Q72" s="714">
        <f>'[11]Диспан.набл.взрослых Пр.3-23'!Q72+'[11]Уточнение Пр.9-23'!Q72</f>
        <v>0</v>
      </c>
      <c r="R72" s="714">
        <f>'[11]Диспан.набл.взрослых Пр.3-23'!R72+'[11]Уточнение Пр.9-23'!R72</f>
        <v>0</v>
      </c>
    </row>
    <row r="73" spans="1:18" ht="24" x14ac:dyDescent="0.25">
      <c r="A73" s="711">
        <v>62</v>
      </c>
      <c r="B73" s="712" t="s">
        <v>137</v>
      </c>
      <c r="C73" s="653" t="s">
        <v>138</v>
      </c>
      <c r="D73" s="714">
        <f t="shared" si="1"/>
        <v>0</v>
      </c>
      <c r="E73" s="714">
        <f>'[11]Диспан.набл.взрослых Пр.3-23'!E73+'[11]Уточнение Пр.9-23'!E73</f>
        <v>0</v>
      </c>
      <c r="F73" s="714">
        <f>'[11]Диспан.набл.взрослых Пр.3-23'!F73+'[11]Уточнение Пр.9-23'!F73</f>
        <v>0</v>
      </c>
      <c r="G73" s="714">
        <f>'[11]Диспан.набл.взрослых Пр.3-23'!G73+'[11]Уточнение Пр.9-23'!G73</f>
        <v>0</v>
      </c>
      <c r="H73" s="714">
        <f>'[11]Диспан.набл.взрослых Пр.3-23'!H73+'[11]Уточнение Пр.9-23'!H73</f>
        <v>0</v>
      </c>
      <c r="I73" s="714">
        <f>'[11]Диспан.набл.взрослых Пр.3-23'!I73+'[11]Уточнение Пр.9-23'!I73</f>
        <v>0</v>
      </c>
      <c r="J73" s="714">
        <f>'[11]Диспан.набл.взрослых Пр.3-23'!J73+'[11]Уточнение Пр.9-23'!J73</f>
        <v>0</v>
      </c>
      <c r="K73" s="714">
        <f>'[11]Диспан.набл.взрослых Пр.3-23'!K73+'[11]Уточнение Пр.9-23'!K73</f>
        <v>0</v>
      </c>
      <c r="L73" s="714">
        <f>'[11]Диспан.набл.взрослых Пр.3-23'!L73+'[11]Уточнение Пр.9-23'!L73</f>
        <v>0</v>
      </c>
      <c r="M73" s="714">
        <f>'[11]Диспан.набл.взрослых Пр.3-23'!M73+'[11]Уточнение Пр.9-23'!M73</f>
        <v>0</v>
      </c>
      <c r="N73" s="714">
        <f>'[11]Диспан.набл.взрослых Пр.3-23'!N73+'[11]Уточнение Пр.9-23'!N73</f>
        <v>0</v>
      </c>
      <c r="O73" s="714">
        <f>'[11]Диспан.набл.взрослых Пр.3-23'!O73+'[11]Уточнение Пр.9-23'!O73</f>
        <v>0</v>
      </c>
      <c r="P73" s="714">
        <f>'[11]Диспан.набл.взрослых Пр.3-23'!P73+'[11]Уточнение Пр.9-23'!P73</f>
        <v>0</v>
      </c>
      <c r="Q73" s="714">
        <f>'[11]Диспан.набл.взрослых Пр.3-23'!Q73+'[11]Уточнение Пр.9-23'!Q73</f>
        <v>0</v>
      </c>
      <c r="R73" s="714">
        <f>'[11]Диспан.набл.взрослых Пр.3-23'!R73+'[11]Уточнение Пр.9-23'!R73</f>
        <v>0</v>
      </c>
    </row>
    <row r="74" spans="1:18" ht="24" x14ac:dyDescent="0.25">
      <c r="A74" s="711">
        <v>63</v>
      </c>
      <c r="B74" s="712" t="s">
        <v>139</v>
      </c>
      <c r="C74" s="653" t="s">
        <v>140</v>
      </c>
      <c r="D74" s="714">
        <f t="shared" si="1"/>
        <v>0</v>
      </c>
      <c r="E74" s="714">
        <f>'[11]Диспан.набл.взрослых Пр.3-23'!E74+'[11]Уточнение Пр.9-23'!E74</f>
        <v>0</v>
      </c>
      <c r="F74" s="714">
        <f>'[11]Диспан.набл.взрослых Пр.3-23'!F74+'[11]Уточнение Пр.9-23'!F74</f>
        <v>0</v>
      </c>
      <c r="G74" s="714">
        <f>'[11]Диспан.набл.взрослых Пр.3-23'!G74+'[11]Уточнение Пр.9-23'!G74</f>
        <v>0</v>
      </c>
      <c r="H74" s="714">
        <f>'[11]Диспан.набл.взрослых Пр.3-23'!H74+'[11]Уточнение Пр.9-23'!H74</f>
        <v>0</v>
      </c>
      <c r="I74" s="714">
        <f>'[11]Диспан.набл.взрослых Пр.3-23'!I74+'[11]Уточнение Пр.9-23'!I74</f>
        <v>0</v>
      </c>
      <c r="J74" s="714">
        <f>'[11]Диспан.набл.взрослых Пр.3-23'!J74+'[11]Уточнение Пр.9-23'!J74</f>
        <v>0</v>
      </c>
      <c r="K74" s="714">
        <f>'[11]Диспан.набл.взрослых Пр.3-23'!K74+'[11]Уточнение Пр.9-23'!K74</f>
        <v>0</v>
      </c>
      <c r="L74" s="714">
        <f>'[11]Диспан.набл.взрослых Пр.3-23'!L74+'[11]Уточнение Пр.9-23'!L74</f>
        <v>0</v>
      </c>
      <c r="M74" s="714">
        <f>'[11]Диспан.набл.взрослых Пр.3-23'!M74+'[11]Уточнение Пр.9-23'!M74</f>
        <v>0</v>
      </c>
      <c r="N74" s="714">
        <f>'[11]Диспан.набл.взрослых Пр.3-23'!N74+'[11]Уточнение Пр.9-23'!N74</f>
        <v>0</v>
      </c>
      <c r="O74" s="714">
        <f>'[11]Диспан.набл.взрослых Пр.3-23'!O74+'[11]Уточнение Пр.9-23'!O74</f>
        <v>0</v>
      </c>
      <c r="P74" s="714">
        <f>'[11]Диспан.набл.взрослых Пр.3-23'!P74+'[11]Уточнение Пр.9-23'!P74</f>
        <v>0</v>
      </c>
      <c r="Q74" s="714">
        <f>'[11]Диспан.набл.взрослых Пр.3-23'!Q74+'[11]Уточнение Пр.9-23'!Q74</f>
        <v>0</v>
      </c>
      <c r="R74" s="714">
        <f>'[11]Диспан.набл.взрослых Пр.3-23'!R74+'[11]Уточнение Пр.9-23'!R74</f>
        <v>0</v>
      </c>
    </row>
    <row r="75" spans="1:18" x14ac:dyDescent="0.25">
      <c r="A75" s="711">
        <v>64</v>
      </c>
      <c r="B75" s="715" t="s">
        <v>141</v>
      </c>
      <c r="C75" s="653" t="s">
        <v>142</v>
      </c>
      <c r="D75" s="714">
        <f t="shared" si="1"/>
        <v>26470</v>
      </c>
      <c r="E75" s="714">
        <f>'[11]Диспан.набл.взрослых Пр.3-23'!E75+'[11]Уточнение Пр.9-23'!E75</f>
        <v>23465</v>
      </c>
      <c r="F75" s="714">
        <f>'[11]Диспан.набл.взрослых Пр.3-23'!F75+'[11]Уточнение Пр.9-23'!F75</f>
        <v>1388</v>
      </c>
      <c r="G75" s="714">
        <f>'[11]Диспан.набл.взрослых Пр.3-23'!G75+'[11]Уточнение Пр.9-23'!G75</f>
        <v>1256</v>
      </c>
      <c r="H75" s="714">
        <f>'[11]Диспан.набл.взрослых Пр.3-23'!H75+'[11]Уточнение Пр.9-23'!H75</f>
        <v>59</v>
      </c>
      <c r="I75" s="714">
        <f>'[11]Диспан.набл.взрослых Пр.3-23'!I75+'[11]Уточнение Пр.9-23'!I75</f>
        <v>0</v>
      </c>
      <c r="J75" s="714">
        <f>'[11]Диспан.набл.взрослых Пр.3-23'!J75+'[11]Уточнение Пр.9-23'!J75</f>
        <v>4</v>
      </c>
      <c r="K75" s="714">
        <f>'[11]Диспан.набл.взрослых Пр.3-23'!K75+'[11]Уточнение Пр.9-23'!K75</f>
        <v>3</v>
      </c>
      <c r="L75" s="714">
        <f>'[11]Диспан.набл.взрослых Пр.3-23'!L75+'[11]Уточнение Пр.9-23'!L75</f>
        <v>0</v>
      </c>
      <c r="M75" s="714">
        <f>'[11]Диспан.набл.взрослых Пр.3-23'!M75+'[11]Уточнение Пр.9-23'!M75</f>
        <v>10</v>
      </c>
      <c r="N75" s="714">
        <f>'[11]Диспан.набл.взрослых Пр.3-23'!N75+'[11]Уточнение Пр.9-23'!N75</f>
        <v>87</v>
      </c>
      <c r="O75" s="714">
        <f>'[11]Диспан.набл.взрослых Пр.3-23'!O75+'[11]Уточнение Пр.9-23'!O75</f>
        <v>0</v>
      </c>
      <c r="P75" s="714">
        <f>'[11]Диспан.набл.взрослых Пр.3-23'!P75+'[11]Уточнение Пр.9-23'!P75</f>
        <v>0</v>
      </c>
      <c r="Q75" s="714">
        <f>'[11]Диспан.набл.взрослых Пр.3-23'!Q75+'[11]Уточнение Пр.9-23'!Q75</f>
        <v>189</v>
      </c>
      <c r="R75" s="714">
        <f>'[11]Диспан.набл.взрослых Пр.3-23'!R75+'[11]Уточнение Пр.9-23'!R75</f>
        <v>9</v>
      </c>
    </row>
    <row r="76" spans="1:18" x14ac:dyDescent="0.25">
      <c r="A76" s="711">
        <v>65</v>
      </c>
      <c r="B76" s="715" t="s">
        <v>143</v>
      </c>
      <c r="C76" s="713" t="s">
        <v>144</v>
      </c>
      <c r="D76" s="714">
        <f t="shared" si="1"/>
        <v>30027</v>
      </c>
      <c r="E76" s="714">
        <f>'[11]Диспан.набл.взрослых Пр.3-23'!E76+'[11]Уточнение Пр.9-23'!E76</f>
        <v>27108</v>
      </c>
      <c r="F76" s="714">
        <f>'[11]Диспан.набл.взрослых Пр.3-23'!F76+'[11]Уточнение Пр.9-23'!F76</f>
        <v>2029</v>
      </c>
      <c r="G76" s="714">
        <f>'[11]Диспан.набл.взрослых Пр.3-23'!G76+'[11]Уточнение Пр.9-23'!G76</f>
        <v>388</v>
      </c>
      <c r="H76" s="714">
        <f>'[11]Диспан.набл.взрослых Пр.3-23'!H76+'[11]Уточнение Пр.9-23'!H76</f>
        <v>71</v>
      </c>
      <c r="I76" s="714">
        <f>'[11]Диспан.набл.взрослых Пр.3-23'!I76+'[11]Уточнение Пр.9-23'!I76</f>
        <v>0</v>
      </c>
      <c r="J76" s="714">
        <f>'[11]Диспан.набл.взрослых Пр.3-23'!J76+'[11]Уточнение Пр.9-23'!J76</f>
        <v>0</v>
      </c>
      <c r="K76" s="714">
        <f>'[11]Диспан.набл.взрослых Пр.3-23'!K76+'[11]Уточнение Пр.9-23'!K76</f>
        <v>6</v>
      </c>
      <c r="L76" s="714">
        <f>'[11]Диспан.набл.взрослых Пр.3-23'!L76+'[11]Уточнение Пр.9-23'!L76</f>
        <v>0</v>
      </c>
      <c r="M76" s="714">
        <f>'[11]Диспан.набл.взрослых Пр.3-23'!M76+'[11]Уточнение Пр.9-23'!M76</f>
        <v>10</v>
      </c>
      <c r="N76" s="714">
        <f>'[11]Диспан.набл.взрослых Пр.3-23'!N76+'[11]Уточнение Пр.9-23'!N76</f>
        <v>234</v>
      </c>
      <c r="O76" s="714">
        <f>'[11]Диспан.набл.взрослых Пр.3-23'!O76+'[11]Уточнение Пр.9-23'!O76</f>
        <v>0</v>
      </c>
      <c r="P76" s="714">
        <f>'[11]Диспан.набл.взрослых Пр.3-23'!P76+'[11]Уточнение Пр.9-23'!P76</f>
        <v>181</v>
      </c>
      <c r="Q76" s="714">
        <f>'[11]Диспан.набл.взрослых Пр.3-23'!Q76+'[11]Уточнение Пр.9-23'!Q76</f>
        <v>0</v>
      </c>
      <c r="R76" s="714">
        <f>'[11]Диспан.набл.взрослых Пр.3-23'!R76+'[11]Уточнение Пр.9-23'!R76</f>
        <v>0</v>
      </c>
    </row>
    <row r="77" spans="1:18" x14ac:dyDescent="0.25">
      <c r="A77" s="711">
        <v>66</v>
      </c>
      <c r="B77" s="715" t="s">
        <v>145</v>
      </c>
      <c r="C77" s="653" t="s">
        <v>146</v>
      </c>
      <c r="D77" s="714">
        <f t="shared" ref="D77:D140" si="2">SUM(E77:R77)</f>
        <v>42131</v>
      </c>
      <c r="E77" s="714">
        <f>'[11]Диспан.набл.взрослых Пр.3-23'!E77+'[11]Уточнение Пр.9-23'!E77</f>
        <v>37165</v>
      </c>
      <c r="F77" s="714">
        <f>'[11]Диспан.набл.взрослых Пр.3-23'!F77+'[11]Уточнение Пр.9-23'!F77</f>
        <v>3105</v>
      </c>
      <c r="G77" s="714">
        <f>'[11]Диспан.набл.взрослых Пр.3-23'!G77+'[11]Уточнение Пр.9-23'!G77</f>
        <v>497</v>
      </c>
      <c r="H77" s="714">
        <f>'[11]Диспан.набл.взрослых Пр.3-23'!H77+'[11]Уточнение Пр.9-23'!H77</f>
        <v>710</v>
      </c>
      <c r="I77" s="714">
        <f>'[11]Диспан.набл.взрослых Пр.3-23'!I77+'[11]Уточнение Пр.9-23'!I77</f>
        <v>0</v>
      </c>
      <c r="J77" s="714">
        <f>'[11]Диспан.набл.взрослых Пр.3-23'!J77+'[11]Уточнение Пр.9-23'!J77</f>
        <v>0</v>
      </c>
      <c r="K77" s="714">
        <f>'[11]Диспан.набл.взрослых Пр.3-23'!K77+'[11]Уточнение Пр.9-23'!K77</f>
        <v>46</v>
      </c>
      <c r="L77" s="714">
        <f>'[11]Диспан.набл.взрослых Пр.3-23'!L77+'[11]Уточнение Пр.9-23'!L77</f>
        <v>3</v>
      </c>
      <c r="M77" s="714">
        <f>'[11]Диспан.набл.взрослых Пр.3-23'!M77+'[11]Уточнение Пр.9-23'!M77</f>
        <v>24</v>
      </c>
      <c r="N77" s="714">
        <f>'[11]Диспан.набл.взрослых Пр.3-23'!N77+'[11]Уточнение Пр.9-23'!N77</f>
        <v>147</v>
      </c>
      <c r="O77" s="714">
        <f>'[11]Диспан.набл.взрослых Пр.3-23'!O77+'[11]Уточнение Пр.9-23'!O77</f>
        <v>0</v>
      </c>
      <c r="P77" s="714">
        <f>'[11]Диспан.набл.взрослых Пр.3-23'!P77+'[11]Уточнение Пр.9-23'!P77</f>
        <v>199</v>
      </c>
      <c r="Q77" s="714">
        <f>'[11]Диспан.набл.взрослых Пр.3-23'!Q77+'[11]Уточнение Пр.9-23'!Q77</f>
        <v>235</v>
      </c>
      <c r="R77" s="714">
        <f>'[11]Диспан.набл.взрослых Пр.3-23'!R77+'[11]Уточнение Пр.9-23'!R77</f>
        <v>0</v>
      </c>
    </row>
    <row r="78" spans="1:18" ht="24" x14ac:dyDescent="0.25">
      <c r="A78" s="711">
        <v>67</v>
      </c>
      <c r="B78" s="715" t="s">
        <v>147</v>
      </c>
      <c r="C78" s="653" t="s">
        <v>148</v>
      </c>
      <c r="D78" s="714">
        <f t="shared" si="2"/>
        <v>7</v>
      </c>
      <c r="E78" s="714">
        <f>'[11]Диспан.набл.взрослых Пр.3-23'!E78+'[11]Уточнение Пр.9-23'!E78</f>
        <v>0</v>
      </c>
      <c r="F78" s="714">
        <f>'[11]Диспан.набл.взрослых Пр.3-23'!F78+'[11]Уточнение Пр.9-23'!F78</f>
        <v>0</v>
      </c>
      <c r="G78" s="714">
        <f>'[11]Диспан.набл.взрослых Пр.3-23'!G78+'[11]Уточнение Пр.9-23'!G78</f>
        <v>0</v>
      </c>
      <c r="H78" s="714">
        <f>'[11]Диспан.набл.взрослых Пр.3-23'!H78+'[11]Уточнение Пр.9-23'!H78</f>
        <v>0</v>
      </c>
      <c r="I78" s="714">
        <f>'[11]Диспан.набл.взрослых Пр.3-23'!I78+'[11]Уточнение Пр.9-23'!I78</f>
        <v>0</v>
      </c>
      <c r="J78" s="714">
        <f>'[11]Диспан.набл.взрослых Пр.3-23'!J78+'[11]Уточнение Пр.9-23'!J78</f>
        <v>0</v>
      </c>
      <c r="K78" s="714">
        <f>'[11]Диспан.набл.взрослых Пр.3-23'!K78+'[11]Уточнение Пр.9-23'!K78</f>
        <v>0</v>
      </c>
      <c r="L78" s="714">
        <f>'[11]Диспан.набл.взрослых Пр.3-23'!L78+'[11]Уточнение Пр.9-23'!L78</f>
        <v>0</v>
      </c>
      <c r="M78" s="714">
        <f>'[11]Диспан.набл.взрослых Пр.3-23'!M78+'[11]Уточнение Пр.9-23'!M78</f>
        <v>0</v>
      </c>
      <c r="N78" s="714">
        <f>'[11]Диспан.набл.взрослых Пр.3-23'!N78+'[11]Уточнение Пр.9-23'!N78</f>
        <v>0</v>
      </c>
      <c r="O78" s="714">
        <f>'[11]Диспан.набл.взрослых Пр.3-23'!O78+'[11]Уточнение Пр.9-23'!O78</f>
        <v>7</v>
      </c>
      <c r="P78" s="714">
        <f>'[11]Диспан.набл.взрослых Пр.3-23'!P78+'[11]Уточнение Пр.9-23'!P78</f>
        <v>0</v>
      </c>
      <c r="Q78" s="714">
        <f>'[11]Диспан.набл.взрослых Пр.3-23'!Q78+'[11]Уточнение Пр.9-23'!Q78</f>
        <v>0</v>
      </c>
      <c r="R78" s="714">
        <f>'[11]Диспан.набл.взрослых Пр.3-23'!R78+'[11]Уточнение Пр.9-23'!R78</f>
        <v>0</v>
      </c>
    </row>
    <row r="79" spans="1:18" ht="24" x14ac:dyDescent="0.25">
      <c r="A79" s="711">
        <v>68</v>
      </c>
      <c r="B79" s="712" t="s">
        <v>149</v>
      </c>
      <c r="C79" s="653" t="s">
        <v>150</v>
      </c>
      <c r="D79" s="714">
        <f t="shared" si="2"/>
        <v>8</v>
      </c>
      <c r="E79" s="714">
        <f>'[11]Диспан.набл.взрослых Пр.3-23'!E79+'[11]Уточнение Пр.9-23'!E79</f>
        <v>0</v>
      </c>
      <c r="F79" s="714">
        <f>'[11]Диспан.набл.взрослых Пр.3-23'!F79+'[11]Уточнение Пр.9-23'!F79</f>
        <v>0</v>
      </c>
      <c r="G79" s="714">
        <f>'[11]Диспан.набл.взрослых Пр.3-23'!G79+'[11]Уточнение Пр.9-23'!G79</f>
        <v>0</v>
      </c>
      <c r="H79" s="714">
        <f>'[11]Диспан.набл.взрослых Пр.3-23'!H79+'[11]Уточнение Пр.9-23'!H79</f>
        <v>0</v>
      </c>
      <c r="I79" s="714">
        <f>'[11]Диспан.набл.взрослых Пр.3-23'!I79+'[11]Уточнение Пр.9-23'!I79</f>
        <v>0</v>
      </c>
      <c r="J79" s="714">
        <f>'[11]Диспан.набл.взрослых Пр.3-23'!J79+'[11]Уточнение Пр.9-23'!J79</f>
        <v>1</v>
      </c>
      <c r="K79" s="714">
        <f>'[11]Диспан.набл.взрослых Пр.3-23'!K79+'[11]Уточнение Пр.9-23'!K79</f>
        <v>0</v>
      </c>
      <c r="L79" s="714">
        <f>'[11]Диспан.набл.взрослых Пр.3-23'!L79+'[11]Уточнение Пр.9-23'!L79</f>
        <v>0</v>
      </c>
      <c r="M79" s="714">
        <f>'[11]Диспан.набл.взрослых Пр.3-23'!M79+'[11]Уточнение Пр.9-23'!M79</f>
        <v>0</v>
      </c>
      <c r="N79" s="714">
        <f>'[11]Диспан.набл.взрослых Пр.3-23'!N79+'[11]Уточнение Пр.9-23'!N79</f>
        <v>0</v>
      </c>
      <c r="O79" s="714">
        <f>'[11]Диспан.набл.взрослых Пр.3-23'!O79+'[11]Уточнение Пр.9-23'!O79</f>
        <v>7</v>
      </c>
      <c r="P79" s="714">
        <f>'[11]Диспан.набл.взрослых Пр.3-23'!P79+'[11]Уточнение Пр.9-23'!P79</f>
        <v>0</v>
      </c>
      <c r="Q79" s="714">
        <f>'[11]Диспан.набл.взрослых Пр.3-23'!Q79+'[11]Уточнение Пр.9-23'!Q79</f>
        <v>0</v>
      </c>
      <c r="R79" s="714">
        <f>'[11]Диспан.набл.взрослых Пр.3-23'!R79+'[11]Уточнение Пр.9-23'!R79</f>
        <v>0</v>
      </c>
    </row>
    <row r="80" spans="1:18" ht="24" x14ac:dyDescent="0.25">
      <c r="A80" s="711">
        <v>69</v>
      </c>
      <c r="B80" s="715" t="s">
        <v>151</v>
      </c>
      <c r="C80" s="653" t="s">
        <v>152</v>
      </c>
      <c r="D80" s="714">
        <f t="shared" si="2"/>
        <v>12</v>
      </c>
      <c r="E80" s="714">
        <f>'[11]Диспан.набл.взрослых Пр.3-23'!E80+'[11]Уточнение Пр.9-23'!E80</f>
        <v>0</v>
      </c>
      <c r="F80" s="714">
        <f>'[11]Диспан.набл.взрослых Пр.3-23'!F80+'[11]Уточнение Пр.9-23'!F80</f>
        <v>0</v>
      </c>
      <c r="G80" s="714">
        <f>'[11]Диспан.набл.взрослых Пр.3-23'!G80+'[11]Уточнение Пр.9-23'!G80</f>
        <v>0</v>
      </c>
      <c r="H80" s="714">
        <f>'[11]Диспан.набл.взрослых Пр.3-23'!H80+'[11]Уточнение Пр.9-23'!H80</f>
        <v>0</v>
      </c>
      <c r="I80" s="714">
        <f>'[11]Диспан.набл.взрослых Пр.3-23'!I80+'[11]Уточнение Пр.9-23'!I80</f>
        <v>0</v>
      </c>
      <c r="J80" s="714">
        <f>'[11]Диспан.набл.взрослых Пр.3-23'!J80+'[11]Уточнение Пр.9-23'!J80</f>
        <v>0</v>
      </c>
      <c r="K80" s="714">
        <f>'[11]Диспан.набл.взрослых Пр.3-23'!K80+'[11]Уточнение Пр.9-23'!K80</f>
        <v>0</v>
      </c>
      <c r="L80" s="714">
        <f>'[11]Диспан.набл.взрослых Пр.3-23'!L80+'[11]Уточнение Пр.9-23'!L80</f>
        <v>0</v>
      </c>
      <c r="M80" s="714">
        <f>'[11]Диспан.набл.взрослых Пр.3-23'!M80+'[11]Уточнение Пр.9-23'!M80</f>
        <v>0</v>
      </c>
      <c r="N80" s="714">
        <f>'[11]Диспан.набл.взрослых Пр.3-23'!N80+'[11]Уточнение Пр.9-23'!N80</f>
        <v>0</v>
      </c>
      <c r="O80" s="714">
        <f>'[11]Диспан.набл.взрослых Пр.3-23'!O80+'[11]Уточнение Пр.9-23'!O80</f>
        <v>12</v>
      </c>
      <c r="P80" s="714">
        <f>'[11]Диспан.набл.взрослых Пр.3-23'!P80+'[11]Уточнение Пр.9-23'!P80</f>
        <v>0</v>
      </c>
      <c r="Q80" s="714">
        <f>'[11]Диспан.набл.взрослых Пр.3-23'!Q80+'[11]Уточнение Пр.9-23'!Q80</f>
        <v>0</v>
      </c>
      <c r="R80" s="714">
        <f>'[11]Диспан.набл.взрослых Пр.3-23'!R80+'[11]Уточнение Пр.9-23'!R80</f>
        <v>0</v>
      </c>
    </row>
    <row r="81" spans="1:18" ht="24" x14ac:dyDescent="0.25">
      <c r="A81" s="711">
        <v>70</v>
      </c>
      <c r="B81" s="715" t="s">
        <v>153</v>
      </c>
      <c r="C81" s="653" t="s">
        <v>154</v>
      </c>
      <c r="D81" s="714">
        <f t="shared" si="2"/>
        <v>19</v>
      </c>
      <c r="E81" s="714">
        <f>'[11]Диспан.набл.взрослых Пр.3-23'!E81+'[11]Уточнение Пр.9-23'!E81</f>
        <v>0</v>
      </c>
      <c r="F81" s="714">
        <f>'[11]Диспан.набл.взрослых Пр.3-23'!F81+'[11]Уточнение Пр.9-23'!F81</f>
        <v>0</v>
      </c>
      <c r="G81" s="714">
        <f>'[11]Диспан.набл.взрослых Пр.3-23'!G81+'[11]Уточнение Пр.9-23'!G81</f>
        <v>0</v>
      </c>
      <c r="H81" s="714">
        <f>'[11]Диспан.набл.взрослых Пр.3-23'!H81+'[11]Уточнение Пр.9-23'!H81</f>
        <v>0</v>
      </c>
      <c r="I81" s="714">
        <f>'[11]Диспан.набл.взрослых Пр.3-23'!I81+'[11]Уточнение Пр.9-23'!I81</f>
        <v>0</v>
      </c>
      <c r="J81" s="714">
        <f>'[11]Диспан.набл.взрослых Пр.3-23'!J81+'[11]Уточнение Пр.9-23'!J81</f>
        <v>0</v>
      </c>
      <c r="K81" s="714">
        <f>'[11]Диспан.набл.взрослых Пр.3-23'!K81+'[11]Уточнение Пр.9-23'!K81</f>
        <v>0</v>
      </c>
      <c r="L81" s="714">
        <f>'[11]Диспан.набл.взрослых Пр.3-23'!L81+'[11]Уточнение Пр.9-23'!L81</f>
        <v>0</v>
      </c>
      <c r="M81" s="714">
        <f>'[11]Диспан.набл.взрослых Пр.3-23'!M81+'[11]Уточнение Пр.9-23'!M81</f>
        <v>0</v>
      </c>
      <c r="N81" s="714">
        <f>'[11]Диспан.набл.взрослых Пр.3-23'!N81+'[11]Уточнение Пр.9-23'!N81</f>
        <v>0</v>
      </c>
      <c r="O81" s="714">
        <f>'[11]Диспан.набл.взрослых Пр.3-23'!O81+'[11]Уточнение Пр.9-23'!O81</f>
        <v>19</v>
      </c>
      <c r="P81" s="714">
        <f>'[11]Диспан.набл.взрослых Пр.3-23'!P81+'[11]Уточнение Пр.9-23'!P81</f>
        <v>0</v>
      </c>
      <c r="Q81" s="714">
        <f>'[11]Диспан.набл.взрослых Пр.3-23'!Q81+'[11]Уточнение Пр.9-23'!Q81</f>
        <v>0</v>
      </c>
      <c r="R81" s="714">
        <f>'[11]Диспан.набл.взрослых Пр.3-23'!R81+'[11]Уточнение Пр.9-23'!R81</f>
        <v>0</v>
      </c>
    </row>
    <row r="82" spans="1:18" ht="24" x14ac:dyDescent="0.25">
      <c r="A82" s="711">
        <v>71</v>
      </c>
      <c r="B82" s="712" t="s">
        <v>155</v>
      </c>
      <c r="C82" s="653" t="s">
        <v>156</v>
      </c>
      <c r="D82" s="714">
        <f t="shared" si="2"/>
        <v>0</v>
      </c>
      <c r="E82" s="714">
        <f>'[11]Диспан.набл.взрослых Пр.3-23'!E82+'[11]Уточнение Пр.9-23'!E82</f>
        <v>0</v>
      </c>
      <c r="F82" s="714">
        <f>'[11]Диспан.набл.взрослых Пр.3-23'!F82+'[11]Уточнение Пр.9-23'!F82</f>
        <v>0</v>
      </c>
      <c r="G82" s="714">
        <f>'[11]Диспан.набл.взрослых Пр.3-23'!G82+'[11]Уточнение Пр.9-23'!G82</f>
        <v>0</v>
      </c>
      <c r="H82" s="714">
        <f>'[11]Диспан.набл.взрослых Пр.3-23'!H82+'[11]Уточнение Пр.9-23'!H82</f>
        <v>0</v>
      </c>
      <c r="I82" s="714">
        <f>'[11]Диспан.набл.взрослых Пр.3-23'!I82+'[11]Уточнение Пр.9-23'!I82</f>
        <v>0</v>
      </c>
      <c r="J82" s="714">
        <f>'[11]Диспан.набл.взрослых Пр.3-23'!J82+'[11]Уточнение Пр.9-23'!J82</f>
        <v>0</v>
      </c>
      <c r="K82" s="714">
        <f>'[11]Диспан.набл.взрослых Пр.3-23'!K82+'[11]Уточнение Пр.9-23'!K82</f>
        <v>0</v>
      </c>
      <c r="L82" s="714">
        <f>'[11]Диспан.набл.взрослых Пр.3-23'!L82+'[11]Уточнение Пр.9-23'!L82</f>
        <v>0</v>
      </c>
      <c r="M82" s="714">
        <f>'[11]Диспан.набл.взрослых Пр.3-23'!M82+'[11]Уточнение Пр.9-23'!M82</f>
        <v>0</v>
      </c>
      <c r="N82" s="714">
        <f>'[11]Диспан.набл.взрослых Пр.3-23'!N82+'[11]Уточнение Пр.9-23'!N82</f>
        <v>0</v>
      </c>
      <c r="O82" s="714">
        <f>'[11]Диспан.набл.взрослых Пр.3-23'!O82+'[11]Уточнение Пр.9-23'!O82</f>
        <v>0</v>
      </c>
      <c r="P82" s="714">
        <f>'[11]Диспан.набл.взрослых Пр.3-23'!P82+'[11]Уточнение Пр.9-23'!P82</f>
        <v>0</v>
      </c>
      <c r="Q82" s="714">
        <f>'[11]Диспан.набл.взрослых Пр.3-23'!Q82+'[11]Уточнение Пр.9-23'!Q82</f>
        <v>0</v>
      </c>
      <c r="R82" s="714">
        <f>'[11]Диспан.набл.взрослых Пр.3-23'!R82+'[11]Уточнение Пр.9-23'!R82</f>
        <v>0</v>
      </c>
    </row>
    <row r="83" spans="1:18" ht="24" x14ac:dyDescent="0.25">
      <c r="A83" s="711">
        <v>72</v>
      </c>
      <c r="B83" s="712" t="s">
        <v>157</v>
      </c>
      <c r="C83" s="653" t="s">
        <v>158</v>
      </c>
      <c r="D83" s="714">
        <f t="shared" si="2"/>
        <v>10</v>
      </c>
      <c r="E83" s="714">
        <f>'[11]Диспан.набл.взрослых Пр.3-23'!E83+'[11]Уточнение Пр.9-23'!E83</f>
        <v>0</v>
      </c>
      <c r="F83" s="714">
        <f>'[11]Диспан.набл.взрослых Пр.3-23'!F83+'[11]Уточнение Пр.9-23'!F83</f>
        <v>0</v>
      </c>
      <c r="G83" s="714">
        <f>'[11]Диспан.набл.взрослых Пр.3-23'!G83+'[11]Уточнение Пр.9-23'!G83</f>
        <v>0</v>
      </c>
      <c r="H83" s="714">
        <f>'[11]Диспан.набл.взрослых Пр.3-23'!H83+'[11]Уточнение Пр.9-23'!H83</f>
        <v>0</v>
      </c>
      <c r="I83" s="714">
        <f>'[11]Диспан.набл.взрослых Пр.3-23'!I83+'[11]Уточнение Пр.9-23'!I83</f>
        <v>0</v>
      </c>
      <c r="J83" s="714">
        <f>'[11]Диспан.набл.взрослых Пр.3-23'!J83+'[11]Уточнение Пр.9-23'!J83</f>
        <v>0</v>
      </c>
      <c r="K83" s="714">
        <f>'[11]Диспан.набл.взрослых Пр.3-23'!K83+'[11]Уточнение Пр.9-23'!K83</f>
        <v>0</v>
      </c>
      <c r="L83" s="714">
        <f>'[11]Диспан.набл.взрослых Пр.3-23'!L83+'[11]Уточнение Пр.9-23'!L83</f>
        <v>0</v>
      </c>
      <c r="M83" s="714">
        <f>'[11]Диспан.набл.взрослых Пр.3-23'!M83+'[11]Уточнение Пр.9-23'!M83</f>
        <v>0</v>
      </c>
      <c r="N83" s="714">
        <f>'[11]Диспан.набл.взрослых Пр.3-23'!N83+'[11]Уточнение Пр.9-23'!N83</f>
        <v>0</v>
      </c>
      <c r="O83" s="714">
        <f>'[11]Диспан.набл.взрослых Пр.3-23'!O83+'[11]Уточнение Пр.9-23'!O83</f>
        <v>10</v>
      </c>
      <c r="P83" s="714">
        <f>'[11]Диспан.набл.взрослых Пр.3-23'!P83+'[11]Уточнение Пр.9-23'!P83</f>
        <v>0</v>
      </c>
      <c r="Q83" s="714">
        <f>'[11]Диспан.набл.взрослых Пр.3-23'!Q83+'[11]Уточнение Пр.9-23'!Q83</f>
        <v>0</v>
      </c>
      <c r="R83" s="714">
        <f>'[11]Диспан.набл.взрослых Пр.3-23'!R83+'[11]Уточнение Пр.9-23'!R83</f>
        <v>0</v>
      </c>
    </row>
    <row r="84" spans="1:18" ht="24" x14ac:dyDescent="0.25">
      <c r="A84" s="711">
        <v>73</v>
      </c>
      <c r="B84" s="712" t="s">
        <v>159</v>
      </c>
      <c r="C84" s="653" t="s">
        <v>160</v>
      </c>
      <c r="D84" s="714">
        <f t="shared" si="2"/>
        <v>0</v>
      </c>
      <c r="E84" s="714">
        <f>'[11]Диспан.набл.взрослых Пр.3-23'!E84+'[11]Уточнение Пр.9-23'!E84</f>
        <v>0</v>
      </c>
      <c r="F84" s="714">
        <f>'[11]Диспан.набл.взрослых Пр.3-23'!F84+'[11]Уточнение Пр.9-23'!F84</f>
        <v>0</v>
      </c>
      <c r="G84" s="714">
        <f>'[11]Диспан.набл.взрослых Пр.3-23'!G84+'[11]Уточнение Пр.9-23'!G84</f>
        <v>0</v>
      </c>
      <c r="H84" s="714">
        <f>'[11]Диспан.набл.взрослых Пр.3-23'!H84+'[11]Уточнение Пр.9-23'!H84</f>
        <v>0</v>
      </c>
      <c r="I84" s="714">
        <f>'[11]Диспан.набл.взрослых Пр.3-23'!I84+'[11]Уточнение Пр.9-23'!I84</f>
        <v>0</v>
      </c>
      <c r="J84" s="714">
        <f>'[11]Диспан.набл.взрослых Пр.3-23'!J84+'[11]Уточнение Пр.9-23'!J84</f>
        <v>0</v>
      </c>
      <c r="K84" s="714">
        <f>'[11]Диспан.набл.взрослых Пр.3-23'!K84+'[11]Уточнение Пр.9-23'!K84</f>
        <v>0</v>
      </c>
      <c r="L84" s="714">
        <f>'[11]Диспан.набл.взрослых Пр.3-23'!L84+'[11]Уточнение Пр.9-23'!L84</f>
        <v>0</v>
      </c>
      <c r="M84" s="714">
        <f>'[11]Диспан.набл.взрослых Пр.3-23'!M84+'[11]Уточнение Пр.9-23'!M84</f>
        <v>0</v>
      </c>
      <c r="N84" s="714">
        <f>'[11]Диспан.набл.взрослых Пр.3-23'!N84+'[11]Уточнение Пр.9-23'!N84</f>
        <v>0</v>
      </c>
      <c r="O84" s="714">
        <f>'[11]Диспан.набл.взрослых Пр.3-23'!O84+'[11]Уточнение Пр.9-23'!O84</f>
        <v>0</v>
      </c>
      <c r="P84" s="714">
        <f>'[11]Диспан.набл.взрослых Пр.3-23'!P84+'[11]Уточнение Пр.9-23'!P84</f>
        <v>0</v>
      </c>
      <c r="Q84" s="714">
        <f>'[11]Диспан.набл.взрослых Пр.3-23'!Q84+'[11]Уточнение Пр.9-23'!Q84</f>
        <v>0</v>
      </c>
      <c r="R84" s="714">
        <f>'[11]Диспан.набл.взрослых Пр.3-23'!R84+'[11]Уточнение Пр.9-23'!R84</f>
        <v>0</v>
      </c>
    </row>
    <row r="85" spans="1:18" x14ac:dyDescent="0.25">
      <c r="A85" s="711">
        <v>74</v>
      </c>
      <c r="B85" s="716" t="s">
        <v>161</v>
      </c>
      <c r="C85" s="653" t="s">
        <v>162</v>
      </c>
      <c r="D85" s="714">
        <f t="shared" si="2"/>
        <v>25904</v>
      </c>
      <c r="E85" s="714">
        <f>'[11]Диспан.набл.взрослых Пр.3-23'!E85+'[11]Уточнение Пр.9-23'!E85</f>
        <v>22627</v>
      </c>
      <c r="F85" s="714">
        <f>'[11]Диспан.набл.взрослых Пр.3-23'!F85+'[11]Уточнение Пр.9-23'!F85</f>
        <v>1453</v>
      </c>
      <c r="G85" s="714">
        <f>'[11]Диспан.набл.взрослых Пр.3-23'!G85+'[11]Уточнение Пр.9-23'!G85</f>
        <v>1012</v>
      </c>
      <c r="H85" s="714">
        <f>'[11]Диспан.набл.взрослых Пр.3-23'!H85+'[11]Уточнение Пр.9-23'!H85</f>
        <v>424</v>
      </c>
      <c r="I85" s="714">
        <f>'[11]Диспан.набл.взрослых Пр.3-23'!I85+'[11]Уточнение Пр.9-23'!I85</f>
        <v>0</v>
      </c>
      <c r="J85" s="714">
        <f>'[11]Диспан.набл.взрослых Пр.3-23'!J85+'[11]Уточнение Пр.9-23'!J85</f>
        <v>0</v>
      </c>
      <c r="K85" s="714">
        <f>'[11]Диспан.набл.взрослых Пр.3-23'!K85+'[11]Уточнение Пр.9-23'!K85</f>
        <v>40</v>
      </c>
      <c r="L85" s="714">
        <f>'[11]Диспан.набл.взрослых Пр.3-23'!L85+'[11]Уточнение Пр.9-23'!L85</f>
        <v>4</v>
      </c>
      <c r="M85" s="714">
        <f>'[11]Диспан.набл.взрослых Пр.3-23'!M85+'[11]Уточнение Пр.9-23'!M85</f>
        <v>1</v>
      </c>
      <c r="N85" s="714">
        <f>'[11]Диспан.набл.взрослых Пр.3-23'!N85+'[11]Уточнение Пр.9-23'!N85</f>
        <v>65</v>
      </c>
      <c r="O85" s="714">
        <f>'[11]Диспан.набл.взрослых Пр.3-23'!O85+'[11]Уточнение Пр.9-23'!O85</f>
        <v>3</v>
      </c>
      <c r="P85" s="714">
        <f>'[11]Диспан.набл.взрослых Пр.3-23'!P85+'[11]Уточнение Пр.9-23'!P85</f>
        <v>0</v>
      </c>
      <c r="Q85" s="714">
        <f>'[11]Диспан.набл.взрослых Пр.3-23'!Q85+'[11]Уточнение Пр.9-23'!Q85</f>
        <v>274</v>
      </c>
      <c r="R85" s="714">
        <f>'[11]Диспан.набл.взрослых Пр.3-23'!R85+'[11]Уточнение Пр.9-23'!R85</f>
        <v>1</v>
      </c>
    </row>
    <row r="86" spans="1:18" x14ac:dyDescent="0.25">
      <c r="A86" s="711">
        <v>75</v>
      </c>
      <c r="B86" s="712" t="s">
        <v>163</v>
      </c>
      <c r="C86" s="653" t="s">
        <v>164</v>
      </c>
      <c r="D86" s="714">
        <f t="shared" si="2"/>
        <v>37113</v>
      </c>
      <c r="E86" s="714">
        <f>'[11]Диспан.набл.взрослых Пр.3-23'!E86+'[11]Уточнение Пр.9-23'!E86</f>
        <v>29964</v>
      </c>
      <c r="F86" s="714">
        <f>'[11]Диспан.набл.взрослых Пр.3-23'!F86+'[11]Уточнение Пр.9-23'!F86</f>
        <v>4660</v>
      </c>
      <c r="G86" s="714">
        <f>'[11]Диспан.набл.взрослых Пр.3-23'!G86+'[11]Уточнение Пр.9-23'!G86</f>
        <v>1231</v>
      </c>
      <c r="H86" s="714">
        <f>'[11]Диспан.набл.взрослых Пр.3-23'!H86+'[11]Уточнение Пр.9-23'!H86</f>
        <v>520</v>
      </c>
      <c r="I86" s="714">
        <f>'[11]Диспан.набл.взрослых Пр.3-23'!I86+'[11]Уточнение Пр.9-23'!I86</f>
        <v>1</v>
      </c>
      <c r="J86" s="714">
        <f>'[11]Диспан.набл.взрослых Пр.3-23'!J86+'[11]Уточнение Пр.9-23'!J86</f>
        <v>1</v>
      </c>
      <c r="K86" s="714">
        <f>'[11]Диспан.набл.взрослых Пр.3-23'!K86+'[11]Уточнение Пр.9-23'!K86</f>
        <v>15</v>
      </c>
      <c r="L86" s="714">
        <f>'[11]Диспан.набл.взрослых Пр.3-23'!L86+'[11]Уточнение Пр.9-23'!L86</f>
        <v>2</v>
      </c>
      <c r="M86" s="714">
        <f>'[11]Диспан.набл.взрослых Пр.3-23'!M86+'[11]Уточнение Пр.9-23'!M86</f>
        <v>34</v>
      </c>
      <c r="N86" s="714">
        <f>'[11]Диспан.набл.взрослых Пр.3-23'!N86+'[11]Уточнение Пр.9-23'!N86</f>
        <v>327</v>
      </c>
      <c r="O86" s="714">
        <f>'[11]Диспан.набл.взрослых Пр.3-23'!O86+'[11]Уточнение Пр.9-23'!O86</f>
        <v>0</v>
      </c>
      <c r="P86" s="714">
        <f>'[11]Диспан.набл.взрослых Пр.3-23'!P86+'[11]Уточнение Пр.9-23'!P86</f>
        <v>18</v>
      </c>
      <c r="Q86" s="714">
        <f>'[11]Диспан.набл.взрослых Пр.3-23'!Q86+'[11]Уточнение Пр.9-23'!Q86</f>
        <v>281</v>
      </c>
      <c r="R86" s="714">
        <f>'[11]Диспан.набл.взрослых Пр.3-23'!R86+'[11]Уточнение Пр.9-23'!R86</f>
        <v>59</v>
      </c>
    </row>
    <row r="87" spans="1:18" x14ac:dyDescent="0.25">
      <c r="A87" s="711">
        <v>76</v>
      </c>
      <c r="B87" s="716" t="s">
        <v>165</v>
      </c>
      <c r="C87" s="653" t="s">
        <v>166</v>
      </c>
      <c r="D87" s="714">
        <f t="shared" si="2"/>
        <v>31971</v>
      </c>
      <c r="E87" s="714">
        <f>'[11]Диспан.набл.взрослых Пр.3-23'!E87+'[11]Уточнение Пр.9-23'!E87</f>
        <v>28302</v>
      </c>
      <c r="F87" s="714">
        <f>'[11]Диспан.набл.взрослых Пр.3-23'!F87+'[11]Уточнение Пр.9-23'!F87</f>
        <v>1137</v>
      </c>
      <c r="G87" s="714">
        <f>'[11]Диспан.набл.взрослых Пр.3-23'!G87+'[11]Уточнение Пр.9-23'!G87</f>
        <v>1966</v>
      </c>
      <c r="H87" s="714">
        <f>'[11]Диспан.набл.взрослых Пр.3-23'!H87+'[11]Уточнение Пр.9-23'!H87</f>
        <v>291</v>
      </c>
      <c r="I87" s="714">
        <f>'[11]Диспан.набл.взрослых Пр.3-23'!I87+'[11]Уточнение Пр.9-23'!I87</f>
        <v>1</v>
      </c>
      <c r="J87" s="714">
        <f>'[11]Диспан.набл.взрослых Пр.3-23'!J87+'[11]Уточнение Пр.9-23'!J87</f>
        <v>0</v>
      </c>
      <c r="K87" s="714">
        <f>'[11]Диспан.набл.взрослых Пр.3-23'!K87+'[11]Уточнение Пр.9-23'!K87</f>
        <v>13</v>
      </c>
      <c r="L87" s="714">
        <f>'[11]Диспан.набл.взрослых Пр.3-23'!L87+'[11]Уточнение Пр.9-23'!L87</f>
        <v>2</v>
      </c>
      <c r="M87" s="714">
        <f>'[11]Диспан.набл.взрослых Пр.3-23'!M87+'[11]Уточнение Пр.9-23'!M87</f>
        <v>1</v>
      </c>
      <c r="N87" s="714">
        <f>'[11]Диспан.набл.взрослых Пр.3-23'!N87+'[11]Уточнение Пр.9-23'!N87</f>
        <v>130</v>
      </c>
      <c r="O87" s="714">
        <f>'[11]Диспан.набл.взрослых Пр.3-23'!O87+'[11]Уточнение Пр.9-23'!O87</f>
        <v>9</v>
      </c>
      <c r="P87" s="714">
        <f>'[11]Диспан.набл.взрослых Пр.3-23'!P87+'[11]Уточнение Пр.9-23'!P87</f>
        <v>0</v>
      </c>
      <c r="Q87" s="714">
        <f>'[11]Диспан.набл.взрослых Пр.3-23'!Q87+'[11]Уточнение Пр.9-23'!Q87</f>
        <v>112</v>
      </c>
      <c r="R87" s="714">
        <f>'[11]Диспан.набл.взрослых Пр.3-23'!R87+'[11]Уточнение Пр.9-23'!R87</f>
        <v>7</v>
      </c>
    </row>
    <row r="88" spans="1:18" x14ac:dyDescent="0.25">
      <c r="A88" s="711">
        <v>77</v>
      </c>
      <c r="B88" s="717" t="s">
        <v>167</v>
      </c>
      <c r="C88" s="1" t="s">
        <v>168</v>
      </c>
      <c r="D88" s="714">
        <f t="shared" si="2"/>
        <v>7895</v>
      </c>
      <c r="E88" s="714">
        <f>'[11]Диспан.набл.взрослых Пр.3-23'!E88+'[11]Уточнение Пр.9-23'!E88</f>
        <v>7522</v>
      </c>
      <c r="F88" s="714">
        <f>'[11]Диспан.набл.взрослых Пр.3-23'!F88+'[11]Уточнение Пр.9-23'!F88</f>
        <v>49</v>
      </c>
      <c r="G88" s="714">
        <f>'[11]Диспан.набл.взрослых Пр.3-23'!G88+'[11]Уточнение Пр.9-23'!G88</f>
        <v>150</v>
      </c>
      <c r="H88" s="714">
        <f>'[11]Диспан.набл.взрослых Пр.3-23'!H88+'[11]Уточнение Пр.9-23'!H88</f>
        <v>27</v>
      </c>
      <c r="I88" s="714">
        <f>'[11]Диспан.набл.взрослых Пр.3-23'!I88+'[11]Уточнение Пр.9-23'!I88</f>
        <v>0</v>
      </c>
      <c r="J88" s="714">
        <f>'[11]Диспан.набл.взрослых Пр.3-23'!J88+'[11]Уточнение Пр.9-23'!J88</f>
        <v>1</v>
      </c>
      <c r="K88" s="714">
        <f>'[11]Диспан.набл.взрослых Пр.3-23'!K88+'[11]Уточнение Пр.9-23'!K88</f>
        <v>13</v>
      </c>
      <c r="L88" s="714">
        <f>'[11]Диспан.набл.взрослых Пр.3-23'!L88+'[11]Уточнение Пр.9-23'!L88</f>
        <v>0</v>
      </c>
      <c r="M88" s="714">
        <f>'[11]Диспан.набл.взрослых Пр.3-23'!M88+'[11]Уточнение Пр.9-23'!M88</f>
        <v>0</v>
      </c>
      <c r="N88" s="714">
        <f>'[11]Диспан.набл.взрослых Пр.3-23'!N88+'[11]Уточнение Пр.9-23'!N88</f>
        <v>0</v>
      </c>
      <c r="O88" s="714">
        <f>'[11]Диспан.набл.взрослых Пр.3-23'!O88+'[11]Уточнение Пр.9-23'!O88</f>
        <v>13</v>
      </c>
      <c r="P88" s="714">
        <f>'[11]Диспан.набл.взрослых Пр.3-23'!P88+'[11]Уточнение Пр.9-23'!P88</f>
        <v>0</v>
      </c>
      <c r="Q88" s="714">
        <f>'[11]Диспан.набл.взрослых Пр.3-23'!Q88+'[11]Уточнение Пр.9-23'!Q88</f>
        <v>120</v>
      </c>
      <c r="R88" s="714">
        <f>'[11]Диспан.набл.взрослых Пр.3-23'!R88+'[11]Уточнение Пр.9-23'!R88</f>
        <v>0</v>
      </c>
    </row>
    <row r="89" spans="1:18" x14ac:dyDescent="0.25">
      <c r="A89" s="711">
        <v>78</v>
      </c>
      <c r="B89" s="712" t="s">
        <v>169</v>
      </c>
      <c r="C89" s="653" t="s">
        <v>170</v>
      </c>
      <c r="D89" s="714">
        <f t="shared" si="2"/>
        <v>58440</v>
      </c>
      <c r="E89" s="714">
        <f>'[11]Диспан.набл.взрослых Пр.3-23'!E89+'[11]Уточнение Пр.9-23'!E89</f>
        <v>52894</v>
      </c>
      <c r="F89" s="714">
        <f>'[11]Диспан.набл.взрослых Пр.3-23'!F89+'[11]Уточнение Пр.9-23'!F89</f>
        <v>4321</v>
      </c>
      <c r="G89" s="714">
        <f>'[11]Диспан.набл.взрослых Пр.3-23'!G89+'[11]Уточнение Пр.9-23'!G89</f>
        <v>640</v>
      </c>
      <c r="H89" s="714">
        <f>'[11]Диспан.набл.взрослых Пр.3-23'!H89+'[11]Уточнение Пр.9-23'!H89</f>
        <v>221</v>
      </c>
      <c r="I89" s="714">
        <f>'[11]Диспан.набл.взрослых Пр.3-23'!I89+'[11]Уточнение Пр.9-23'!I89</f>
        <v>0</v>
      </c>
      <c r="J89" s="714">
        <f>'[11]Диспан.набл.взрослых Пр.3-23'!J89+'[11]Уточнение Пр.9-23'!J89</f>
        <v>0</v>
      </c>
      <c r="K89" s="714">
        <f>'[11]Диспан.набл.взрослых Пр.3-23'!K89+'[11]Уточнение Пр.9-23'!K89</f>
        <v>9</v>
      </c>
      <c r="L89" s="714">
        <f>'[11]Диспан.набл.взрослых Пр.3-23'!L89+'[11]Уточнение Пр.9-23'!L89</f>
        <v>10</v>
      </c>
      <c r="M89" s="714">
        <f>'[11]Диспан.набл.взрослых Пр.3-23'!M89+'[11]Уточнение Пр.9-23'!M89</f>
        <v>1</v>
      </c>
      <c r="N89" s="714">
        <f>'[11]Диспан.набл.взрослых Пр.3-23'!N89+'[11]Уточнение Пр.9-23'!N89</f>
        <v>116</v>
      </c>
      <c r="O89" s="714">
        <f>'[11]Диспан.набл.взрослых Пр.3-23'!O89+'[11]Уточнение Пр.9-23'!O89</f>
        <v>8</v>
      </c>
      <c r="P89" s="714">
        <f>'[11]Диспан.набл.взрослых Пр.3-23'!P89+'[11]Уточнение Пр.9-23'!P89</f>
        <v>0</v>
      </c>
      <c r="Q89" s="714">
        <f>'[11]Диспан.набл.взрослых Пр.3-23'!Q89+'[11]Уточнение Пр.9-23'!Q89</f>
        <v>177</v>
      </c>
      <c r="R89" s="714">
        <f>'[11]Диспан.набл.взрослых Пр.3-23'!R89+'[11]Уточнение Пр.9-23'!R89</f>
        <v>43</v>
      </c>
    </row>
    <row r="90" spans="1:18" x14ac:dyDescent="0.25">
      <c r="A90" s="711">
        <v>79</v>
      </c>
      <c r="B90" s="717" t="s">
        <v>171</v>
      </c>
      <c r="C90" s="1" t="s">
        <v>172</v>
      </c>
      <c r="D90" s="714">
        <f t="shared" si="2"/>
        <v>0</v>
      </c>
      <c r="E90" s="714">
        <f>'[11]Диспан.набл.взрослых Пр.3-23'!E90+'[11]Уточнение Пр.9-23'!E90</f>
        <v>0</v>
      </c>
      <c r="F90" s="714">
        <f>'[11]Диспан.набл.взрослых Пр.3-23'!F90+'[11]Уточнение Пр.9-23'!F90</f>
        <v>0</v>
      </c>
      <c r="G90" s="714">
        <f>'[11]Диспан.набл.взрослых Пр.3-23'!G90+'[11]Уточнение Пр.9-23'!G90</f>
        <v>0</v>
      </c>
      <c r="H90" s="714">
        <f>'[11]Диспан.набл.взрослых Пр.3-23'!H90+'[11]Уточнение Пр.9-23'!H90</f>
        <v>0</v>
      </c>
      <c r="I90" s="714">
        <f>'[11]Диспан.набл.взрослых Пр.3-23'!I90+'[11]Уточнение Пр.9-23'!I90</f>
        <v>0</v>
      </c>
      <c r="J90" s="714">
        <f>'[11]Диспан.набл.взрослых Пр.3-23'!J90+'[11]Уточнение Пр.9-23'!J90</f>
        <v>0</v>
      </c>
      <c r="K90" s="714">
        <f>'[11]Диспан.набл.взрослых Пр.3-23'!K90+'[11]Уточнение Пр.9-23'!K90</f>
        <v>0</v>
      </c>
      <c r="L90" s="714">
        <f>'[11]Диспан.набл.взрослых Пр.3-23'!L90+'[11]Уточнение Пр.9-23'!L90</f>
        <v>0</v>
      </c>
      <c r="M90" s="714">
        <f>'[11]Диспан.набл.взрослых Пр.3-23'!M90+'[11]Уточнение Пр.9-23'!M90</f>
        <v>0</v>
      </c>
      <c r="N90" s="714">
        <f>'[11]Диспан.набл.взрослых Пр.3-23'!N90+'[11]Уточнение Пр.9-23'!N90</f>
        <v>0</v>
      </c>
      <c r="O90" s="714">
        <f>'[11]Диспан.набл.взрослых Пр.3-23'!O90+'[11]Уточнение Пр.9-23'!O90</f>
        <v>0</v>
      </c>
      <c r="P90" s="714">
        <f>'[11]Диспан.набл.взрослых Пр.3-23'!P90+'[11]Уточнение Пр.9-23'!P90</f>
        <v>0</v>
      </c>
      <c r="Q90" s="714">
        <f>'[11]Диспан.набл.взрослых Пр.3-23'!Q90+'[11]Уточнение Пр.9-23'!Q90</f>
        <v>0</v>
      </c>
      <c r="R90" s="714">
        <f>'[11]Диспан.набл.взрослых Пр.3-23'!R90+'[11]Уточнение Пр.9-23'!R90</f>
        <v>0</v>
      </c>
    </row>
    <row r="91" spans="1:18" x14ac:dyDescent="0.25">
      <c r="A91" s="711">
        <v>80</v>
      </c>
      <c r="B91" s="712" t="s">
        <v>173</v>
      </c>
      <c r="C91" s="653" t="s">
        <v>174</v>
      </c>
      <c r="D91" s="714">
        <f t="shared" si="2"/>
        <v>37572</v>
      </c>
      <c r="E91" s="714">
        <f>'[11]Диспан.набл.взрослых Пр.3-23'!E91+'[11]Уточнение Пр.9-23'!E91</f>
        <v>32003</v>
      </c>
      <c r="F91" s="714">
        <f>'[11]Диспан.набл.взрослых Пр.3-23'!F91+'[11]Уточнение Пр.9-23'!F91</f>
        <v>4187</v>
      </c>
      <c r="G91" s="714">
        <f>'[11]Диспан.набл.взрослых Пр.3-23'!G91+'[11]Уточнение Пр.9-23'!G91</f>
        <v>920</v>
      </c>
      <c r="H91" s="714">
        <f>'[11]Диспан.набл.взрослых Пр.3-23'!H91+'[11]Уточнение Пр.9-23'!H91</f>
        <v>124</v>
      </c>
      <c r="I91" s="714">
        <f>'[11]Диспан.набл.взрослых Пр.3-23'!I91+'[11]Уточнение Пр.9-23'!I91</f>
        <v>0</v>
      </c>
      <c r="J91" s="714">
        <f>'[11]Диспан.набл.взрослых Пр.3-23'!J91+'[11]Уточнение Пр.9-23'!J91</f>
        <v>0</v>
      </c>
      <c r="K91" s="714">
        <f>'[11]Диспан.набл.взрослых Пр.3-23'!K91+'[11]Уточнение Пр.9-23'!K91</f>
        <v>22</v>
      </c>
      <c r="L91" s="714">
        <f>'[11]Диспан.набл.взрослых Пр.3-23'!L91+'[11]Уточнение Пр.9-23'!L91</f>
        <v>1</v>
      </c>
      <c r="M91" s="714">
        <f>'[11]Диспан.набл.взрослых Пр.3-23'!M91+'[11]Уточнение Пр.9-23'!M91</f>
        <v>2</v>
      </c>
      <c r="N91" s="714">
        <f>'[11]Диспан.набл.взрослых Пр.3-23'!N91+'[11]Уточнение Пр.9-23'!N91</f>
        <v>143</v>
      </c>
      <c r="O91" s="714">
        <f>'[11]Диспан.набл.взрослых Пр.3-23'!O91+'[11]Уточнение Пр.9-23'!O91</f>
        <v>2</v>
      </c>
      <c r="P91" s="714">
        <f>'[11]Диспан.набл.взрослых Пр.3-23'!P91+'[11]Уточнение Пр.9-23'!P91</f>
        <v>46</v>
      </c>
      <c r="Q91" s="714">
        <f>'[11]Диспан.набл.взрослых Пр.3-23'!Q91+'[11]Уточнение Пр.9-23'!Q91</f>
        <v>91</v>
      </c>
      <c r="R91" s="714">
        <f>'[11]Диспан.набл.взрослых Пр.3-23'!R91+'[11]Уточнение Пр.9-23'!R91</f>
        <v>31</v>
      </c>
    </row>
    <row r="92" spans="1:18" x14ac:dyDescent="0.25">
      <c r="A92" s="711">
        <v>81</v>
      </c>
      <c r="B92" s="717" t="s">
        <v>175</v>
      </c>
      <c r="C92" s="1" t="s">
        <v>749</v>
      </c>
      <c r="D92" s="714">
        <f t="shared" si="2"/>
        <v>0</v>
      </c>
      <c r="E92" s="714">
        <f>'[11]Диспан.набл.взрослых Пр.3-23'!E92+'[11]Уточнение Пр.9-23'!E92</f>
        <v>0</v>
      </c>
      <c r="F92" s="714">
        <f>'[11]Диспан.набл.взрослых Пр.3-23'!F92+'[11]Уточнение Пр.9-23'!F92</f>
        <v>0</v>
      </c>
      <c r="G92" s="714">
        <f>'[11]Диспан.набл.взрослых Пр.3-23'!G92+'[11]Уточнение Пр.9-23'!G92</f>
        <v>0</v>
      </c>
      <c r="H92" s="714">
        <f>'[11]Диспан.набл.взрослых Пр.3-23'!H92+'[11]Уточнение Пр.9-23'!H92</f>
        <v>0</v>
      </c>
      <c r="I92" s="714">
        <f>'[11]Диспан.набл.взрослых Пр.3-23'!I92+'[11]Уточнение Пр.9-23'!I92</f>
        <v>0</v>
      </c>
      <c r="J92" s="714">
        <f>'[11]Диспан.набл.взрослых Пр.3-23'!J92+'[11]Уточнение Пр.9-23'!J92</f>
        <v>0</v>
      </c>
      <c r="K92" s="714">
        <f>'[11]Диспан.набл.взрослых Пр.3-23'!K92+'[11]Уточнение Пр.9-23'!K92</f>
        <v>0</v>
      </c>
      <c r="L92" s="714">
        <f>'[11]Диспан.набл.взрослых Пр.3-23'!L92+'[11]Уточнение Пр.9-23'!L92</f>
        <v>0</v>
      </c>
      <c r="M92" s="714">
        <f>'[11]Диспан.набл.взрослых Пр.3-23'!M92+'[11]Уточнение Пр.9-23'!M92</f>
        <v>0</v>
      </c>
      <c r="N92" s="714">
        <f>'[11]Диспан.набл.взрослых Пр.3-23'!N92+'[11]Уточнение Пр.9-23'!N92</f>
        <v>0</v>
      </c>
      <c r="O92" s="714">
        <f>'[11]Диспан.набл.взрослых Пр.3-23'!O92+'[11]Уточнение Пр.9-23'!O92</f>
        <v>0</v>
      </c>
      <c r="P92" s="714">
        <f>'[11]Диспан.набл.взрослых Пр.3-23'!P92+'[11]Уточнение Пр.9-23'!P92</f>
        <v>0</v>
      </c>
      <c r="Q92" s="714">
        <f>'[11]Диспан.набл.взрослых Пр.3-23'!Q92+'[11]Уточнение Пр.9-23'!Q92</f>
        <v>0</v>
      </c>
      <c r="R92" s="714">
        <f>'[11]Диспан.набл.взрослых Пр.3-23'!R92+'[11]Уточнение Пр.9-23'!R92</f>
        <v>0</v>
      </c>
    </row>
    <row r="93" spans="1:18" x14ac:dyDescent="0.25">
      <c r="A93" s="711">
        <v>82</v>
      </c>
      <c r="B93" s="715" t="s">
        <v>177</v>
      </c>
      <c r="C93" s="653" t="s">
        <v>378</v>
      </c>
      <c r="D93" s="714">
        <f t="shared" si="2"/>
        <v>0</v>
      </c>
      <c r="E93" s="714">
        <f>'[11]Диспан.набл.взрослых Пр.3-23'!E93+'[11]Уточнение Пр.9-23'!E93</f>
        <v>0</v>
      </c>
      <c r="F93" s="714">
        <f>'[11]Диспан.набл.взрослых Пр.3-23'!F93+'[11]Уточнение Пр.9-23'!F93</f>
        <v>0</v>
      </c>
      <c r="G93" s="714">
        <f>'[11]Диспан.набл.взрослых Пр.3-23'!G93+'[11]Уточнение Пр.9-23'!G93</f>
        <v>0</v>
      </c>
      <c r="H93" s="714">
        <f>'[11]Диспан.набл.взрослых Пр.3-23'!H93+'[11]Уточнение Пр.9-23'!H93</f>
        <v>0</v>
      </c>
      <c r="I93" s="714">
        <f>'[11]Диспан.набл.взрослых Пр.3-23'!I93+'[11]Уточнение Пр.9-23'!I93</f>
        <v>0</v>
      </c>
      <c r="J93" s="714">
        <f>'[11]Диспан.набл.взрослых Пр.3-23'!J93+'[11]Уточнение Пр.9-23'!J93</f>
        <v>0</v>
      </c>
      <c r="K93" s="714">
        <f>'[11]Диспан.набл.взрослых Пр.3-23'!K93+'[11]Уточнение Пр.9-23'!K93</f>
        <v>0</v>
      </c>
      <c r="L93" s="714">
        <f>'[11]Диспан.набл.взрослых Пр.3-23'!L93+'[11]Уточнение Пр.9-23'!L93</f>
        <v>0</v>
      </c>
      <c r="M93" s="714">
        <f>'[11]Диспан.набл.взрослых Пр.3-23'!M93+'[11]Уточнение Пр.9-23'!M93</f>
        <v>0</v>
      </c>
      <c r="N93" s="714">
        <f>'[11]Диспан.набл.взрослых Пр.3-23'!N93+'[11]Уточнение Пр.9-23'!N93</f>
        <v>0</v>
      </c>
      <c r="O93" s="714">
        <f>'[11]Диспан.набл.взрослых Пр.3-23'!O93+'[11]Уточнение Пр.9-23'!O93</f>
        <v>0</v>
      </c>
      <c r="P93" s="714">
        <f>'[11]Диспан.набл.взрослых Пр.3-23'!P93+'[11]Уточнение Пр.9-23'!P93</f>
        <v>0</v>
      </c>
      <c r="Q93" s="714">
        <f>'[11]Диспан.набл.взрослых Пр.3-23'!Q93+'[11]Уточнение Пр.9-23'!Q93</f>
        <v>0</v>
      </c>
      <c r="R93" s="714">
        <f>'[11]Диспан.набл.взрослых Пр.3-23'!R93+'[11]Уточнение Пр.9-23'!R93</f>
        <v>0</v>
      </c>
    </row>
    <row r="94" spans="1:18" ht="48" x14ac:dyDescent="0.25">
      <c r="A94" s="1075">
        <v>83</v>
      </c>
      <c r="B94" s="1078" t="s">
        <v>178</v>
      </c>
      <c r="C94" s="1" t="s">
        <v>747</v>
      </c>
      <c r="D94" s="714">
        <f t="shared" si="2"/>
        <v>194</v>
      </c>
      <c r="E94" s="714">
        <f>'[11]Диспан.набл.взрослых Пр.3-23'!E94+'[11]Уточнение Пр.9-23'!E94</f>
        <v>154</v>
      </c>
      <c r="F94" s="714">
        <f>'[11]Диспан.набл.взрослых Пр.3-23'!F94+'[11]Уточнение Пр.9-23'!F94</f>
        <v>38</v>
      </c>
      <c r="G94" s="714">
        <f>'[11]Диспан.набл.взрослых Пр.3-23'!G94+'[11]Уточнение Пр.9-23'!G94</f>
        <v>0</v>
      </c>
      <c r="H94" s="714">
        <f>'[11]Диспан.набл.взрослых Пр.3-23'!H94+'[11]Уточнение Пр.9-23'!H94</f>
        <v>0</v>
      </c>
      <c r="I94" s="714">
        <f>'[11]Диспан.набл.взрослых Пр.3-23'!I94+'[11]Уточнение Пр.9-23'!I94</f>
        <v>0</v>
      </c>
      <c r="J94" s="714">
        <f>'[11]Диспан.набл.взрослых Пр.3-23'!J94+'[11]Уточнение Пр.9-23'!J94</f>
        <v>0</v>
      </c>
      <c r="K94" s="714">
        <f>'[11]Диспан.набл.взрослых Пр.3-23'!K94+'[11]Уточнение Пр.9-23'!K94</f>
        <v>0</v>
      </c>
      <c r="L94" s="714">
        <f>'[11]Диспан.набл.взрослых Пр.3-23'!L94+'[11]Уточнение Пр.9-23'!L94</f>
        <v>0</v>
      </c>
      <c r="M94" s="714">
        <f>'[11]Диспан.набл.взрослых Пр.3-23'!M94+'[11]Уточнение Пр.9-23'!M94</f>
        <v>0</v>
      </c>
      <c r="N94" s="714">
        <f>'[11]Диспан.набл.взрослых Пр.3-23'!N94+'[11]Уточнение Пр.9-23'!N94</f>
        <v>0</v>
      </c>
      <c r="O94" s="714">
        <f>'[11]Диспан.набл.взрослых Пр.3-23'!O94+'[11]Уточнение Пр.9-23'!O94</f>
        <v>0</v>
      </c>
      <c r="P94" s="714">
        <f>'[11]Диспан.набл.взрослых Пр.3-23'!P94+'[11]Уточнение Пр.9-23'!P94</f>
        <v>0</v>
      </c>
      <c r="Q94" s="714">
        <f>'[11]Диспан.набл.взрослых Пр.3-23'!Q94+'[11]Уточнение Пр.9-23'!Q94</f>
        <v>2</v>
      </c>
      <c r="R94" s="714">
        <f>'[11]Диспан.набл.взрослых Пр.3-23'!R94+'[11]Уточнение Пр.9-23'!R94</f>
        <v>0</v>
      </c>
    </row>
    <row r="95" spans="1:18" ht="24" x14ac:dyDescent="0.25">
      <c r="A95" s="1076"/>
      <c r="B95" s="1079"/>
      <c r="C95" s="653" t="s">
        <v>180</v>
      </c>
      <c r="D95" s="714">
        <f t="shared" si="2"/>
        <v>0</v>
      </c>
      <c r="E95" s="714">
        <f>'[11]Диспан.набл.взрослых Пр.3-23'!E95+'[11]Уточнение Пр.9-23'!E95</f>
        <v>0</v>
      </c>
      <c r="F95" s="714">
        <f>'[11]Диспан.набл.взрослых Пр.3-23'!F95+'[11]Уточнение Пр.9-23'!F95</f>
        <v>0</v>
      </c>
      <c r="G95" s="714">
        <f>'[11]Диспан.набл.взрослых Пр.3-23'!G95+'[11]Уточнение Пр.9-23'!G95</f>
        <v>0</v>
      </c>
      <c r="H95" s="714">
        <f>'[11]Диспан.набл.взрослых Пр.3-23'!H95+'[11]Уточнение Пр.9-23'!H95</f>
        <v>0</v>
      </c>
      <c r="I95" s="714">
        <f>'[11]Диспан.набл.взрослых Пр.3-23'!I95+'[11]Уточнение Пр.9-23'!I95</f>
        <v>0</v>
      </c>
      <c r="J95" s="714">
        <f>'[11]Диспан.набл.взрослых Пр.3-23'!J95+'[11]Уточнение Пр.9-23'!J95</f>
        <v>0</v>
      </c>
      <c r="K95" s="714">
        <f>'[11]Диспан.набл.взрослых Пр.3-23'!K95+'[11]Уточнение Пр.9-23'!K95</f>
        <v>0</v>
      </c>
      <c r="L95" s="714">
        <f>'[11]Диспан.набл.взрослых Пр.3-23'!L95+'[11]Уточнение Пр.9-23'!L95</f>
        <v>0</v>
      </c>
      <c r="M95" s="714">
        <f>'[11]Диспан.набл.взрослых Пр.3-23'!M95+'[11]Уточнение Пр.9-23'!M95</f>
        <v>0</v>
      </c>
      <c r="N95" s="714">
        <f>'[11]Диспан.набл.взрослых Пр.3-23'!N95+'[11]Уточнение Пр.9-23'!N95</f>
        <v>0</v>
      </c>
      <c r="O95" s="714">
        <f>'[11]Диспан.набл.взрослых Пр.3-23'!O95+'[11]Уточнение Пр.9-23'!O95</f>
        <v>0</v>
      </c>
      <c r="P95" s="714">
        <f>'[11]Диспан.набл.взрослых Пр.3-23'!P95+'[11]Уточнение Пр.9-23'!P95</f>
        <v>0</v>
      </c>
      <c r="Q95" s="714">
        <f>'[11]Диспан.набл.взрослых Пр.3-23'!Q95+'[11]Уточнение Пр.9-23'!Q95</f>
        <v>0</v>
      </c>
      <c r="R95" s="714">
        <f>'[11]Диспан.набл.взрослых Пр.3-23'!R95+'[11]Уточнение Пр.9-23'!R95</f>
        <v>0</v>
      </c>
    </row>
    <row r="96" spans="1:18" ht="36" x14ac:dyDescent="0.25">
      <c r="A96" s="1077"/>
      <c r="B96" s="1080"/>
      <c r="C96" s="339" t="s">
        <v>748</v>
      </c>
      <c r="D96" s="714">
        <f t="shared" si="2"/>
        <v>0</v>
      </c>
      <c r="E96" s="714">
        <f>'[11]Диспан.набл.взрослых Пр.3-23'!E96+'[11]Уточнение Пр.9-23'!E96</f>
        <v>0</v>
      </c>
      <c r="F96" s="714">
        <f>'[11]Диспан.набл.взрослых Пр.3-23'!F96+'[11]Уточнение Пр.9-23'!F96</f>
        <v>0</v>
      </c>
      <c r="G96" s="714">
        <f>'[11]Диспан.набл.взрослых Пр.3-23'!G96+'[11]Уточнение Пр.9-23'!G96</f>
        <v>0</v>
      </c>
      <c r="H96" s="714">
        <f>'[11]Диспан.набл.взрослых Пр.3-23'!H96+'[11]Уточнение Пр.9-23'!H96</f>
        <v>0</v>
      </c>
      <c r="I96" s="714">
        <f>'[11]Диспан.набл.взрослых Пр.3-23'!I96+'[11]Уточнение Пр.9-23'!I96</f>
        <v>0</v>
      </c>
      <c r="J96" s="714">
        <f>'[11]Диспан.набл.взрослых Пр.3-23'!J96+'[11]Уточнение Пр.9-23'!J96</f>
        <v>0</v>
      </c>
      <c r="K96" s="714">
        <f>'[11]Диспан.набл.взрослых Пр.3-23'!K96+'[11]Уточнение Пр.9-23'!K96</f>
        <v>0</v>
      </c>
      <c r="L96" s="714">
        <f>'[11]Диспан.набл.взрослых Пр.3-23'!L96+'[11]Уточнение Пр.9-23'!L96</f>
        <v>0</v>
      </c>
      <c r="M96" s="714">
        <f>'[11]Диспан.набл.взрослых Пр.3-23'!M96+'[11]Уточнение Пр.9-23'!M96</f>
        <v>0</v>
      </c>
      <c r="N96" s="714">
        <f>'[11]Диспан.набл.взрослых Пр.3-23'!N96+'[11]Уточнение Пр.9-23'!N96</f>
        <v>0</v>
      </c>
      <c r="O96" s="714">
        <f>'[11]Диспан.набл.взрослых Пр.3-23'!O96+'[11]Уточнение Пр.9-23'!O96</f>
        <v>0</v>
      </c>
      <c r="P96" s="714">
        <f>'[11]Диспан.набл.взрослых Пр.3-23'!P96+'[11]Уточнение Пр.9-23'!P96</f>
        <v>0</v>
      </c>
      <c r="Q96" s="714">
        <f>'[11]Диспан.набл.взрослых Пр.3-23'!Q96+'[11]Уточнение Пр.9-23'!Q96</f>
        <v>0</v>
      </c>
      <c r="R96" s="714">
        <f>'[11]Диспан.набл.взрослых Пр.3-23'!R96+'[11]Уточнение Пр.9-23'!R96</f>
        <v>0</v>
      </c>
    </row>
    <row r="97" spans="1:18" ht="24" x14ac:dyDescent="0.25">
      <c r="A97" s="711">
        <v>84</v>
      </c>
      <c r="B97" s="715" t="s">
        <v>181</v>
      </c>
      <c r="C97" s="713" t="s">
        <v>182</v>
      </c>
      <c r="D97" s="714">
        <f t="shared" si="2"/>
        <v>0</v>
      </c>
      <c r="E97" s="714">
        <f>'[11]Диспан.набл.взрослых Пр.3-23'!E97+'[11]Уточнение Пр.9-23'!E97</f>
        <v>0</v>
      </c>
      <c r="F97" s="714">
        <f>'[11]Диспан.набл.взрослых Пр.3-23'!F97+'[11]Уточнение Пр.9-23'!F97</f>
        <v>0</v>
      </c>
      <c r="G97" s="714">
        <f>'[11]Диспан.набл.взрослых Пр.3-23'!G97+'[11]Уточнение Пр.9-23'!G97</f>
        <v>0</v>
      </c>
      <c r="H97" s="714">
        <f>'[11]Диспан.набл.взрослых Пр.3-23'!H97+'[11]Уточнение Пр.9-23'!H97</f>
        <v>0</v>
      </c>
      <c r="I97" s="714">
        <f>'[11]Диспан.набл.взрослых Пр.3-23'!I97+'[11]Уточнение Пр.9-23'!I97</f>
        <v>0</v>
      </c>
      <c r="J97" s="714">
        <f>'[11]Диспан.набл.взрослых Пр.3-23'!J97+'[11]Уточнение Пр.9-23'!J97</f>
        <v>0</v>
      </c>
      <c r="K97" s="714">
        <f>'[11]Диспан.набл.взрослых Пр.3-23'!K97+'[11]Уточнение Пр.9-23'!K97</f>
        <v>0</v>
      </c>
      <c r="L97" s="714">
        <f>'[11]Диспан.набл.взрослых Пр.3-23'!L97+'[11]Уточнение Пр.9-23'!L97</f>
        <v>0</v>
      </c>
      <c r="M97" s="714">
        <f>'[11]Диспан.набл.взрослых Пр.3-23'!M97+'[11]Уточнение Пр.9-23'!M97</f>
        <v>0</v>
      </c>
      <c r="N97" s="714">
        <f>'[11]Диспан.набл.взрослых Пр.3-23'!N97+'[11]Уточнение Пр.9-23'!N97</f>
        <v>0</v>
      </c>
      <c r="O97" s="714">
        <f>'[11]Диспан.набл.взрослых Пр.3-23'!O97+'[11]Уточнение Пр.9-23'!O97</f>
        <v>0</v>
      </c>
      <c r="P97" s="714">
        <f>'[11]Диспан.набл.взрослых Пр.3-23'!P97+'[11]Уточнение Пр.9-23'!P97</f>
        <v>0</v>
      </c>
      <c r="Q97" s="714">
        <f>'[11]Диспан.набл.взрослых Пр.3-23'!Q97+'[11]Уточнение Пр.9-23'!Q97</f>
        <v>0</v>
      </c>
      <c r="R97" s="714">
        <f>'[11]Диспан.набл.взрослых Пр.3-23'!R97+'[11]Уточнение Пр.9-23'!R97</f>
        <v>0</v>
      </c>
    </row>
    <row r="98" spans="1:18" x14ac:dyDescent="0.25">
      <c r="A98" s="711">
        <v>85</v>
      </c>
      <c r="B98" s="715" t="s">
        <v>183</v>
      </c>
      <c r="C98" s="1" t="s">
        <v>184</v>
      </c>
      <c r="D98" s="714">
        <f t="shared" si="2"/>
        <v>2169</v>
      </c>
      <c r="E98" s="714">
        <f>'[11]Диспан.набл.взрослых Пр.3-23'!E98+'[11]Уточнение Пр.9-23'!E98</f>
        <v>1740</v>
      </c>
      <c r="F98" s="714">
        <f>'[11]Диспан.набл.взрослых Пр.3-23'!F98+'[11]Уточнение Пр.9-23'!F98</f>
        <v>416</v>
      </c>
      <c r="G98" s="714">
        <f>'[11]Диспан.набл.взрослых Пр.3-23'!G98+'[11]Уточнение Пр.9-23'!G98</f>
        <v>0</v>
      </c>
      <c r="H98" s="714">
        <f>'[11]Диспан.набл.взрослых Пр.3-23'!H98+'[11]Уточнение Пр.9-23'!H98</f>
        <v>11</v>
      </c>
      <c r="I98" s="714">
        <f>'[11]Диспан.набл.взрослых Пр.3-23'!I98+'[11]Уточнение Пр.9-23'!I98</f>
        <v>0</v>
      </c>
      <c r="J98" s="714">
        <f>'[11]Диспан.набл.взрослых Пр.3-23'!J98+'[11]Уточнение Пр.9-23'!J98</f>
        <v>0</v>
      </c>
      <c r="K98" s="714">
        <f>'[11]Диспан.набл.взрослых Пр.3-23'!K98+'[11]Уточнение Пр.9-23'!K98</f>
        <v>2</v>
      </c>
      <c r="L98" s="714">
        <f>'[11]Диспан.набл.взрослых Пр.3-23'!L98+'[11]Уточнение Пр.9-23'!L98</f>
        <v>0</v>
      </c>
      <c r="M98" s="714">
        <f>'[11]Диспан.набл.взрослых Пр.3-23'!M98+'[11]Уточнение Пр.9-23'!M98</f>
        <v>0</v>
      </c>
      <c r="N98" s="714">
        <f>'[11]Диспан.набл.взрослых Пр.3-23'!N98+'[11]Уточнение Пр.9-23'!N98</f>
        <v>0</v>
      </c>
      <c r="O98" s="714">
        <f>'[11]Диспан.набл.взрослых Пр.3-23'!O98+'[11]Уточнение Пр.9-23'!O98</f>
        <v>0</v>
      </c>
      <c r="P98" s="714">
        <f>'[11]Диспан.набл.взрослых Пр.3-23'!P98+'[11]Уточнение Пр.9-23'!P98</f>
        <v>0</v>
      </c>
      <c r="Q98" s="714">
        <f>'[11]Диспан.набл.взрослых Пр.3-23'!Q98+'[11]Уточнение Пр.9-23'!Q98</f>
        <v>0</v>
      </c>
      <c r="R98" s="714">
        <f>'[11]Диспан.набл.взрослых Пр.3-23'!R98+'[11]Уточнение Пр.9-23'!R98</f>
        <v>0</v>
      </c>
    </row>
    <row r="99" spans="1:18" x14ac:dyDescent="0.25">
      <c r="A99" s="711">
        <v>86</v>
      </c>
      <c r="B99" s="716" t="s">
        <v>185</v>
      </c>
      <c r="C99" s="653" t="s">
        <v>186</v>
      </c>
      <c r="D99" s="714">
        <f t="shared" si="2"/>
        <v>6690</v>
      </c>
      <c r="E99" s="714">
        <f>'[11]Диспан.набл.взрослых Пр.3-23'!E99+'[11]Уточнение Пр.9-23'!E99</f>
        <v>5333</v>
      </c>
      <c r="F99" s="714">
        <f>'[11]Диспан.набл.взрослых Пр.3-23'!F99+'[11]Уточнение Пр.9-23'!F99</f>
        <v>974</v>
      </c>
      <c r="G99" s="714">
        <f>'[11]Диспан.набл.взрослых Пр.3-23'!G99+'[11]Уточнение Пр.9-23'!G99</f>
        <v>156</v>
      </c>
      <c r="H99" s="714">
        <f>'[11]Диспан.набл.взрослых Пр.3-23'!H99+'[11]Уточнение Пр.9-23'!H99</f>
        <v>150</v>
      </c>
      <c r="I99" s="714">
        <f>'[11]Диспан.набл.взрослых Пр.3-23'!I99+'[11]Уточнение Пр.9-23'!I99</f>
        <v>0</v>
      </c>
      <c r="J99" s="714">
        <f>'[11]Диспан.набл.взрослых Пр.3-23'!J99+'[11]Уточнение Пр.9-23'!J99</f>
        <v>0</v>
      </c>
      <c r="K99" s="714">
        <f>'[11]Диспан.набл.взрослых Пр.3-23'!K99+'[11]Уточнение Пр.9-23'!K99</f>
        <v>0</v>
      </c>
      <c r="L99" s="714">
        <f>'[11]Диспан.набл.взрослых Пр.3-23'!L99+'[11]Уточнение Пр.9-23'!L99</f>
        <v>0</v>
      </c>
      <c r="M99" s="714">
        <f>'[11]Диспан.набл.взрослых Пр.3-23'!M99+'[11]Уточнение Пр.9-23'!M99</f>
        <v>4</v>
      </c>
      <c r="N99" s="714">
        <f>'[11]Диспан.набл.взрослых Пр.3-23'!N99+'[11]Уточнение Пр.9-23'!N99</f>
        <v>0</v>
      </c>
      <c r="O99" s="714">
        <f>'[11]Диспан.набл.взрослых Пр.3-23'!O99+'[11]Уточнение Пр.9-23'!O99</f>
        <v>1</v>
      </c>
      <c r="P99" s="714">
        <f>'[11]Диспан.набл.взрослых Пр.3-23'!P99+'[11]Уточнение Пр.9-23'!P99</f>
        <v>3</v>
      </c>
      <c r="Q99" s="714">
        <f>'[11]Диспан.набл.взрослых Пр.3-23'!Q99+'[11]Уточнение Пр.9-23'!Q99</f>
        <v>0</v>
      </c>
      <c r="R99" s="714">
        <f>'[11]Диспан.набл.взрослых Пр.3-23'!R99+'[11]Уточнение Пр.9-23'!R99</f>
        <v>69</v>
      </c>
    </row>
    <row r="100" spans="1:18" x14ac:dyDescent="0.25">
      <c r="A100" s="711">
        <v>87</v>
      </c>
      <c r="B100" s="715" t="s">
        <v>187</v>
      </c>
      <c r="C100" s="713" t="s">
        <v>188</v>
      </c>
      <c r="D100" s="714">
        <f t="shared" si="2"/>
        <v>4580</v>
      </c>
      <c r="E100" s="714">
        <f>'[11]Диспан.набл.взрослых Пр.3-23'!E100+'[11]Уточнение Пр.9-23'!E100</f>
        <v>3740</v>
      </c>
      <c r="F100" s="714">
        <f>'[11]Диспан.набл.взрослых Пр.3-23'!F100+'[11]Уточнение Пр.9-23'!F100</f>
        <v>649</v>
      </c>
      <c r="G100" s="714">
        <f>'[11]Диспан.набл.взрослых Пр.3-23'!G100+'[11]Уточнение Пр.9-23'!G100</f>
        <v>4</v>
      </c>
      <c r="H100" s="714">
        <f>'[11]Диспан.набл.взрослых Пр.3-23'!H100+'[11]Уточнение Пр.9-23'!H100</f>
        <v>94</v>
      </c>
      <c r="I100" s="714">
        <f>'[11]Диспан.набл.взрослых Пр.3-23'!I100+'[11]Уточнение Пр.9-23'!I100</f>
        <v>0</v>
      </c>
      <c r="J100" s="714">
        <f>'[11]Диспан.набл.взрослых Пр.3-23'!J100+'[11]Уточнение Пр.9-23'!J100</f>
        <v>0</v>
      </c>
      <c r="K100" s="714">
        <f>'[11]Диспан.набл.взрослых Пр.3-23'!K100+'[11]Уточнение Пр.9-23'!K100</f>
        <v>0</v>
      </c>
      <c r="L100" s="714">
        <f>'[11]Диспан.набл.взрослых Пр.3-23'!L100+'[11]Уточнение Пр.9-23'!L100</f>
        <v>2</v>
      </c>
      <c r="M100" s="714">
        <f>'[11]Диспан.набл.взрослых Пр.3-23'!M100+'[11]Уточнение Пр.9-23'!M100</f>
        <v>0</v>
      </c>
      <c r="N100" s="714">
        <f>'[11]Диспан.набл.взрослых Пр.3-23'!N100+'[11]Уточнение Пр.9-23'!N100</f>
        <v>1</v>
      </c>
      <c r="O100" s="714">
        <f>'[11]Диспан.набл.взрослых Пр.3-23'!O100+'[11]Уточнение Пр.9-23'!O100</f>
        <v>0</v>
      </c>
      <c r="P100" s="714">
        <f>'[11]Диспан.набл.взрослых Пр.3-23'!P100+'[11]Уточнение Пр.9-23'!P100</f>
        <v>0</v>
      </c>
      <c r="Q100" s="714">
        <f>'[11]Диспан.набл.взрослых Пр.3-23'!Q100+'[11]Уточнение Пр.9-23'!Q100</f>
        <v>19</v>
      </c>
      <c r="R100" s="714">
        <f>'[11]Диспан.набл.взрослых Пр.3-23'!R100+'[11]Уточнение Пр.9-23'!R100</f>
        <v>71</v>
      </c>
    </row>
    <row r="101" spans="1:18" x14ac:dyDescent="0.25">
      <c r="A101" s="711">
        <v>88</v>
      </c>
      <c r="B101" s="716" t="s">
        <v>189</v>
      </c>
      <c r="C101" s="653" t="s">
        <v>190</v>
      </c>
      <c r="D101" s="714">
        <f t="shared" si="2"/>
        <v>3583</v>
      </c>
      <c r="E101" s="714">
        <f>'[11]Диспан.набл.взрослых Пр.3-23'!E101+'[11]Уточнение Пр.9-23'!E101</f>
        <v>3552</v>
      </c>
      <c r="F101" s="714">
        <f>'[11]Диспан.набл.взрослых Пр.3-23'!F101+'[11]Уточнение Пр.9-23'!F101</f>
        <v>1</v>
      </c>
      <c r="G101" s="714">
        <f>'[11]Диспан.набл.взрослых Пр.3-23'!G101+'[11]Уточнение Пр.9-23'!G101</f>
        <v>0</v>
      </c>
      <c r="H101" s="714">
        <f>'[11]Диспан.набл.взрослых Пр.3-23'!H101+'[11]Уточнение Пр.9-23'!H101</f>
        <v>1</v>
      </c>
      <c r="I101" s="714">
        <f>'[11]Диспан.набл.взрослых Пр.3-23'!I101+'[11]Уточнение Пр.9-23'!I101</f>
        <v>0</v>
      </c>
      <c r="J101" s="714">
        <f>'[11]Диспан.набл.взрослых Пр.3-23'!J101+'[11]Уточнение Пр.9-23'!J101</f>
        <v>0</v>
      </c>
      <c r="K101" s="714">
        <f>'[11]Диспан.набл.взрослых Пр.3-23'!K101+'[11]Уточнение Пр.9-23'!K101</f>
        <v>0</v>
      </c>
      <c r="L101" s="714">
        <f>'[11]Диспан.набл.взрослых Пр.3-23'!L101+'[11]Уточнение Пр.9-23'!L101</f>
        <v>0</v>
      </c>
      <c r="M101" s="714">
        <f>'[11]Диспан.набл.взрослых Пр.3-23'!M101+'[11]Уточнение Пр.9-23'!M101</f>
        <v>5</v>
      </c>
      <c r="N101" s="714">
        <f>'[11]Диспан.набл.взрослых Пр.3-23'!N101+'[11]Уточнение Пр.9-23'!N101</f>
        <v>3</v>
      </c>
      <c r="O101" s="714">
        <f>'[11]Диспан.набл.взрослых Пр.3-23'!O101+'[11]Уточнение Пр.9-23'!O101</f>
        <v>0</v>
      </c>
      <c r="P101" s="714">
        <f>'[11]Диспан.набл.взрослых Пр.3-23'!P101+'[11]Уточнение Пр.9-23'!P101</f>
        <v>0</v>
      </c>
      <c r="Q101" s="714">
        <f>'[11]Диспан.набл.взрослых Пр.3-23'!Q101+'[11]Уточнение Пр.9-23'!Q101</f>
        <v>16</v>
      </c>
      <c r="R101" s="714">
        <f>'[11]Диспан.набл.взрослых Пр.3-23'!R101+'[11]Уточнение Пр.9-23'!R101</f>
        <v>5</v>
      </c>
    </row>
    <row r="102" spans="1:18" x14ac:dyDescent="0.25">
      <c r="A102" s="711">
        <v>89</v>
      </c>
      <c r="B102" s="716" t="s">
        <v>191</v>
      </c>
      <c r="C102" s="653" t="s">
        <v>192</v>
      </c>
      <c r="D102" s="714">
        <f t="shared" si="2"/>
        <v>13140</v>
      </c>
      <c r="E102" s="714">
        <f>'[11]Диспан.набл.взрослых Пр.3-23'!E102+'[11]Уточнение Пр.9-23'!E102</f>
        <v>12785</v>
      </c>
      <c r="F102" s="714">
        <f>'[11]Диспан.набл.взрослых Пр.3-23'!F102+'[11]Уточнение Пр.9-23'!F102</f>
        <v>121</v>
      </c>
      <c r="G102" s="714">
        <f>'[11]Диспан.набл.взрослых Пр.3-23'!G102+'[11]Уточнение Пр.9-23'!G102</f>
        <v>100</v>
      </c>
      <c r="H102" s="714">
        <f>'[11]Диспан.набл.взрослых Пр.3-23'!H102+'[11]Уточнение Пр.9-23'!H102</f>
        <v>79</v>
      </c>
      <c r="I102" s="714">
        <f>'[11]Диспан.набл.взрослых Пр.3-23'!I102+'[11]Уточнение Пр.9-23'!I102</f>
        <v>0</v>
      </c>
      <c r="J102" s="714">
        <f>'[11]Диспан.набл.взрослых Пр.3-23'!J102+'[11]Уточнение Пр.9-23'!J102</f>
        <v>0</v>
      </c>
      <c r="K102" s="714">
        <f>'[11]Диспан.набл.взрослых Пр.3-23'!K102+'[11]Уточнение Пр.9-23'!K102</f>
        <v>3</v>
      </c>
      <c r="L102" s="714">
        <f>'[11]Диспан.набл.взрослых Пр.3-23'!L102+'[11]Уточнение Пр.9-23'!L102</f>
        <v>0</v>
      </c>
      <c r="M102" s="714">
        <f>'[11]Диспан.набл.взрослых Пр.3-23'!M102+'[11]Уточнение Пр.9-23'!M102</f>
        <v>2</v>
      </c>
      <c r="N102" s="714">
        <f>'[11]Диспан.набл.взрослых Пр.3-23'!N102+'[11]Уточнение Пр.9-23'!N102</f>
        <v>18</v>
      </c>
      <c r="O102" s="714">
        <f>'[11]Диспан.набл.взрослых Пр.3-23'!O102+'[11]Уточнение Пр.9-23'!O102</f>
        <v>4</v>
      </c>
      <c r="P102" s="714">
        <f>'[11]Диспан.набл.взрослых Пр.3-23'!P102+'[11]Уточнение Пр.9-23'!P102</f>
        <v>0</v>
      </c>
      <c r="Q102" s="714">
        <f>'[11]Диспан.набл.взрослых Пр.3-23'!Q102+'[11]Уточнение Пр.9-23'!Q102</f>
        <v>28</v>
      </c>
      <c r="R102" s="714">
        <f>'[11]Диспан.набл.взрослых Пр.3-23'!R102+'[11]Уточнение Пр.9-23'!R102</f>
        <v>0</v>
      </c>
    </row>
    <row r="103" spans="1:18" x14ac:dyDescent="0.25">
      <c r="A103" s="711">
        <v>90</v>
      </c>
      <c r="B103" s="715" t="s">
        <v>193</v>
      </c>
      <c r="C103" s="1" t="s">
        <v>194</v>
      </c>
      <c r="D103" s="714">
        <f t="shared" si="2"/>
        <v>5264</v>
      </c>
      <c r="E103" s="714">
        <f>'[11]Диспан.набл.взрослых Пр.3-23'!E103+'[11]Уточнение Пр.9-23'!E103</f>
        <v>4763</v>
      </c>
      <c r="F103" s="714">
        <f>'[11]Диспан.набл.взрослых Пр.3-23'!F103+'[11]Уточнение Пр.9-23'!F103</f>
        <v>351</v>
      </c>
      <c r="G103" s="714">
        <f>'[11]Диспан.набл.взрослых Пр.3-23'!G103+'[11]Уточнение Пр.9-23'!G103</f>
        <v>95</v>
      </c>
      <c r="H103" s="714">
        <f>'[11]Диспан.набл.взрослых Пр.3-23'!H103+'[11]Уточнение Пр.9-23'!H103</f>
        <v>0</v>
      </c>
      <c r="I103" s="714">
        <f>'[11]Диспан.набл.взрослых Пр.3-23'!I103+'[11]Уточнение Пр.9-23'!I103</f>
        <v>0</v>
      </c>
      <c r="J103" s="714">
        <f>'[11]Диспан.набл.взрослых Пр.3-23'!J103+'[11]Уточнение Пр.9-23'!J103</f>
        <v>0</v>
      </c>
      <c r="K103" s="714">
        <f>'[11]Диспан.набл.взрослых Пр.3-23'!K103+'[11]Уточнение Пр.9-23'!K103</f>
        <v>2</v>
      </c>
      <c r="L103" s="714">
        <f>'[11]Диспан.набл.взрослых Пр.3-23'!L103+'[11]Уточнение Пр.9-23'!L103</f>
        <v>0</v>
      </c>
      <c r="M103" s="714">
        <f>'[11]Диспан.набл.взрослых Пр.3-23'!M103+'[11]Уточнение Пр.9-23'!M103</f>
        <v>1</v>
      </c>
      <c r="N103" s="714">
        <f>'[11]Диспан.набл.взрослых Пр.3-23'!N103+'[11]Уточнение Пр.9-23'!N103</f>
        <v>30</v>
      </c>
      <c r="O103" s="714">
        <f>'[11]Диспан.набл.взрослых Пр.3-23'!O103+'[11]Уточнение Пр.9-23'!O103</f>
        <v>0</v>
      </c>
      <c r="P103" s="714">
        <f>'[11]Диспан.набл.взрослых Пр.3-23'!P103+'[11]Уточнение Пр.9-23'!P103</f>
        <v>0</v>
      </c>
      <c r="Q103" s="714">
        <f>'[11]Диспан.набл.взрослых Пр.3-23'!Q103+'[11]Уточнение Пр.9-23'!Q103</f>
        <v>19</v>
      </c>
      <c r="R103" s="714">
        <f>'[11]Диспан.набл.взрослых Пр.3-23'!R103+'[11]Уточнение Пр.9-23'!R103</f>
        <v>3</v>
      </c>
    </row>
    <row r="104" spans="1:18" x14ac:dyDescent="0.25">
      <c r="A104" s="711">
        <v>91</v>
      </c>
      <c r="B104" s="715" t="s">
        <v>195</v>
      </c>
      <c r="C104" s="713" t="s">
        <v>196</v>
      </c>
      <c r="D104" s="714">
        <f t="shared" si="2"/>
        <v>10485</v>
      </c>
      <c r="E104" s="714">
        <f>'[11]Диспан.набл.взрослых Пр.3-23'!E104+'[11]Уточнение Пр.9-23'!E104</f>
        <v>9461</v>
      </c>
      <c r="F104" s="714">
        <f>'[11]Диспан.набл.взрослых Пр.3-23'!F104+'[11]Уточнение Пр.9-23'!F104</f>
        <v>565</v>
      </c>
      <c r="G104" s="714">
        <f>'[11]Диспан.набл.взрослых Пр.3-23'!G104+'[11]Уточнение Пр.9-23'!G104</f>
        <v>220</v>
      </c>
      <c r="H104" s="714">
        <f>'[11]Диспан.набл.взрослых Пр.3-23'!H104+'[11]Уточнение Пр.9-23'!H104</f>
        <v>138</v>
      </c>
      <c r="I104" s="714">
        <f>'[11]Диспан.набл.взрослых Пр.3-23'!I104+'[11]Уточнение Пр.9-23'!I104</f>
        <v>0</v>
      </c>
      <c r="J104" s="714">
        <f>'[11]Диспан.набл.взрослых Пр.3-23'!J104+'[11]Уточнение Пр.9-23'!J104</f>
        <v>0</v>
      </c>
      <c r="K104" s="714">
        <f>'[11]Диспан.набл.взрослых Пр.3-23'!K104+'[11]Уточнение Пр.9-23'!K104</f>
        <v>0</v>
      </c>
      <c r="L104" s="714">
        <f>'[11]Диспан.набл.взрослых Пр.3-23'!L104+'[11]Уточнение Пр.9-23'!L104</f>
        <v>3</v>
      </c>
      <c r="M104" s="714">
        <f>'[11]Диспан.набл.взрослых Пр.3-23'!M104+'[11]Уточнение Пр.9-23'!M104</f>
        <v>6</v>
      </c>
      <c r="N104" s="714">
        <f>'[11]Диспан.набл.взрослых Пр.3-23'!N104+'[11]Уточнение Пр.9-23'!N104</f>
        <v>10</v>
      </c>
      <c r="O104" s="714">
        <f>'[11]Диспан.набл.взрослых Пр.3-23'!O104+'[11]Уточнение Пр.9-23'!O104</f>
        <v>0</v>
      </c>
      <c r="P104" s="714">
        <f>'[11]Диспан.набл.взрослых Пр.3-23'!P104+'[11]Уточнение Пр.9-23'!P104</f>
        <v>0</v>
      </c>
      <c r="Q104" s="714">
        <f>'[11]Диспан.набл.взрослых Пр.3-23'!Q104+'[11]Уточнение Пр.9-23'!Q104</f>
        <v>77</v>
      </c>
      <c r="R104" s="714">
        <f>'[11]Диспан.набл.взрослых Пр.3-23'!R104+'[11]Уточнение Пр.9-23'!R104</f>
        <v>5</v>
      </c>
    </row>
    <row r="105" spans="1:18" x14ac:dyDescent="0.25">
      <c r="A105" s="711">
        <v>92</v>
      </c>
      <c r="B105" s="712" t="s">
        <v>197</v>
      </c>
      <c r="C105" s="713" t="s">
        <v>198</v>
      </c>
      <c r="D105" s="714">
        <f t="shared" si="2"/>
        <v>9656</v>
      </c>
      <c r="E105" s="714">
        <f>'[11]Диспан.набл.взрослых Пр.3-23'!E105+'[11]Уточнение Пр.9-23'!E105</f>
        <v>8534</v>
      </c>
      <c r="F105" s="714">
        <f>'[11]Диспан.набл.взрослых Пр.3-23'!F105+'[11]Уточнение Пр.9-23'!F105</f>
        <v>858</v>
      </c>
      <c r="G105" s="714">
        <f>'[11]Диспан.набл.взрослых Пр.3-23'!G105+'[11]Уточнение Пр.9-23'!G105</f>
        <v>200</v>
      </c>
      <c r="H105" s="714">
        <f>'[11]Диспан.набл.взрослых Пр.3-23'!H105+'[11]Уточнение Пр.9-23'!H105</f>
        <v>38</v>
      </c>
      <c r="I105" s="714">
        <f>'[11]Диспан.набл.взрослых Пр.3-23'!I105+'[11]Уточнение Пр.9-23'!I105</f>
        <v>0</v>
      </c>
      <c r="J105" s="714">
        <f>'[11]Диспан.набл.взрослых Пр.3-23'!J105+'[11]Уточнение Пр.9-23'!J105</f>
        <v>0</v>
      </c>
      <c r="K105" s="714">
        <f>'[11]Диспан.набл.взрослых Пр.3-23'!K105+'[11]Уточнение Пр.9-23'!K105</f>
        <v>0</v>
      </c>
      <c r="L105" s="714">
        <f>'[11]Диспан.набл.взрослых Пр.3-23'!L105+'[11]Уточнение Пр.9-23'!L105</f>
        <v>1</v>
      </c>
      <c r="M105" s="714">
        <f>'[11]Диспан.набл.взрослых Пр.3-23'!M105+'[11]Уточнение Пр.9-23'!M105</f>
        <v>0</v>
      </c>
      <c r="N105" s="714">
        <f>'[11]Диспан.набл.взрослых Пр.3-23'!N105+'[11]Уточнение Пр.9-23'!N105</f>
        <v>2</v>
      </c>
      <c r="O105" s="714">
        <f>'[11]Диспан.набл.взрослых Пр.3-23'!O105+'[11]Уточнение Пр.9-23'!O105</f>
        <v>0</v>
      </c>
      <c r="P105" s="714">
        <f>'[11]Диспан.набл.взрослых Пр.3-23'!P105+'[11]Уточнение Пр.9-23'!P105</f>
        <v>0</v>
      </c>
      <c r="Q105" s="714">
        <f>'[11]Диспан.набл.взрослых Пр.3-23'!Q105+'[11]Уточнение Пр.9-23'!Q105</f>
        <v>22</v>
      </c>
      <c r="R105" s="714">
        <f>'[11]Диспан.набл.взрослых Пр.3-23'!R105+'[11]Уточнение Пр.9-23'!R105</f>
        <v>1</v>
      </c>
    </row>
    <row r="106" spans="1:18" x14ac:dyDescent="0.25">
      <c r="A106" s="711">
        <v>93</v>
      </c>
      <c r="B106" s="712" t="s">
        <v>199</v>
      </c>
      <c r="C106" s="713" t="s">
        <v>200</v>
      </c>
      <c r="D106" s="714">
        <f t="shared" si="2"/>
        <v>8391</v>
      </c>
      <c r="E106" s="714">
        <f>'[11]Диспан.набл.взрослых Пр.3-23'!E106+'[11]Уточнение Пр.9-23'!E106</f>
        <v>7513</v>
      </c>
      <c r="F106" s="714">
        <f>'[11]Диспан.набл.взрослых Пр.3-23'!F106+'[11]Уточнение Пр.9-23'!F106</f>
        <v>794</v>
      </c>
      <c r="G106" s="714">
        <f>'[11]Диспан.набл.взрослых Пр.3-23'!G106+'[11]Уточнение Пр.9-23'!G106</f>
        <v>2</v>
      </c>
      <c r="H106" s="714">
        <f>'[11]Диспан.набл.взрослых Пр.3-23'!H106+'[11]Уточнение Пр.9-23'!H106</f>
        <v>28</v>
      </c>
      <c r="I106" s="714">
        <f>'[11]Диспан.набл.взрослых Пр.3-23'!I106+'[11]Уточнение Пр.9-23'!I106</f>
        <v>0</v>
      </c>
      <c r="J106" s="714">
        <f>'[11]Диспан.набл.взрослых Пр.3-23'!J106+'[11]Уточнение Пр.9-23'!J106</f>
        <v>0</v>
      </c>
      <c r="K106" s="714">
        <f>'[11]Диспан.набл.взрослых Пр.3-23'!K106+'[11]Уточнение Пр.9-23'!K106</f>
        <v>0</v>
      </c>
      <c r="L106" s="714">
        <f>'[11]Диспан.набл.взрослых Пр.3-23'!L106+'[11]Уточнение Пр.9-23'!L106</f>
        <v>1</v>
      </c>
      <c r="M106" s="714">
        <f>'[11]Диспан.набл.взрослых Пр.3-23'!M106+'[11]Уточнение Пр.9-23'!M106</f>
        <v>17</v>
      </c>
      <c r="N106" s="714">
        <f>'[11]Диспан.набл.взрослых Пр.3-23'!N106+'[11]Уточнение Пр.9-23'!N106</f>
        <v>4</v>
      </c>
      <c r="O106" s="714">
        <f>'[11]Диспан.набл.взрослых Пр.3-23'!O106+'[11]Уточнение Пр.9-23'!O106</f>
        <v>2</v>
      </c>
      <c r="P106" s="714">
        <f>'[11]Диспан.набл.взрослых Пр.3-23'!P106+'[11]Уточнение Пр.9-23'!P106</f>
        <v>2</v>
      </c>
      <c r="Q106" s="714">
        <f>'[11]Диспан.набл.взрослых Пр.3-23'!Q106+'[11]Уточнение Пр.9-23'!Q106</f>
        <v>21</v>
      </c>
      <c r="R106" s="714">
        <f>'[11]Диспан.набл.взрослых Пр.3-23'!R106+'[11]Уточнение Пр.9-23'!R106</f>
        <v>7</v>
      </c>
    </row>
    <row r="107" spans="1:18" x14ac:dyDescent="0.25">
      <c r="A107" s="711">
        <v>94</v>
      </c>
      <c r="B107" s="716" t="s">
        <v>201</v>
      </c>
      <c r="C107" s="653" t="s">
        <v>202</v>
      </c>
      <c r="D107" s="714">
        <f t="shared" si="2"/>
        <v>4993</v>
      </c>
      <c r="E107" s="714">
        <f>'[11]Диспан.набл.взрослых Пр.3-23'!E107+'[11]Уточнение Пр.9-23'!E107</f>
        <v>4652</v>
      </c>
      <c r="F107" s="714">
        <f>'[11]Диспан.набл.взрослых Пр.3-23'!F107+'[11]Уточнение Пр.9-23'!F107</f>
        <v>193</v>
      </c>
      <c r="G107" s="714">
        <f>'[11]Диспан.набл.взрослых Пр.3-23'!G107+'[11]Уточнение Пр.9-23'!G107</f>
        <v>70</v>
      </c>
      <c r="H107" s="714">
        <f>'[11]Диспан.набл.взрослых Пр.3-23'!H107+'[11]Уточнение Пр.9-23'!H107</f>
        <v>16</v>
      </c>
      <c r="I107" s="714">
        <f>'[11]Диспан.набл.взрослых Пр.3-23'!I107+'[11]Уточнение Пр.9-23'!I107</f>
        <v>0</v>
      </c>
      <c r="J107" s="714">
        <f>'[11]Диспан.набл.взрослых Пр.3-23'!J107+'[11]Уточнение Пр.9-23'!J107</f>
        <v>0</v>
      </c>
      <c r="K107" s="714">
        <f>'[11]Диспан.набл.взрослых Пр.3-23'!K107+'[11]Уточнение Пр.9-23'!K107</f>
        <v>0</v>
      </c>
      <c r="L107" s="714">
        <f>'[11]Диспан.набл.взрослых Пр.3-23'!L107+'[11]Уточнение Пр.9-23'!L107</f>
        <v>0</v>
      </c>
      <c r="M107" s="714">
        <f>'[11]Диспан.набл.взрослых Пр.3-23'!M107+'[11]Уточнение Пр.9-23'!M107</f>
        <v>0</v>
      </c>
      <c r="N107" s="714">
        <f>'[11]Диспан.набл.взрослых Пр.3-23'!N107+'[11]Уточнение Пр.9-23'!N107</f>
        <v>35</v>
      </c>
      <c r="O107" s="714">
        <f>'[11]Диспан.набл.взрослых Пр.3-23'!O107+'[11]Уточнение Пр.9-23'!O107</f>
        <v>0</v>
      </c>
      <c r="P107" s="714">
        <f>'[11]Диспан.набл.взрослых Пр.3-23'!P107+'[11]Уточнение Пр.9-23'!P107</f>
        <v>0</v>
      </c>
      <c r="Q107" s="714">
        <f>'[11]Диспан.набл.взрослых Пр.3-23'!Q107+'[11]Уточнение Пр.9-23'!Q107</f>
        <v>20</v>
      </c>
      <c r="R107" s="714">
        <f>'[11]Диспан.набл.взрослых Пр.3-23'!R107+'[11]Уточнение Пр.9-23'!R107</f>
        <v>7</v>
      </c>
    </row>
    <row r="108" spans="1:18" x14ac:dyDescent="0.25">
      <c r="A108" s="711">
        <v>95</v>
      </c>
      <c r="B108" s="717" t="s">
        <v>203</v>
      </c>
      <c r="C108" s="1" t="s">
        <v>204</v>
      </c>
      <c r="D108" s="714">
        <f t="shared" si="2"/>
        <v>7220</v>
      </c>
      <c r="E108" s="714">
        <f>'[11]Диспан.набл.взрослых Пр.3-23'!E108+'[11]Уточнение Пр.9-23'!E108</f>
        <v>6908</v>
      </c>
      <c r="F108" s="714">
        <f>'[11]Диспан.набл.взрослых Пр.3-23'!F108+'[11]Уточнение Пр.9-23'!F108</f>
        <v>33</v>
      </c>
      <c r="G108" s="714">
        <f>'[11]Диспан.набл.взрослых Пр.3-23'!G108+'[11]Уточнение Пр.9-23'!G108</f>
        <v>185</v>
      </c>
      <c r="H108" s="714">
        <f>'[11]Диспан.набл.взрослых Пр.3-23'!H108+'[11]Уточнение Пр.9-23'!H108</f>
        <v>25</v>
      </c>
      <c r="I108" s="714">
        <f>'[11]Диспан.набл.взрослых Пр.3-23'!I108+'[11]Уточнение Пр.9-23'!I108</f>
        <v>0</v>
      </c>
      <c r="J108" s="714">
        <f>'[11]Диспан.набл.взрослых Пр.3-23'!J108+'[11]Уточнение Пр.9-23'!J108</f>
        <v>1</v>
      </c>
      <c r="K108" s="714">
        <f>'[11]Диспан.набл.взрослых Пр.3-23'!K108+'[11]Уточнение Пр.9-23'!K108</f>
        <v>0</v>
      </c>
      <c r="L108" s="714">
        <f>'[11]Диспан.набл.взрослых Пр.3-23'!L108+'[11]Уточнение Пр.9-23'!L108</f>
        <v>0</v>
      </c>
      <c r="M108" s="714">
        <f>'[11]Диспан.набл.взрослых Пр.3-23'!M108+'[11]Уточнение Пр.9-23'!M108</f>
        <v>0</v>
      </c>
      <c r="N108" s="714">
        <f>'[11]Диспан.набл.взрослых Пр.3-23'!N108+'[11]Уточнение Пр.9-23'!N108</f>
        <v>7</v>
      </c>
      <c r="O108" s="714">
        <f>'[11]Диспан.набл.взрослых Пр.3-23'!O108+'[11]Уточнение Пр.9-23'!O108</f>
        <v>0</v>
      </c>
      <c r="P108" s="714">
        <f>'[11]Диспан.набл.взрослых Пр.3-23'!P108+'[11]Уточнение Пр.9-23'!P108</f>
        <v>0</v>
      </c>
      <c r="Q108" s="714">
        <f>'[11]Диспан.набл.взрослых Пр.3-23'!Q108+'[11]Уточнение Пр.9-23'!Q108</f>
        <v>61</v>
      </c>
      <c r="R108" s="714">
        <f>'[11]Диспан.набл.взрослых Пр.3-23'!R108+'[11]Уточнение Пр.9-23'!R108</f>
        <v>0</v>
      </c>
    </row>
    <row r="109" spans="1:18" x14ac:dyDescent="0.25">
      <c r="A109" s="711">
        <v>96</v>
      </c>
      <c r="B109" s="712" t="s">
        <v>205</v>
      </c>
      <c r="C109" s="713" t="s">
        <v>206</v>
      </c>
      <c r="D109" s="714">
        <f t="shared" si="2"/>
        <v>6929</v>
      </c>
      <c r="E109" s="714">
        <f>'[11]Диспан.набл.взрослых Пр.3-23'!E109+'[11]Уточнение Пр.9-23'!E109</f>
        <v>6390</v>
      </c>
      <c r="F109" s="714">
        <f>'[11]Диспан.набл.взрослых Пр.3-23'!F109+'[11]Уточнение Пр.9-23'!F109</f>
        <v>455</v>
      </c>
      <c r="G109" s="714">
        <f>'[11]Диспан.набл.взрослых Пр.3-23'!G109+'[11]Уточнение Пр.9-23'!G109</f>
        <v>16</v>
      </c>
      <c r="H109" s="714">
        <f>'[11]Диспан.набл.взрослых Пр.3-23'!H109+'[11]Уточнение Пр.9-23'!H109</f>
        <v>27</v>
      </c>
      <c r="I109" s="714">
        <f>'[11]Диспан.набл.взрослых Пр.3-23'!I109+'[11]Уточнение Пр.9-23'!I109</f>
        <v>0</v>
      </c>
      <c r="J109" s="714">
        <f>'[11]Диспан.набл.взрослых Пр.3-23'!J109+'[11]Уточнение Пр.9-23'!J109</f>
        <v>0</v>
      </c>
      <c r="K109" s="714">
        <f>'[11]Диспан.набл.взрослых Пр.3-23'!K109+'[11]Уточнение Пр.9-23'!K109</f>
        <v>0</v>
      </c>
      <c r="L109" s="714">
        <f>'[11]Диспан.набл.взрослых Пр.3-23'!L109+'[11]Уточнение Пр.9-23'!L109</f>
        <v>0</v>
      </c>
      <c r="M109" s="714">
        <f>'[11]Диспан.набл.взрослых Пр.3-23'!M109+'[11]Уточнение Пр.9-23'!M109</f>
        <v>2</v>
      </c>
      <c r="N109" s="714">
        <f>'[11]Диспан.набл.взрослых Пр.3-23'!N109+'[11]Уточнение Пр.9-23'!N109</f>
        <v>0</v>
      </c>
      <c r="O109" s="714">
        <f>'[11]Диспан.набл.взрослых Пр.3-23'!O109+'[11]Уточнение Пр.9-23'!O109</f>
        <v>0</v>
      </c>
      <c r="P109" s="714">
        <f>'[11]Диспан.набл.взрослых Пр.3-23'!P109+'[11]Уточнение Пр.9-23'!P109</f>
        <v>0</v>
      </c>
      <c r="Q109" s="714">
        <f>'[11]Диспан.набл.взрослых Пр.3-23'!Q109+'[11]Уточнение Пр.9-23'!Q109</f>
        <v>15</v>
      </c>
      <c r="R109" s="714">
        <f>'[11]Диспан.набл.взрослых Пр.3-23'!R109+'[11]Уточнение Пр.9-23'!R109</f>
        <v>24</v>
      </c>
    </row>
    <row r="110" spans="1:18" x14ac:dyDescent="0.25">
      <c r="A110" s="711">
        <v>97</v>
      </c>
      <c r="B110" s="715" t="s">
        <v>207</v>
      </c>
      <c r="C110" s="713" t="s">
        <v>208</v>
      </c>
      <c r="D110" s="714">
        <f t="shared" si="2"/>
        <v>6409</v>
      </c>
      <c r="E110" s="714">
        <f>'[11]Диспан.набл.взрослых Пр.3-23'!E110+'[11]Уточнение Пр.9-23'!E110</f>
        <v>5484</v>
      </c>
      <c r="F110" s="714">
        <f>'[11]Диспан.набл.взрослых Пр.3-23'!F110+'[11]Уточнение Пр.9-23'!F110</f>
        <v>777</v>
      </c>
      <c r="G110" s="714">
        <f>'[11]Диспан.набл.взрослых Пр.3-23'!G110+'[11]Уточнение Пр.9-23'!G110</f>
        <v>47</v>
      </c>
      <c r="H110" s="714">
        <f>'[11]Диспан.набл.взрослых Пр.3-23'!H110+'[11]Уточнение Пр.9-23'!H110</f>
        <v>10</v>
      </c>
      <c r="I110" s="714">
        <f>'[11]Диспан.набл.взрослых Пр.3-23'!I110+'[11]Уточнение Пр.9-23'!I110</f>
        <v>0</v>
      </c>
      <c r="J110" s="714">
        <f>'[11]Диспан.набл.взрослых Пр.3-23'!J110+'[11]Уточнение Пр.9-23'!J110</f>
        <v>0</v>
      </c>
      <c r="K110" s="714">
        <f>'[11]Диспан.набл.взрослых Пр.3-23'!K110+'[11]Уточнение Пр.9-23'!K110</f>
        <v>4</v>
      </c>
      <c r="L110" s="714">
        <f>'[11]Диспан.набл.взрослых Пр.3-23'!L110+'[11]Уточнение Пр.9-23'!L110</f>
        <v>2</v>
      </c>
      <c r="M110" s="714">
        <f>'[11]Диспан.набл.взрослых Пр.3-23'!M110+'[11]Уточнение Пр.9-23'!M110</f>
        <v>0</v>
      </c>
      <c r="N110" s="714">
        <f>'[11]Диспан.набл.взрослых Пр.3-23'!N110+'[11]Уточнение Пр.9-23'!N110</f>
        <v>0</v>
      </c>
      <c r="O110" s="714">
        <f>'[11]Диспан.набл.взрослых Пр.3-23'!O110+'[11]Уточнение Пр.9-23'!O110</f>
        <v>0</v>
      </c>
      <c r="P110" s="714">
        <f>'[11]Диспан.набл.взрослых Пр.3-23'!P110+'[11]Уточнение Пр.9-23'!P110</f>
        <v>0</v>
      </c>
      <c r="Q110" s="714">
        <f>'[11]Диспан.набл.взрослых Пр.3-23'!Q110+'[11]Уточнение Пр.9-23'!Q110</f>
        <v>58</v>
      </c>
      <c r="R110" s="714">
        <f>'[11]Диспан.набл.взрослых Пр.3-23'!R110+'[11]Уточнение Пр.9-23'!R110</f>
        <v>27</v>
      </c>
    </row>
    <row r="111" spans="1:18" x14ac:dyDescent="0.25">
      <c r="A111" s="711">
        <v>98</v>
      </c>
      <c r="B111" s="716" t="s">
        <v>209</v>
      </c>
      <c r="C111" s="653" t="s">
        <v>210</v>
      </c>
      <c r="D111" s="714">
        <f t="shared" si="2"/>
        <v>4346</v>
      </c>
      <c r="E111" s="714">
        <f>'[11]Диспан.набл.взрослых Пр.3-23'!E111+'[11]Уточнение Пр.9-23'!E111</f>
        <v>4161</v>
      </c>
      <c r="F111" s="714">
        <f>'[11]Диспан.набл.взрослых Пр.3-23'!F111+'[11]Уточнение Пр.9-23'!F111</f>
        <v>91</v>
      </c>
      <c r="G111" s="714">
        <f>'[11]Диспан.набл.взрослых Пр.3-23'!G111+'[11]Уточнение Пр.9-23'!G111</f>
        <v>46</v>
      </c>
      <c r="H111" s="714">
        <f>'[11]Диспан.набл.взрослых Пр.3-23'!H111+'[11]Уточнение Пр.9-23'!H111</f>
        <v>0</v>
      </c>
      <c r="I111" s="714">
        <f>'[11]Диспан.набл.взрослых Пр.3-23'!I111+'[11]Уточнение Пр.9-23'!I111</f>
        <v>0</v>
      </c>
      <c r="J111" s="714">
        <f>'[11]Диспан.набл.взрослых Пр.3-23'!J111+'[11]Уточнение Пр.9-23'!J111</f>
        <v>0</v>
      </c>
      <c r="K111" s="714">
        <f>'[11]Диспан.набл.взрослых Пр.3-23'!K111+'[11]Уточнение Пр.9-23'!K111</f>
        <v>0</v>
      </c>
      <c r="L111" s="714">
        <f>'[11]Диспан.набл.взрослых Пр.3-23'!L111+'[11]Уточнение Пр.9-23'!L111</f>
        <v>0</v>
      </c>
      <c r="M111" s="714">
        <f>'[11]Диспан.набл.взрослых Пр.3-23'!M111+'[11]Уточнение Пр.9-23'!M111</f>
        <v>2</v>
      </c>
      <c r="N111" s="714">
        <f>'[11]Диспан.набл.взрослых Пр.3-23'!N111+'[11]Уточнение Пр.9-23'!N111</f>
        <v>37</v>
      </c>
      <c r="O111" s="714">
        <f>'[11]Диспан.набл.взрослых Пр.3-23'!O111+'[11]Уточнение Пр.9-23'!O111</f>
        <v>0</v>
      </c>
      <c r="P111" s="714">
        <f>'[11]Диспан.набл.взрослых Пр.3-23'!P111+'[11]Уточнение Пр.9-23'!P111</f>
        <v>0</v>
      </c>
      <c r="Q111" s="714">
        <f>'[11]Диспан.набл.взрослых Пр.3-23'!Q111+'[11]Уточнение Пр.9-23'!Q111</f>
        <v>8</v>
      </c>
      <c r="R111" s="714">
        <f>'[11]Диспан.набл.взрослых Пр.3-23'!R111+'[11]Уточнение Пр.9-23'!R111</f>
        <v>1</v>
      </c>
    </row>
    <row r="112" spans="1:18" x14ac:dyDescent="0.25">
      <c r="A112" s="711">
        <v>99</v>
      </c>
      <c r="B112" s="716" t="s">
        <v>211</v>
      </c>
      <c r="C112" s="653" t="s">
        <v>212</v>
      </c>
      <c r="D112" s="714">
        <f t="shared" si="2"/>
        <v>8378</v>
      </c>
      <c r="E112" s="714">
        <f>'[11]Диспан.набл.взрослых Пр.3-23'!E112+'[11]Уточнение Пр.9-23'!E112</f>
        <v>7346</v>
      </c>
      <c r="F112" s="714">
        <f>'[11]Диспан.набл.взрослых Пр.3-23'!F112+'[11]Уточнение Пр.9-23'!F112</f>
        <v>843</v>
      </c>
      <c r="G112" s="714">
        <f>'[11]Диспан.набл.взрослых Пр.3-23'!G112+'[11]Уточнение Пр.9-23'!G112</f>
        <v>144</v>
      </c>
      <c r="H112" s="714">
        <f>'[11]Диспан.набл.взрослых Пр.3-23'!H112+'[11]Уточнение Пр.9-23'!H112</f>
        <v>31</v>
      </c>
      <c r="I112" s="714">
        <f>'[11]Диспан.набл.взрослых Пр.3-23'!I112+'[11]Уточнение Пр.9-23'!I112</f>
        <v>0</v>
      </c>
      <c r="J112" s="714">
        <f>'[11]Диспан.набл.взрослых Пр.3-23'!J112+'[11]Уточнение Пр.9-23'!J112</f>
        <v>0</v>
      </c>
      <c r="K112" s="714">
        <f>'[11]Диспан.набл.взрослых Пр.3-23'!K112+'[11]Уточнение Пр.9-23'!K112</f>
        <v>0</v>
      </c>
      <c r="L112" s="714">
        <f>'[11]Диспан.набл.взрослых Пр.3-23'!L112+'[11]Уточнение Пр.9-23'!L112</f>
        <v>0</v>
      </c>
      <c r="M112" s="714">
        <f>'[11]Диспан.набл.взрослых Пр.3-23'!M112+'[11]Уточнение Пр.9-23'!M112</f>
        <v>0</v>
      </c>
      <c r="N112" s="714">
        <f>'[11]Диспан.набл.взрослых Пр.3-23'!N112+'[11]Уточнение Пр.9-23'!N112</f>
        <v>2</v>
      </c>
      <c r="O112" s="714">
        <f>'[11]Диспан.набл.взрослых Пр.3-23'!O112+'[11]Уточнение Пр.9-23'!O112</f>
        <v>0</v>
      </c>
      <c r="P112" s="714">
        <f>'[11]Диспан.набл.взрослых Пр.3-23'!P112+'[11]Уточнение Пр.9-23'!P112</f>
        <v>0</v>
      </c>
      <c r="Q112" s="714">
        <f>'[11]Диспан.набл.взрослых Пр.3-23'!Q112+'[11]Уточнение Пр.9-23'!Q112</f>
        <v>12</v>
      </c>
      <c r="R112" s="714">
        <f>'[11]Диспан.набл.взрослых Пр.3-23'!R112+'[11]Уточнение Пр.9-23'!R112</f>
        <v>0</v>
      </c>
    </row>
    <row r="113" spans="1:18" x14ac:dyDescent="0.25">
      <c r="A113" s="711">
        <v>100</v>
      </c>
      <c r="B113" s="712" t="s">
        <v>213</v>
      </c>
      <c r="C113" s="713" t="s">
        <v>214</v>
      </c>
      <c r="D113" s="714">
        <f t="shared" si="2"/>
        <v>12853</v>
      </c>
      <c r="E113" s="714">
        <f>'[11]Диспан.набл.взрослых Пр.3-23'!E113+'[11]Уточнение Пр.9-23'!E113</f>
        <v>10623</v>
      </c>
      <c r="F113" s="714">
        <f>'[11]Диспан.набл.взрослых Пр.3-23'!F113+'[11]Уточнение Пр.9-23'!F113</f>
        <v>1840</v>
      </c>
      <c r="G113" s="714">
        <f>'[11]Диспан.набл.взрослых Пр.3-23'!G113+'[11]Уточнение Пр.9-23'!G113</f>
        <v>81</v>
      </c>
      <c r="H113" s="714">
        <f>'[11]Диспан.набл.взрослых Пр.3-23'!H113+'[11]Уточнение Пр.9-23'!H113</f>
        <v>13</v>
      </c>
      <c r="I113" s="714">
        <f>'[11]Диспан.набл.взрослых Пр.3-23'!I113+'[11]Уточнение Пр.9-23'!I113</f>
        <v>0</v>
      </c>
      <c r="J113" s="714">
        <f>'[11]Диспан.набл.взрослых Пр.3-23'!J113+'[11]Уточнение Пр.9-23'!J113</f>
        <v>0</v>
      </c>
      <c r="K113" s="714">
        <f>'[11]Диспан.набл.взрослых Пр.3-23'!K113+'[11]Уточнение Пр.9-23'!K113</f>
        <v>1</v>
      </c>
      <c r="L113" s="714">
        <f>'[11]Диспан.набл.взрослых Пр.3-23'!L113+'[11]Уточнение Пр.9-23'!L113</f>
        <v>0</v>
      </c>
      <c r="M113" s="714">
        <f>'[11]Диспан.набл.взрослых Пр.3-23'!M113+'[11]Уточнение Пр.9-23'!M113</f>
        <v>1</v>
      </c>
      <c r="N113" s="714">
        <f>'[11]Диспан.набл.взрослых Пр.3-23'!N113+'[11]Уточнение Пр.9-23'!N113</f>
        <v>213</v>
      </c>
      <c r="O113" s="714">
        <f>'[11]Диспан.набл.взрослых Пр.3-23'!O113+'[11]Уточнение Пр.9-23'!O113</f>
        <v>8</v>
      </c>
      <c r="P113" s="714">
        <f>'[11]Диспан.набл.взрослых Пр.3-23'!P113+'[11]Уточнение Пр.9-23'!P113</f>
        <v>7</v>
      </c>
      <c r="Q113" s="714">
        <f>'[11]Диспан.набл.взрослых Пр.3-23'!Q113+'[11]Уточнение Пр.9-23'!Q113</f>
        <v>65</v>
      </c>
      <c r="R113" s="714">
        <f>'[11]Диспан.набл.взрослых Пр.3-23'!R113+'[11]Уточнение Пр.9-23'!R113</f>
        <v>1</v>
      </c>
    </row>
    <row r="114" spans="1:18" x14ac:dyDescent="0.25">
      <c r="A114" s="711">
        <v>101</v>
      </c>
      <c r="B114" s="715" t="s">
        <v>215</v>
      </c>
      <c r="C114" s="713" t="s">
        <v>216</v>
      </c>
      <c r="D114" s="714">
        <f t="shared" si="2"/>
        <v>7049</v>
      </c>
      <c r="E114" s="714">
        <f>'[11]Диспан.набл.взрослых Пр.3-23'!E114+'[11]Уточнение Пр.9-23'!E114</f>
        <v>6917</v>
      </c>
      <c r="F114" s="714">
        <f>'[11]Диспан.набл.взрослых Пр.3-23'!F114+'[11]Уточнение Пр.9-23'!F114</f>
        <v>0</v>
      </c>
      <c r="G114" s="714">
        <f>'[11]Диспан.набл.взрослых Пр.3-23'!G114+'[11]Уточнение Пр.9-23'!G114</f>
        <v>0</v>
      </c>
      <c r="H114" s="714">
        <f>'[11]Диспан.набл.взрослых Пр.3-23'!H114+'[11]Уточнение Пр.9-23'!H114</f>
        <v>3</v>
      </c>
      <c r="I114" s="714">
        <f>'[11]Диспан.набл.взрослых Пр.3-23'!I114+'[11]Уточнение Пр.9-23'!I114</f>
        <v>0</v>
      </c>
      <c r="J114" s="714">
        <f>'[11]Диспан.набл.взрослых Пр.3-23'!J114+'[11]Уточнение Пр.9-23'!J114</f>
        <v>0</v>
      </c>
      <c r="K114" s="714">
        <f>'[11]Диспан.набл.взрослых Пр.3-23'!K114+'[11]Уточнение Пр.9-23'!K114</f>
        <v>0</v>
      </c>
      <c r="L114" s="714">
        <f>'[11]Диспан.набл.взрослых Пр.3-23'!L114+'[11]Уточнение Пр.9-23'!L114</f>
        <v>0</v>
      </c>
      <c r="M114" s="714">
        <f>'[11]Диспан.набл.взрослых Пр.3-23'!M114+'[11]Уточнение Пр.9-23'!M114</f>
        <v>3</v>
      </c>
      <c r="N114" s="714">
        <f>'[11]Диспан.набл.взрослых Пр.3-23'!N114+'[11]Уточнение Пр.9-23'!N114</f>
        <v>3</v>
      </c>
      <c r="O114" s="714">
        <f>'[11]Диспан.набл.взрослых Пр.3-23'!O114+'[11]Уточнение Пр.9-23'!O114</f>
        <v>3</v>
      </c>
      <c r="P114" s="714">
        <f>'[11]Диспан.набл.взрослых Пр.3-23'!P114+'[11]Уточнение Пр.9-23'!P114</f>
        <v>0</v>
      </c>
      <c r="Q114" s="714">
        <f>'[11]Диспан.набл.взрослых Пр.3-23'!Q114+'[11]Уточнение Пр.9-23'!Q114</f>
        <v>84</v>
      </c>
      <c r="R114" s="714">
        <f>'[11]Диспан.набл.взрослых Пр.3-23'!R114+'[11]Уточнение Пр.9-23'!R114</f>
        <v>36</v>
      </c>
    </row>
    <row r="115" spans="1:18" x14ac:dyDescent="0.25">
      <c r="A115" s="711">
        <v>102</v>
      </c>
      <c r="B115" s="712" t="s">
        <v>217</v>
      </c>
      <c r="C115" s="653" t="s">
        <v>218</v>
      </c>
      <c r="D115" s="714">
        <f t="shared" si="2"/>
        <v>0</v>
      </c>
      <c r="E115" s="714">
        <f>'[11]Диспан.набл.взрослых Пр.3-23'!E115+'[11]Уточнение Пр.9-23'!E115</f>
        <v>0</v>
      </c>
      <c r="F115" s="714">
        <f>'[11]Диспан.набл.взрослых Пр.3-23'!F115+'[11]Уточнение Пр.9-23'!F115</f>
        <v>0</v>
      </c>
      <c r="G115" s="714">
        <f>'[11]Диспан.набл.взрослых Пр.3-23'!G115+'[11]Уточнение Пр.9-23'!G115</f>
        <v>0</v>
      </c>
      <c r="H115" s="714">
        <f>'[11]Диспан.набл.взрослых Пр.3-23'!H115+'[11]Уточнение Пр.9-23'!H115</f>
        <v>0</v>
      </c>
      <c r="I115" s="714">
        <f>'[11]Диспан.набл.взрослых Пр.3-23'!I115+'[11]Уточнение Пр.9-23'!I115</f>
        <v>0</v>
      </c>
      <c r="J115" s="714">
        <f>'[11]Диспан.набл.взрослых Пр.3-23'!J115+'[11]Уточнение Пр.9-23'!J115</f>
        <v>0</v>
      </c>
      <c r="K115" s="714">
        <f>'[11]Диспан.набл.взрослых Пр.3-23'!K115+'[11]Уточнение Пр.9-23'!K115</f>
        <v>0</v>
      </c>
      <c r="L115" s="714">
        <f>'[11]Диспан.набл.взрослых Пр.3-23'!L115+'[11]Уточнение Пр.9-23'!L115</f>
        <v>0</v>
      </c>
      <c r="M115" s="714">
        <f>'[11]Диспан.набл.взрослых Пр.3-23'!M115+'[11]Уточнение Пр.9-23'!M115</f>
        <v>0</v>
      </c>
      <c r="N115" s="714">
        <f>'[11]Диспан.набл.взрослых Пр.3-23'!N115+'[11]Уточнение Пр.9-23'!N115</f>
        <v>0</v>
      </c>
      <c r="O115" s="714">
        <f>'[11]Диспан.набл.взрослых Пр.3-23'!O115+'[11]Уточнение Пр.9-23'!O115</f>
        <v>0</v>
      </c>
      <c r="P115" s="714">
        <f>'[11]Диспан.набл.взрослых Пр.3-23'!P115+'[11]Уточнение Пр.9-23'!P115</f>
        <v>0</v>
      </c>
      <c r="Q115" s="714">
        <f>'[11]Диспан.набл.взрослых Пр.3-23'!Q115+'[11]Уточнение Пр.9-23'!Q115</f>
        <v>0</v>
      </c>
      <c r="R115" s="714">
        <f>'[11]Диспан.набл.взрослых Пр.3-23'!R115+'[11]Уточнение Пр.9-23'!R115</f>
        <v>0</v>
      </c>
    </row>
    <row r="116" spans="1:18" x14ac:dyDescent="0.25">
      <c r="A116" s="711">
        <v>103</v>
      </c>
      <c r="B116" s="712" t="s">
        <v>219</v>
      </c>
      <c r="C116" s="713" t="s">
        <v>220</v>
      </c>
      <c r="D116" s="714">
        <f t="shared" si="2"/>
        <v>0</v>
      </c>
      <c r="E116" s="714">
        <f>'[11]Диспан.набл.взрослых Пр.3-23'!E116+'[11]Уточнение Пр.9-23'!E116</f>
        <v>0</v>
      </c>
      <c r="F116" s="714">
        <f>'[11]Диспан.набл.взрослых Пр.3-23'!F116+'[11]Уточнение Пр.9-23'!F116</f>
        <v>0</v>
      </c>
      <c r="G116" s="714">
        <f>'[11]Диспан.набл.взрослых Пр.3-23'!G116+'[11]Уточнение Пр.9-23'!G116</f>
        <v>0</v>
      </c>
      <c r="H116" s="714">
        <f>'[11]Диспан.набл.взрослых Пр.3-23'!H116+'[11]Уточнение Пр.9-23'!H116</f>
        <v>0</v>
      </c>
      <c r="I116" s="714">
        <f>'[11]Диспан.набл.взрослых Пр.3-23'!I116+'[11]Уточнение Пр.9-23'!I116</f>
        <v>0</v>
      </c>
      <c r="J116" s="714">
        <f>'[11]Диспан.набл.взрослых Пр.3-23'!J116+'[11]Уточнение Пр.9-23'!J116</f>
        <v>0</v>
      </c>
      <c r="K116" s="714">
        <f>'[11]Диспан.набл.взрослых Пр.3-23'!K116+'[11]Уточнение Пр.9-23'!K116</f>
        <v>0</v>
      </c>
      <c r="L116" s="714">
        <f>'[11]Диспан.набл.взрослых Пр.3-23'!L116+'[11]Уточнение Пр.9-23'!L116</f>
        <v>0</v>
      </c>
      <c r="M116" s="714">
        <f>'[11]Диспан.набл.взрослых Пр.3-23'!M116+'[11]Уточнение Пр.9-23'!M116</f>
        <v>0</v>
      </c>
      <c r="N116" s="714">
        <f>'[11]Диспан.набл.взрослых Пр.3-23'!N116+'[11]Уточнение Пр.9-23'!N116</f>
        <v>0</v>
      </c>
      <c r="O116" s="714">
        <f>'[11]Диспан.набл.взрослых Пр.3-23'!O116+'[11]Уточнение Пр.9-23'!O116</f>
        <v>0</v>
      </c>
      <c r="P116" s="714">
        <f>'[11]Диспан.набл.взрослых Пр.3-23'!P116+'[11]Уточнение Пр.9-23'!P116</f>
        <v>0</v>
      </c>
      <c r="Q116" s="714">
        <f>'[11]Диспан.набл.взрослых Пр.3-23'!Q116+'[11]Уточнение Пр.9-23'!Q116</f>
        <v>0</v>
      </c>
      <c r="R116" s="714">
        <f>'[11]Диспан.набл.взрослых Пр.3-23'!R116+'[11]Уточнение Пр.9-23'!R116</f>
        <v>0</v>
      </c>
    </row>
    <row r="117" spans="1:18" x14ac:dyDescent="0.25">
      <c r="A117" s="711">
        <v>104</v>
      </c>
      <c r="B117" s="716" t="s">
        <v>221</v>
      </c>
      <c r="C117" s="653" t="s">
        <v>222</v>
      </c>
      <c r="D117" s="714">
        <f t="shared" si="2"/>
        <v>0</v>
      </c>
      <c r="E117" s="714">
        <f>'[11]Диспан.набл.взрослых Пр.3-23'!E117+'[11]Уточнение Пр.9-23'!E117</f>
        <v>0</v>
      </c>
      <c r="F117" s="714">
        <f>'[11]Диспан.набл.взрослых Пр.3-23'!F117+'[11]Уточнение Пр.9-23'!F117</f>
        <v>0</v>
      </c>
      <c r="G117" s="714">
        <f>'[11]Диспан.набл.взрослых Пр.3-23'!G117+'[11]Уточнение Пр.9-23'!G117</f>
        <v>0</v>
      </c>
      <c r="H117" s="714">
        <f>'[11]Диспан.набл.взрослых Пр.3-23'!H117+'[11]Уточнение Пр.9-23'!H117</f>
        <v>0</v>
      </c>
      <c r="I117" s="714">
        <f>'[11]Диспан.набл.взрослых Пр.3-23'!I117+'[11]Уточнение Пр.9-23'!I117</f>
        <v>0</v>
      </c>
      <c r="J117" s="714">
        <f>'[11]Диспан.набл.взрослых Пр.3-23'!J117+'[11]Уточнение Пр.9-23'!J117</f>
        <v>0</v>
      </c>
      <c r="K117" s="714">
        <f>'[11]Диспан.набл.взрослых Пр.3-23'!K117+'[11]Уточнение Пр.9-23'!K117</f>
        <v>0</v>
      </c>
      <c r="L117" s="714">
        <f>'[11]Диспан.набл.взрослых Пр.3-23'!L117+'[11]Уточнение Пр.9-23'!L117</f>
        <v>0</v>
      </c>
      <c r="M117" s="714">
        <f>'[11]Диспан.набл.взрослых Пр.3-23'!M117+'[11]Уточнение Пр.9-23'!M117</f>
        <v>0</v>
      </c>
      <c r="N117" s="714">
        <f>'[11]Диспан.набл.взрослых Пр.3-23'!N117+'[11]Уточнение Пр.9-23'!N117</f>
        <v>0</v>
      </c>
      <c r="O117" s="714">
        <f>'[11]Диспан.набл.взрослых Пр.3-23'!O117+'[11]Уточнение Пр.9-23'!O117</f>
        <v>0</v>
      </c>
      <c r="P117" s="714">
        <f>'[11]Диспан.набл.взрослых Пр.3-23'!P117+'[11]Уточнение Пр.9-23'!P117</f>
        <v>0</v>
      </c>
      <c r="Q117" s="714">
        <f>'[11]Диспан.набл.взрослых Пр.3-23'!Q117+'[11]Уточнение Пр.9-23'!Q117</f>
        <v>0</v>
      </c>
      <c r="R117" s="714">
        <f>'[11]Диспан.набл.взрослых Пр.3-23'!R117+'[11]Уточнение Пр.9-23'!R117</f>
        <v>0</v>
      </c>
    </row>
    <row r="118" spans="1:18" x14ac:dyDescent="0.25">
      <c r="A118" s="711">
        <v>105</v>
      </c>
      <c r="B118" s="716" t="s">
        <v>223</v>
      </c>
      <c r="C118" s="653" t="s">
        <v>224</v>
      </c>
      <c r="D118" s="714">
        <f t="shared" si="2"/>
        <v>0</v>
      </c>
      <c r="E118" s="714">
        <f>'[11]Диспан.набл.взрослых Пр.3-23'!E118+'[11]Уточнение Пр.9-23'!E118</f>
        <v>0</v>
      </c>
      <c r="F118" s="714">
        <f>'[11]Диспан.набл.взрослых Пр.3-23'!F118+'[11]Уточнение Пр.9-23'!F118</f>
        <v>0</v>
      </c>
      <c r="G118" s="714">
        <f>'[11]Диспан.набл.взрослых Пр.3-23'!G118+'[11]Уточнение Пр.9-23'!G118</f>
        <v>0</v>
      </c>
      <c r="H118" s="714">
        <f>'[11]Диспан.набл.взрослых Пр.3-23'!H118+'[11]Уточнение Пр.9-23'!H118</f>
        <v>0</v>
      </c>
      <c r="I118" s="714">
        <f>'[11]Диспан.набл.взрослых Пр.3-23'!I118+'[11]Уточнение Пр.9-23'!I118</f>
        <v>0</v>
      </c>
      <c r="J118" s="714">
        <f>'[11]Диспан.набл.взрослых Пр.3-23'!J118+'[11]Уточнение Пр.9-23'!J118</f>
        <v>0</v>
      </c>
      <c r="K118" s="714">
        <f>'[11]Диспан.набл.взрослых Пр.3-23'!K118+'[11]Уточнение Пр.9-23'!K118</f>
        <v>0</v>
      </c>
      <c r="L118" s="714">
        <f>'[11]Диспан.набл.взрослых Пр.3-23'!L118+'[11]Уточнение Пр.9-23'!L118</f>
        <v>0</v>
      </c>
      <c r="M118" s="714">
        <f>'[11]Диспан.набл.взрослых Пр.3-23'!M118+'[11]Уточнение Пр.9-23'!M118</f>
        <v>0</v>
      </c>
      <c r="N118" s="714">
        <f>'[11]Диспан.набл.взрослых Пр.3-23'!N118+'[11]Уточнение Пр.9-23'!N118</f>
        <v>0</v>
      </c>
      <c r="O118" s="714">
        <f>'[11]Диспан.набл.взрослых Пр.3-23'!O118+'[11]Уточнение Пр.9-23'!O118</f>
        <v>0</v>
      </c>
      <c r="P118" s="714">
        <f>'[11]Диспан.набл.взрослых Пр.3-23'!P118+'[11]Уточнение Пр.9-23'!P118</f>
        <v>0</v>
      </c>
      <c r="Q118" s="714">
        <f>'[11]Диспан.набл.взрослых Пр.3-23'!Q118+'[11]Уточнение Пр.9-23'!Q118</f>
        <v>0</v>
      </c>
      <c r="R118" s="714">
        <f>'[11]Диспан.набл.взрослых Пр.3-23'!R118+'[11]Уточнение Пр.9-23'!R118</f>
        <v>0</v>
      </c>
    </row>
    <row r="119" spans="1:18" x14ac:dyDescent="0.25">
      <c r="A119" s="711">
        <v>106</v>
      </c>
      <c r="B119" s="716" t="s">
        <v>225</v>
      </c>
      <c r="C119" s="653" t="s">
        <v>226</v>
      </c>
      <c r="D119" s="714">
        <f t="shared" si="2"/>
        <v>0</v>
      </c>
      <c r="E119" s="714">
        <f>'[11]Диспан.набл.взрослых Пр.3-23'!E119+'[11]Уточнение Пр.9-23'!E119</f>
        <v>0</v>
      </c>
      <c r="F119" s="714">
        <f>'[11]Диспан.набл.взрослых Пр.3-23'!F119+'[11]Уточнение Пр.9-23'!F119</f>
        <v>0</v>
      </c>
      <c r="G119" s="714">
        <f>'[11]Диспан.набл.взрослых Пр.3-23'!G119+'[11]Уточнение Пр.9-23'!G119</f>
        <v>0</v>
      </c>
      <c r="H119" s="714">
        <f>'[11]Диспан.набл.взрослых Пр.3-23'!H119+'[11]Уточнение Пр.9-23'!H119</f>
        <v>0</v>
      </c>
      <c r="I119" s="714">
        <f>'[11]Диспан.набл.взрослых Пр.3-23'!I119+'[11]Уточнение Пр.9-23'!I119</f>
        <v>0</v>
      </c>
      <c r="J119" s="714">
        <f>'[11]Диспан.набл.взрослых Пр.3-23'!J119+'[11]Уточнение Пр.9-23'!J119</f>
        <v>0</v>
      </c>
      <c r="K119" s="714">
        <f>'[11]Диспан.набл.взрослых Пр.3-23'!K119+'[11]Уточнение Пр.9-23'!K119</f>
        <v>0</v>
      </c>
      <c r="L119" s="714">
        <f>'[11]Диспан.набл.взрослых Пр.3-23'!L119+'[11]Уточнение Пр.9-23'!L119</f>
        <v>0</v>
      </c>
      <c r="M119" s="714">
        <f>'[11]Диспан.набл.взрослых Пр.3-23'!M119+'[11]Уточнение Пр.9-23'!M119</f>
        <v>0</v>
      </c>
      <c r="N119" s="714">
        <f>'[11]Диспан.набл.взрослых Пр.3-23'!N119+'[11]Уточнение Пр.9-23'!N119</f>
        <v>0</v>
      </c>
      <c r="O119" s="714">
        <f>'[11]Диспан.набл.взрослых Пр.3-23'!O119+'[11]Уточнение Пр.9-23'!O119</f>
        <v>0</v>
      </c>
      <c r="P119" s="714">
        <f>'[11]Диспан.набл.взрослых Пр.3-23'!P119+'[11]Уточнение Пр.9-23'!P119</f>
        <v>0</v>
      </c>
      <c r="Q119" s="714">
        <f>'[11]Диспан.набл.взрослых Пр.3-23'!Q119+'[11]Уточнение Пр.9-23'!Q119</f>
        <v>0</v>
      </c>
      <c r="R119" s="714">
        <f>'[11]Диспан.набл.взрослых Пр.3-23'!R119+'[11]Уточнение Пр.9-23'!R119</f>
        <v>0</v>
      </c>
    </row>
    <row r="120" spans="1:18" ht="24" x14ac:dyDescent="0.25">
      <c r="A120" s="711">
        <v>107</v>
      </c>
      <c r="B120" s="716" t="s">
        <v>227</v>
      </c>
      <c r="C120" s="653" t="s">
        <v>228</v>
      </c>
      <c r="D120" s="714">
        <f t="shared" si="2"/>
        <v>0</v>
      </c>
      <c r="E120" s="714">
        <f>'[11]Диспан.набл.взрослых Пр.3-23'!E120+'[11]Уточнение Пр.9-23'!E120</f>
        <v>0</v>
      </c>
      <c r="F120" s="714">
        <f>'[11]Диспан.набл.взрослых Пр.3-23'!F120+'[11]Уточнение Пр.9-23'!F120</f>
        <v>0</v>
      </c>
      <c r="G120" s="714">
        <f>'[11]Диспан.набл.взрослых Пр.3-23'!G120+'[11]Уточнение Пр.9-23'!G120</f>
        <v>0</v>
      </c>
      <c r="H120" s="714">
        <f>'[11]Диспан.набл.взрослых Пр.3-23'!H120+'[11]Уточнение Пр.9-23'!H120</f>
        <v>0</v>
      </c>
      <c r="I120" s="714">
        <f>'[11]Диспан.набл.взрослых Пр.3-23'!I120+'[11]Уточнение Пр.9-23'!I120</f>
        <v>0</v>
      </c>
      <c r="J120" s="714">
        <f>'[11]Диспан.набл.взрослых Пр.3-23'!J120+'[11]Уточнение Пр.9-23'!J120</f>
        <v>0</v>
      </c>
      <c r="K120" s="714">
        <f>'[11]Диспан.набл.взрослых Пр.3-23'!K120+'[11]Уточнение Пр.9-23'!K120</f>
        <v>0</v>
      </c>
      <c r="L120" s="714">
        <f>'[11]Диспан.набл.взрослых Пр.3-23'!L120+'[11]Уточнение Пр.9-23'!L120</f>
        <v>0</v>
      </c>
      <c r="M120" s="714">
        <f>'[11]Диспан.набл.взрослых Пр.3-23'!M120+'[11]Уточнение Пр.9-23'!M120</f>
        <v>0</v>
      </c>
      <c r="N120" s="714">
        <f>'[11]Диспан.набл.взрослых Пр.3-23'!N120+'[11]Уточнение Пр.9-23'!N120</f>
        <v>0</v>
      </c>
      <c r="O120" s="714">
        <f>'[11]Диспан.набл.взрослых Пр.3-23'!O120+'[11]Уточнение Пр.9-23'!O120</f>
        <v>0</v>
      </c>
      <c r="P120" s="714">
        <f>'[11]Диспан.набл.взрослых Пр.3-23'!P120+'[11]Уточнение Пр.9-23'!P120</f>
        <v>0</v>
      </c>
      <c r="Q120" s="714">
        <f>'[11]Диспан.набл.взрослых Пр.3-23'!Q120+'[11]Уточнение Пр.9-23'!Q120</f>
        <v>0</v>
      </c>
      <c r="R120" s="714">
        <f>'[11]Диспан.набл.взрослых Пр.3-23'!R120+'[11]Уточнение Пр.9-23'!R120</f>
        <v>0</v>
      </c>
    </row>
    <row r="121" spans="1:18" x14ac:dyDescent="0.25">
      <c r="A121" s="711">
        <v>108</v>
      </c>
      <c r="B121" s="716" t="s">
        <v>229</v>
      </c>
      <c r="C121" s="653" t="s">
        <v>230</v>
      </c>
      <c r="D121" s="714">
        <f t="shared" si="2"/>
        <v>0</v>
      </c>
      <c r="E121" s="714">
        <f>'[11]Диспан.набл.взрослых Пр.3-23'!E121+'[11]Уточнение Пр.9-23'!E121</f>
        <v>0</v>
      </c>
      <c r="F121" s="714">
        <f>'[11]Диспан.набл.взрослых Пр.3-23'!F121+'[11]Уточнение Пр.9-23'!F121</f>
        <v>0</v>
      </c>
      <c r="G121" s="714">
        <f>'[11]Диспан.набл.взрослых Пр.3-23'!G121+'[11]Уточнение Пр.9-23'!G121</f>
        <v>0</v>
      </c>
      <c r="H121" s="714">
        <f>'[11]Диспан.набл.взрослых Пр.3-23'!H121+'[11]Уточнение Пр.9-23'!H121</f>
        <v>0</v>
      </c>
      <c r="I121" s="714">
        <f>'[11]Диспан.набл.взрослых Пр.3-23'!I121+'[11]Уточнение Пр.9-23'!I121</f>
        <v>0</v>
      </c>
      <c r="J121" s="714">
        <f>'[11]Диспан.набл.взрослых Пр.3-23'!J121+'[11]Уточнение Пр.9-23'!J121</f>
        <v>0</v>
      </c>
      <c r="K121" s="714">
        <f>'[11]Диспан.набл.взрослых Пр.3-23'!K121+'[11]Уточнение Пр.9-23'!K121</f>
        <v>0</v>
      </c>
      <c r="L121" s="714">
        <f>'[11]Диспан.набл.взрослых Пр.3-23'!L121+'[11]Уточнение Пр.9-23'!L121</f>
        <v>0</v>
      </c>
      <c r="M121" s="714">
        <f>'[11]Диспан.набл.взрослых Пр.3-23'!M121+'[11]Уточнение Пр.9-23'!M121</f>
        <v>0</v>
      </c>
      <c r="N121" s="714">
        <f>'[11]Диспан.набл.взрослых Пр.3-23'!N121+'[11]Уточнение Пр.9-23'!N121</f>
        <v>0</v>
      </c>
      <c r="O121" s="714">
        <f>'[11]Диспан.набл.взрослых Пр.3-23'!O121+'[11]Уточнение Пр.9-23'!O121</f>
        <v>0</v>
      </c>
      <c r="P121" s="714">
        <f>'[11]Диспан.набл.взрослых Пр.3-23'!P121+'[11]Уточнение Пр.9-23'!P121</f>
        <v>0</v>
      </c>
      <c r="Q121" s="714">
        <f>'[11]Диспан.набл.взрослых Пр.3-23'!Q121+'[11]Уточнение Пр.9-23'!Q121</f>
        <v>0</v>
      </c>
      <c r="R121" s="714">
        <f>'[11]Диспан.набл.взрослых Пр.3-23'!R121+'[11]Уточнение Пр.9-23'!R121</f>
        <v>0</v>
      </c>
    </row>
    <row r="122" spans="1:18" x14ac:dyDescent="0.25">
      <c r="A122" s="711">
        <v>109</v>
      </c>
      <c r="B122" s="716" t="s">
        <v>231</v>
      </c>
      <c r="C122" s="653" t="s">
        <v>232</v>
      </c>
      <c r="D122" s="714">
        <f t="shared" si="2"/>
        <v>0</v>
      </c>
      <c r="E122" s="714">
        <f>'[11]Диспан.набл.взрослых Пр.3-23'!E122+'[11]Уточнение Пр.9-23'!E122</f>
        <v>0</v>
      </c>
      <c r="F122" s="714">
        <f>'[11]Диспан.набл.взрослых Пр.3-23'!F122+'[11]Уточнение Пр.9-23'!F122</f>
        <v>0</v>
      </c>
      <c r="G122" s="714">
        <f>'[11]Диспан.набл.взрослых Пр.3-23'!G122+'[11]Уточнение Пр.9-23'!G122</f>
        <v>0</v>
      </c>
      <c r="H122" s="714">
        <f>'[11]Диспан.набл.взрослых Пр.3-23'!H122+'[11]Уточнение Пр.9-23'!H122</f>
        <v>0</v>
      </c>
      <c r="I122" s="714">
        <f>'[11]Диспан.набл.взрослых Пр.3-23'!I122+'[11]Уточнение Пр.9-23'!I122</f>
        <v>0</v>
      </c>
      <c r="J122" s="714">
        <f>'[11]Диспан.набл.взрослых Пр.3-23'!J122+'[11]Уточнение Пр.9-23'!J122</f>
        <v>0</v>
      </c>
      <c r="K122" s="714">
        <f>'[11]Диспан.набл.взрослых Пр.3-23'!K122+'[11]Уточнение Пр.9-23'!K122</f>
        <v>0</v>
      </c>
      <c r="L122" s="714">
        <f>'[11]Диспан.набл.взрослых Пр.3-23'!L122+'[11]Уточнение Пр.9-23'!L122</f>
        <v>0</v>
      </c>
      <c r="M122" s="714">
        <f>'[11]Диспан.набл.взрослых Пр.3-23'!M122+'[11]Уточнение Пр.9-23'!M122</f>
        <v>0</v>
      </c>
      <c r="N122" s="714">
        <f>'[11]Диспан.набл.взрослых Пр.3-23'!N122+'[11]Уточнение Пр.9-23'!N122</f>
        <v>0</v>
      </c>
      <c r="O122" s="714">
        <f>'[11]Диспан.набл.взрослых Пр.3-23'!O122+'[11]Уточнение Пр.9-23'!O122</f>
        <v>0</v>
      </c>
      <c r="P122" s="714">
        <f>'[11]Диспан.набл.взрослых Пр.3-23'!P122+'[11]Уточнение Пр.9-23'!P122</f>
        <v>0</v>
      </c>
      <c r="Q122" s="714">
        <f>'[11]Диспан.набл.взрослых Пр.3-23'!Q122+'[11]Уточнение Пр.9-23'!Q122</f>
        <v>0</v>
      </c>
      <c r="R122" s="714">
        <f>'[11]Диспан.набл.взрослых Пр.3-23'!R122+'[11]Уточнение Пр.9-23'!R122</f>
        <v>0</v>
      </c>
    </row>
    <row r="123" spans="1:18" x14ac:dyDescent="0.25">
      <c r="A123" s="711">
        <v>110</v>
      </c>
      <c r="B123" s="720" t="s">
        <v>233</v>
      </c>
      <c r="C123" s="721" t="s">
        <v>234</v>
      </c>
      <c r="D123" s="714">
        <f t="shared" si="2"/>
        <v>0</v>
      </c>
      <c r="E123" s="714">
        <f>'[11]Диспан.набл.взрослых Пр.3-23'!E123+'[11]Уточнение Пр.9-23'!E123</f>
        <v>0</v>
      </c>
      <c r="F123" s="714">
        <f>'[11]Диспан.набл.взрослых Пр.3-23'!F123+'[11]Уточнение Пр.9-23'!F123</f>
        <v>0</v>
      </c>
      <c r="G123" s="714">
        <f>'[11]Диспан.набл.взрослых Пр.3-23'!G123+'[11]Уточнение Пр.9-23'!G123</f>
        <v>0</v>
      </c>
      <c r="H123" s="714">
        <f>'[11]Диспан.набл.взрослых Пр.3-23'!H123+'[11]Уточнение Пр.9-23'!H123</f>
        <v>0</v>
      </c>
      <c r="I123" s="714">
        <f>'[11]Диспан.набл.взрослых Пр.3-23'!I123+'[11]Уточнение Пр.9-23'!I123</f>
        <v>0</v>
      </c>
      <c r="J123" s="714">
        <f>'[11]Диспан.набл.взрослых Пр.3-23'!J123+'[11]Уточнение Пр.9-23'!J123</f>
        <v>0</v>
      </c>
      <c r="K123" s="714">
        <f>'[11]Диспан.набл.взрослых Пр.3-23'!K123+'[11]Уточнение Пр.9-23'!K123</f>
        <v>0</v>
      </c>
      <c r="L123" s="714">
        <f>'[11]Диспан.набл.взрослых Пр.3-23'!L123+'[11]Уточнение Пр.9-23'!L123</f>
        <v>0</v>
      </c>
      <c r="M123" s="714">
        <f>'[11]Диспан.набл.взрослых Пр.3-23'!M123+'[11]Уточнение Пр.9-23'!M123</f>
        <v>0</v>
      </c>
      <c r="N123" s="714">
        <f>'[11]Диспан.набл.взрослых Пр.3-23'!N123+'[11]Уточнение Пр.9-23'!N123</f>
        <v>0</v>
      </c>
      <c r="O123" s="714">
        <f>'[11]Диспан.набл.взрослых Пр.3-23'!O123+'[11]Уточнение Пр.9-23'!O123</f>
        <v>0</v>
      </c>
      <c r="P123" s="714">
        <f>'[11]Диспан.набл.взрослых Пр.3-23'!P123+'[11]Уточнение Пр.9-23'!P123</f>
        <v>0</v>
      </c>
      <c r="Q123" s="714">
        <f>'[11]Диспан.набл.взрослых Пр.3-23'!Q123+'[11]Уточнение Пр.9-23'!Q123</f>
        <v>0</v>
      </c>
      <c r="R123" s="714">
        <f>'[11]Диспан.набл.взрослых Пр.3-23'!R123+'[11]Уточнение Пр.9-23'!R123</f>
        <v>0</v>
      </c>
    </row>
    <row r="124" spans="1:18" x14ac:dyDescent="0.25">
      <c r="A124" s="711">
        <v>111</v>
      </c>
      <c r="B124" s="720" t="s">
        <v>235</v>
      </c>
      <c r="C124" s="721" t="s">
        <v>236</v>
      </c>
      <c r="D124" s="714">
        <f t="shared" si="2"/>
        <v>0</v>
      </c>
      <c r="E124" s="714">
        <f>'[11]Диспан.набл.взрослых Пр.3-23'!E124+'[11]Уточнение Пр.9-23'!E124</f>
        <v>0</v>
      </c>
      <c r="F124" s="714">
        <f>'[11]Диспан.набл.взрослых Пр.3-23'!F124+'[11]Уточнение Пр.9-23'!F124</f>
        <v>0</v>
      </c>
      <c r="G124" s="714">
        <f>'[11]Диспан.набл.взрослых Пр.3-23'!G124+'[11]Уточнение Пр.9-23'!G124</f>
        <v>0</v>
      </c>
      <c r="H124" s="714">
        <f>'[11]Диспан.набл.взрослых Пр.3-23'!H124+'[11]Уточнение Пр.9-23'!H124</f>
        <v>0</v>
      </c>
      <c r="I124" s="714">
        <f>'[11]Диспан.набл.взрослых Пр.3-23'!I124+'[11]Уточнение Пр.9-23'!I124</f>
        <v>0</v>
      </c>
      <c r="J124" s="714">
        <f>'[11]Диспан.набл.взрослых Пр.3-23'!J124+'[11]Уточнение Пр.9-23'!J124</f>
        <v>0</v>
      </c>
      <c r="K124" s="714">
        <f>'[11]Диспан.набл.взрослых Пр.3-23'!K124+'[11]Уточнение Пр.9-23'!K124</f>
        <v>0</v>
      </c>
      <c r="L124" s="714">
        <f>'[11]Диспан.набл.взрослых Пр.3-23'!L124+'[11]Уточнение Пр.9-23'!L124</f>
        <v>0</v>
      </c>
      <c r="M124" s="714">
        <f>'[11]Диспан.набл.взрослых Пр.3-23'!M124+'[11]Уточнение Пр.9-23'!M124</f>
        <v>0</v>
      </c>
      <c r="N124" s="714">
        <f>'[11]Диспан.набл.взрослых Пр.3-23'!N124+'[11]Уточнение Пр.9-23'!N124</f>
        <v>0</v>
      </c>
      <c r="O124" s="714">
        <f>'[11]Диспан.набл.взрослых Пр.3-23'!O124+'[11]Уточнение Пр.9-23'!O124</f>
        <v>0</v>
      </c>
      <c r="P124" s="714">
        <f>'[11]Диспан.набл.взрослых Пр.3-23'!P124+'[11]Уточнение Пр.9-23'!P124</f>
        <v>0</v>
      </c>
      <c r="Q124" s="714">
        <f>'[11]Диспан.набл.взрослых Пр.3-23'!Q124+'[11]Уточнение Пр.9-23'!Q124</f>
        <v>0</v>
      </c>
      <c r="R124" s="714">
        <f>'[11]Диспан.набл.взрослых Пр.3-23'!R124+'[11]Уточнение Пр.9-23'!R124</f>
        <v>0</v>
      </c>
    </row>
    <row r="125" spans="1:18" x14ac:dyDescent="0.25">
      <c r="A125" s="711">
        <v>112</v>
      </c>
      <c r="B125" s="715" t="s">
        <v>237</v>
      </c>
      <c r="C125" s="713" t="s">
        <v>238</v>
      </c>
      <c r="D125" s="714">
        <f t="shared" si="2"/>
        <v>0</v>
      </c>
      <c r="E125" s="714">
        <f>'[11]Диспан.набл.взрослых Пр.3-23'!E125+'[11]Уточнение Пр.9-23'!E125</f>
        <v>0</v>
      </c>
      <c r="F125" s="714">
        <f>'[11]Диспан.набл.взрослых Пр.3-23'!F125+'[11]Уточнение Пр.9-23'!F125</f>
        <v>0</v>
      </c>
      <c r="G125" s="714">
        <f>'[11]Диспан.набл.взрослых Пр.3-23'!G125+'[11]Уточнение Пр.9-23'!G125</f>
        <v>0</v>
      </c>
      <c r="H125" s="714">
        <f>'[11]Диспан.набл.взрослых Пр.3-23'!H125+'[11]Уточнение Пр.9-23'!H125</f>
        <v>0</v>
      </c>
      <c r="I125" s="714">
        <f>'[11]Диспан.набл.взрослых Пр.3-23'!I125+'[11]Уточнение Пр.9-23'!I125</f>
        <v>0</v>
      </c>
      <c r="J125" s="714">
        <f>'[11]Диспан.набл.взрослых Пр.3-23'!J125+'[11]Уточнение Пр.9-23'!J125</f>
        <v>0</v>
      </c>
      <c r="K125" s="714">
        <f>'[11]Диспан.набл.взрослых Пр.3-23'!K125+'[11]Уточнение Пр.9-23'!K125</f>
        <v>0</v>
      </c>
      <c r="L125" s="714">
        <f>'[11]Диспан.набл.взрослых Пр.3-23'!L125+'[11]Уточнение Пр.9-23'!L125</f>
        <v>0</v>
      </c>
      <c r="M125" s="714">
        <f>'[11]Диспан.набл.взрослых Пр.3-23'!M125+'[11]Уточнение Пр.9-23'!M125</f>
        <v>0</v>
      </c>
      <c r="N125" s="714">
        <f>'[11]Диспан.набл.взрослых Пр.3-23'!N125+'[11]Уточнение Пр.9-23'!N125</f>
        <v>0</v>
      </c>
      <c r="O125" s="714">
        <f>'[11]Диспан.набл.взрослых Пр.3-23'!O125+'[11]Уточнение Пр.9-23'!O125</f>
        <v>0</v>
      </c>
      <c r="P125" s="714">
        <f>'[11]Диспан.набл.взрослых Пр.3-23'!P125+'[11]Уточнение Пр.9-23'!P125</f>
        <v>0</v>
      </c>
      <c r="Q125" s="714">
        <f>'[11]Диспан.набл.взрослых Пр.3-23'!Q125+'[11]Уточнение Пр.9-23'!Q125</f>
        <v>0</v>
      </c>
      <c r="R125" s="714">
        <f>'[11]Диспан.набл.взрослых Пр.3-23'!R125+'[11]Уточнение Пр.9-23'!R125</f>
        <v>0</v>
      </c>
    </row>
    <row r="126" spans="1:18" x14ac:dyDescent="0.25">
      <c r="A126" s="711">
        <v>113</v>
      </c>
      <c r="B126" s="716" t="s">
        <v>239</v>
      </c>
      <c r="C126" s="653" t="s">
        <v>240</v>
      </c>
      <c r="D126" s="714">
        <f t="shared" si="2"/>
        <v>0</v>
      </c>
      <c r="E126" s="714">
        <f>'[11]Диспан.набл.взрослых Пр.3-23'!E126+'[11]Уточнение Пр.9-23'!E126</f>
        <v>0</v>
      </c>
      <c r="F126" s="714">
        <f>'[11]Диспан.набл.взрослых Пр.3-23'!F126+'[11]Уточнение Пр.9-23'!F126</f>
        <v>0</v>
      </c>
      <c r="G126" s="714">
        <f>'[11]Диспан.набл.взрослых Пр.3-23'!G126+'[11]Уточнение Пр.9-23'!G126</f>
        <v>0</v>
      </c>
      <c r="H126" s="714">
        <f>'[11]Диспан.набл.взрослых Пр.3-23'!H126+'[11]Уточнение Пр.9-23'!H126</f>
        <v>0</v>
      </c>
      <c r="I126" s="714">
        <f>'[11]Диспан.набл.взрослых Пр.3-23'!I126+'[11]Уточнение Пр.9-23'!I126</f>
        <v>0</v>
      </c>
      <c r="J126" s="714">
        <f>'[11]Диспан.набл.взрослых Пр.3-23'!J126+'[11]Уточнение Пр.9-23'!J126</f>
        <v>0</v>
      </c>
      <c r="K126" s="714">
        <f>'[11]Диспан.набл.взрослых Пр.3-23'!K126+'[11]Уточнение Пр.9-23'!K126</f>
        <v>0</v>
      </c>
      <c r="L126" s="714">
        <f>'[11]Диспан.набл.взрослых Пр.3-23'!L126+'[11]Уточнение Пр.9-23'!L126</f>
        <v>0</v>
      </c>
      <c r="M126" s="714">
        <f>'[11]Диспан.набл.взрослых Пр.3-23'!M126+'[11]Уточнение Пр.9-23'!M126</f>
        <v>0</v>
      </c>
      <c r="N126" s="714">
        <f>'[11]Диспан.набл.взрослых Пр.3-23'!N126+'[11]Уточнение Пр.9-23'!N126</f>
        <v>0</v>
      </c>
      <c r="O126" s="714">
        <f>'[11]Диспан.набл.взрослых Пр.3-23'!O126+'[11]Уточнение Пр.9-23'!O126</f>
        <v>0</v>
      </c>
      <c r="P126" s="714">
        <f>'[11]Диспан.набл.взрослых Пр.3-23'!P126+'[11]Уточнение Пр.9-23'!P126</f>
        <v>0</v>
      </c>
      <c r="Q126" s="714">
        <f>'[11]Диспан.набл.взрослых Пр.3-23'!Q126+'[11]Уточнение Пр.9-23'!Q126</f>
        <v>0</v>
      </c>
      <c r="R126" s="714">
        <f>'[11]Диспан.набл.взрослых Пр.3-23'!R126+'[11]Уточнение Пр.9-23'!R126</f>
        <v>0</v>
      </c>
    </row>
    <row r="127" spans="1:18" x14ac:dyDescent="0.25">
      <c r="A127" s="711">
        <v>114</v>
      </c>
      <c r="B127" s="712" t="s">
        <v>241</v>
      </c>
      <c r="C127" s="722" t="s">
        <v>242</v>
      </c>
      <c r="D127" s="714">
        <f t="shared" si="2"/>
        <v>0</v>
      </c>
      <c r="E127" s="714">
        <f>'[11]Диспан.набл.взрослых Пр.3-23'!E127+'[11]Уточнение Пр.9-23'!E127</f>
        <v>0</v>
      </c>
      <c r="F127" s="714">
        <f>'[11]Диспан.набл.взрослых Пр.3-23'!F127+'[11]Уточнение Пр.9-23'!F127</f>
        <v>0</v>
      </c>
      <c r="G127" s="714">
        <f>'[11]Диспан.набл.взрослых Пр.3-23'!G127+'[11]Уточнение Пр.9-23'!G127</f>
        <v>0</v>
      </c>
      <c r="H127" s="714">
        <f>'[11]Диспан.набл.взрослых Пр.3-23'!H127+'[11]Уточнение Пр.9-23'!H127</f>
        <v>0</v>
      </c>
      <c r="I127" s="714">
        <f>'[11]Диспан.набл.взрослых Пр.3-23'!I127+'[11]Уточнение Пр.9-23'!I127</f>
        <v>0</v>
      </c>
      <c r="J127" s="714">
        <f>'[11]Диспан.набл.взрослых Пр.3-23'!J127+'[11]Уточнение Пр.9-23'!J127</f>
        <v>0</v>
      </c>
      <c r="K127" s="714">
        <f>'[11]Диспан.набл.взрослых Пр.3-23'!K127+'[11]Уточнение Пр.9-23'!K127</f>
        <v>0</v>
      </c>
      <c r="L127" s="714">
        <f>'[11]Диспан.набл.взрослых Пр.3-23'!L127+'[11]Уточнение Пр.9-23'!L127</f>
        <v>0</v>
      </c>
      <c r="M127" s="714">
        <f>'[11]Диспан.набл.взрослых Пр.3-23'!M127+'[11]Уточнение Пр.9-23'!M127</f>
        <v>0</v>
      </c>
      <c r="N127" s="714">
        <f>'[11]Диспан.набл.взрослых Пр.3-23'!N127+'[11]Уточнение Пр.9-23'!N127</f>
        <v>0</v>
      </c>
      <c r="O127" s="714">
        <f>'[11]Диспан.набл.взрослых Пр.3-23'!O127+'[11]Уточнение Пр.9-23'!O127</f>
        <v>0</v>
      </c>
      <c r="P127" s="714">
        <f>'[11]Диспан.набл.взрослых Пр.3-23'!P127+'[11]Уточнение Пр.9-23'!P127</f>
        <v>0</v>
      </c>
      <c r="Q127" s="714">
        <f>'[11]Диспан.набл.взрослых Пр.3-23'!Q127+'[11]Уточнение Пр.9-23'!Q127</f>
        <v>0</v>
      </c>
      <c r="R127" s="714">
        <f>'[11]Диспан.набл.взрослых Пр.3-23'!R127+'[11]Уточнение Пр.9-23'!R127</f>
        <v>0</v>
      </c>
    </row>
    <row r="128" spans="1:18" x14ac:dyDescent="0.25">
      <c r="A128" s="711">
        <v>115</v>
      </c>
      <c r="B128" s="716" t="s">
        <v>243</v>
      </c>
      <c r="C128" s="50" t="s">
        <v>385</v>
      </c>
      <c r="D128" s="714">
        <f t="shared" si="2"/>
        <v>0</v>
      </c>
      <c r="E128" s="714">
        <f>'[11]Диспан.набл.взрослых Пр.3-23'!E128+'[11]Уточнение Пр.9-23'!E128</f>
        <v>0</v>
      </c>
      <c r="F128" s="714">
        <f>'[11]Диспан.набл.взрослых Пр.3-23'!F128+'[11]Уточнение Пр.9-23'!F128</f>
        <v>0</v>
      </c>
      <c r="G128" s="714">
        <f>'[11]Диспан.набл.взрослых Пр.3-23'!G128+'[11]Уточнение Пр.9-23'!G128</f>
        <v>0</v>
      </c>
      <c r="H128" s="714">
        <f>'[11]Диспан.набл.взрослых Пр.3-23'!H128+'[11]Уточнение Пр.9-23'!H128</f>
        <v>0</v>
      </c>
      <c r="I128" s="714">
        <f>'[11]Диспан.набл.взрослых Пр.3-23'!I128+'[11]Уточнение Пр.9-23'!I128</f>
        <v>0</v>
      </c>
      <c r="J128" s="714">
        <f>'[11]Диспан.набл.взрослых Пр.3-23'!J128+'[11]Уточнение Пр.9-23'!J128</f>
        <v>0</v>
      </c>
      <c r="K128" s="714">
        <f>'[11]Диспан.набл.взрослых Пр.3-23'!K128+'[11]Уточнение Пр.9-23'!K128</f>
        <v>0</v>
      </c>
      <c r="L128" s="714">
        <f>'[11]Диспан.набл.взрослых Пр.3-23'!L128+'[11]Уточнение Пр.9-23'!L128</f>
        <v>0</v>
      </c>
      <c r="M128" s="714">
        <f>'[11]Диспан.набл.взрослых Пр.3-23'!M128+'[11]Уточнение Пр.9-23'!M128</f>
        <v>0</v>
      </c>
      <c r="N128" s="714">
        <f>'[11]Диспан.набл.взрослых Пр.3-23'!N128+'[11]Уточнение Пр.9-23'!N128</f>
        <v>0</v>
      </c>
      <c r="O128" s="714">
        <f>'[11]Диспан.набл.взрослых Пр.3-23'!O128+'[11]Уточнение Пр.9-23'!O128</f>
        <v>0</v>
      </c>
      <c r="P128" s="714">
        <f>'[11]Диспан.набл.взрослых Пр.3-23'!P128+'[11]Уточнение Пр.9-23'!P128</f>
        <v>0</v>
      </c>
      <c r="Q128" s="714">
        <f>'[11]Диспан.набл.взрослых Пр.3-23'!Q128+'[11]Уточнение Пр.9-23'!Q128</f>
        <v>0</v>
      </c>
      <c r="R128" s="714">
        <f>'[11]Диспан.набл.взрослых Пр.3-23'!R128+'[11]Уточнение Пр.9-23'!R128</f>
        <v>0</v>
      </c>
    </row>
    <row r="129" spans="1:18" x14ac:dyDescent="0.25">
      <c r="A129" s="711">
        <v>116</v>
      </c>
      <c r="B129" s="715" t="s">
        <v>244</v>
      </c>
      <c r="C129" s="653" t="s">
        <v>245</v>
      </c>
      <c r="D129" s="714">
        <f t="shared" si="2"/>
        <v>0</v>
      </c>
      <c r="E129" s="714">
        <f>'[11]Диспан.набл.взрослых Пр.3-23'!E129+'[11]Уточнение Пр.9-23'!E129</f>
        <v>0</v>
      </c>
      <c r="F129" s="714">
        <f>'[11]Диспан.набл.взрослых Пр.3-23'!F129+'[11]Уточнение Пр.9-23'!F129</f>
        <v>0</v>
      </c>
      <c r="G129" s="714">
        <f>'[11]Диспан.набл.взрослых Пр.3-23'!G129+'[11]Уточнение Пр.9-23'!G129</f>
        <v>0</v>
      </c>
      <c r="H129" s="714">
        <f>'[11]Диспан.набл.взрослых Пр.3-23'!H129+'[11]Уточнение Пр.9-23'!H129</f>
        <v>0</v>
      </c>
      <c r="I129" s="714">
        <f>'[11]Диспан.набл.взрослых Пр.3-23'!I129+'[11]Уточнение Пр.9-23'!I129</f>
        <v>0</v>
      </c>
      <c r="J129" s="714">
        <f>'[11]Диспан.набл.взрослых Пр.3-23'!J129+'[11]Уточнение Пр.9-23'!J129</f>
        <v>0</v>
      </c>
      <c r="K129" s="714">
        <f>'[11]Диспан.набл.взрослых Пр.3-23'!K129+'[11]Уточнение Пр.9-23'!K129</f>
        <v>0</v>
      </c>
      <c r="L129" s="714">
        <f>'[11]Диспан.набл.взрослых Пр.3-23'!L129+'[11]Уточнение Пр.9-23'!L129</f>
        <v>0</v>
      </c>
      <c r="M129" s="714">
        <f>'[11]Диспан.набл.взрослых Пр.3-23'!M129+'[11]Уточнение Пр.9-23'!M129</f>
        <v>0</v>
      </c>
      <c r="N129" s="714">
        <f>'[11]Диспан.набл.взрослых Пр.3-23'!N129+'[11]Уточнение Пр.9-23'!N129</f>
        <v>0</v>
      </c>
      <c r="O129" s="714">
        <f>'[11]Диспан.набл.взрослых Пр.3-23'!O129+'[11]Уточнение Пр.9-23'!O129</f>
        <v>0</v>
      </c>
      <c r="P129" s="714">
        <f>'[11]Диспан.набл.взрослых Пр.3-23'!P129+'[11]Уточнение Пр.9-23'!P129</f>
        <v>0</v>
      </c>
      <c r="Q129" s="714">
        <f>'[11]Диспан.набл.взрослых Пр.3-23'!Q129+'[11]Уточнение Пр.9-23'!Q129</f>
        <v>0</v>
      </c>
      <c r="R129" s="714">
        <f>'[11]Диспан.набл.взрослых Пр.3-23'!R129+'[11]Уточнение Пр.9-23'!R129</f>
        <v>0</v>
      </c>
    </row>
    <row r="130" spans="1:18" x14ac:dyDescent="0.25">
      <c r="A130" s="711">
        <v>117</v>
      </c>
      <c r="B130" s="715" t="s">
        <v>246</v>
      </c>
      <c r="C130" s="653" t="s">
        <v>247</v>
      </c>
      <c r="D130" s="714">
        <f t="shared" si="2"/>
        <v>0</v>
      </c>
      <c r="E130" s="714">
        <f>'[11]Диспан.набл.взрослых Пр.3-23'!E130+'[11]Уточнение Пр.9-23'!E130</f>
        <v>0</v>
      </c>
      <c r="F130" s="714">
        <f>'[11]Диспан.набл.взрослых Пр.3-23'!F130+'[11]Уточнение Пр.9-23'!F130</f>
        <v>0</v>
      </c>
      <c r="G130" s="714">
        <f>'[11]Диспан.набл.взрослых Пр.3-23'!G130+'[11]Уточнение Пр.9-23'!G130</f>
        <v>0</v>
      </c>
      <c r="H130" s="714">
        <f>'[11]Диспан.набл.взрослых Пр.3-23'!H130+'[11]Уточнение Пр.9-23'!H130</f>
        <v>0</v>
      </c>
      <c r="I130" s="714">
        <f>'[11]Диспан.набл.взрослых Пр.3-23'!I130+'[11]Уточнение Пр.9-23'!I130</f>
        <v>0</v>
      </c>
      <c r="J130" s="714">
        <f>'[11]Диспан.набл.взрослых Пр.3-23'!J130+'[11]Уточнение Пр.9-23'!J130</f>
        <v>0</v>
      </c>
      <c r="K130" s="714">
        <f>'[11]Диспан.набл.взрослых Пр.3-23'!K130+'[11]Уточнение Пр.9-23'!K130</f>
        <v>0</v>
      </c>
      <c r="L130" s="714">
        <f>'[11]Диспан.набл.взрослых Пр.3-23'!L130+'[11]Уточнение Пр.9-23'!L130</f>
        <v>0</v>
      </c>
      <c r="M130" s="714">
        <f>'[11]Диспан.набл.взрослых Пр.3-23'!M130+'[11]Уточнение Пр.9-23'!M130</f>
        <v>0</v>
      </c>
      <c r="N130" s="714">
        <f>'[11]Диспан.набл.взрослых Пр.3-23'!N130+'[11]Уточнение Пр.9-23'!N130</f>
        <v>0</v>
      </c>
      <c r="O130" s="714">
        <f>'[11]Диспан.набл.взрослых Пр.3-23'!O130+'[11]Уточнение Пр.9-23'!O130</f>
        <v>0</v>
      </c>
      <c r="P130" s="714">
        <f>'[11]Диспан.набл.взрослых Пр.3-23'!P130+'[11]Уточнение Пр.9-23'!P130</f>
        <v>0</v>
      </c>
      <c r="Q130" s="714">
        <f>'[11]Диспан.набл.взрослых Пр.3-23'!Q130+'[11]Уточнение Пр.9-23'!Q130</f>
        <v>0</v>
      </c>
      <c r="R130" s="714">
        <f>'[11]Диспан.набл.взрослых Пр.3-23'!R130+'[11]Уточнение Пр.9-23'!R130</f>
        <v>0</v>
      </c>
    </row>
    <row r="131" spans="1:18" x14ac:dyDescent="0.25">
      <c r="A131" s="711">
        <v>118</v>
      </c>
      <c r="B131" s="715" t="s">
        <v>248</v>
      </c>
      <c r="C131" s="653" t="s">
        <v>249</v>
      </c>
      <c r="D131" s="714">
        <f t="shared" si="2"/>
        <v>0</v>
      </c>
      <c r="E131" s="714">
        <f>'[11]Диспан.набл.взрослых Пр.3-23'!E131+'[11]Уточнение Пр.9-23'!E131</f>
        <v>0</v>
      </c>
      <c r="F131" s="714">
        <f>'[11]Диспан.набл.взрослых Пр.3-23'!F131+'[11]Уточнение Пр.9-23'!F131</f>
        <v>0</v>
      </c>
      <c r="G131" s="714">
        <f>'[11]Диспан.набл.взрослых Пр.3-23'!G131+'[11]Уточнение Пр.9-23'!G131</f>
        <v>0</v>
      </c>
      <c r="H131" s="714">
        <f>'[11]Диспан.набл.взрослых Пр.3-23'!H131+'[11]Уточнение Пр.9-23'!H131</f>
        <v>0</v>
      </c>
      <c r="I131" s="714">
        <f>'[11]Диспан.набл.взрослых Пр.3-23'!I131+'[11]Уточнение Пр.9-23'!I131</f>
        <v>0</v>
      </c>
      <c r="J131" s="714">
        <f>'[11]Диспан.набл.взрослых Пр.3-23'!J131+'[11]Уточнение Пр.9-23'!J131</f>
        <v>0</v>
      </c>
      <c r="K131" s="714">
        <f>'[11]Диспан.набл.взрослых Пр.3-23'!K131+'[11]Уточнение Пр.9-23'!K131</f>
        <v>0</v>
      </c>
      <c r="L131" s="714">
        <f>'[11]Диспан.набл.взрослых Пр.3-23'!L131+'[11]Уточнение Пр.9-23'!L131</f>
        <v>0</v>
      </c>
      <c r="M131" s="714">
        <f>'[11]Диспан.набл.взрослых Пр.3-23'!M131+'[11]Уточнение Пр.9-23'!M131</f>
        <v>0</v>
      </c>
      <c r="N131" s="714">
        <f>'[11]Диспан.набл.взрослых Пр.3-23'!N131+'[11]Уточнение Пр.9-23'!N131</f>
        <v>0</v>
      </c>
      <c r="O131" s="714">
        <f>'[11]Диспан.набл.взрослых Пр.3-23'!O131+'[11]Уточнение Пр.9-23'!O131</f>
        <v>0</v>
      </c>
      <c r="P131" s="714">
        <f>'[11]Диспан.набл.взрослых Пр.3-23'!P131+'[11]Уточнение Пр.9-23'!P131</f>
        <v>0</v>
      </c>
      <c r="Q131" s="714">
        <f>'[11]Диспан.набл.взрослых Пр.3-23'!Q131+'[11]Уточнение Пр.9-23'!Q131</f>
        <v>0</v>
      </c>
      <c r="R131" s="714">
        <f>'[11]Диспан.набл.взрослых Пр.3-23'!R131+'[11]Уточнение Пр.9-23'!R131</f>
        <v>0</v>
      </c>
    </row>
    <row r="132" spans="1:18" x14ac:dyDescent="0.25">
      <c r="A132" s="711">
        <v>119</v>
      </c>
      <c r="B132" s="712" t="s">
        <v>250</v>
      </c>
      <c r="C132" s="713" t="s">
        <v>251</v>
      </c>
      <c r="D132" s="714">
        <f t="shared" si="2"/>
        <v>0</v>
      </c>
      <c r="E132" s="714">
        <f>'[11]Диспан.набл.взрослых Пр.3-23'!E132+'[11]Уточнение Пр.9-23'!E132</f>
        <v>0</v>
      </c>
      <c r="F132" s="714">
        <f>'[11]Диспан.набл.взрослых Пр.3-23'!F132+'[11]Уточнение Пр.9-23'!F132</f>
        <v>0</v>
      </c>
      <c r="G132" s="714">
        <f>'[11]Диспан.набл.взрослых Пр.3-23'!G132+'[11]Уточнение Пр.9-23'!G132</f>
        <v>0</v>
      </c>
      <c r="H132" s="714">
        <f>'[11]Диспан.набл.взрослых Пр.3-23'!H132+'[11]Уточнение Пр.9-23'!H132</f>
        <v>0</v>
      </c>
      <c r="I132" s="714">
        <f>'[11]Диспан.набл.взрослых Пр.3-23'!I132+'[11]Уточнение Пр.9-23'!I132</f>
        <v>0</v>
      </c>
      <c r="J132" s="714">
        <f>'[11]Диспан.набл.взрослых Пр.3-23'!J132+'[11]Уточнение Пр.9-23'!J132</f>
        <v>0</v>
      </c>
      <c r="K132" s="714">
        <f>'[11]Диспан.набл.взрослых Пр.3-23'!K132+'[11]Уточнение Пр.9-23'!K132</f>
        <v>0</v>
      </c>
      <c r="L132" s="714">
        <f>'[11]Диспан.набл.взрослых Пр.3-23'!L132+'[11]Уточнение Пр.9-23'!L132</f>
        <v>0</v>
      </c>
      <c r="M132" s="714">
        <f>'[11]Диспан.набл.взрослых Пр.3-23'!M132+'[11]Уточнение Пр.9-23'!M132</f>
        <v>0</v>
      </c>
      <c r="N132" s="714">
        <f>'[11]Диспан.набл.взрослых Пр.3-23'!N132+'[11]Уточнение Пр.9-23'!N132</f>
        <v>0</v>
      </c>
      <c r="O132" s="714">
        <f>'[11]Диспан.набл.взрослых Пр.3-23'!O132+'[11]Уточнение Пр.9-23'!O132</f>
        <v>0</v>
      </c>
      <c r="P132" s="714">
        <f>'[11]Диспан.набл.взрослых Пр.3-23'!P132+'[11]Уточнение Пр.9-23'!P132</f>
        <v>0</v>
      </c>
      <c r="Q132" s="714">
        <f>'[11]Диспан.набл.взрослых Пр.3-23'!Q132+'[11]Уточнение Пр.9-23'!Q132</f>
        <v>0</v>
      </c>
      <c r="R132" s="714">
        <f>'[11]Диспан.набл.взрослых Пр.3-23'!R132+'[11]Уточнение Пр.9-23'!R132</f>
        <v>0</v>
      </c>
    </row>
    <row r="133" spans="1:18" x14ac:dyDescent="0.25">
      <c r="A133" s="711">
        <v>120</v>
      </c>
      <c r="B133" s="715" t="s">
        <v>252</v>
      </c>
      <c r="C133" s="713" t="s">
        <v>253</v>
      </c>
      <c r="D133" s="714">
        <f t="shared" si="2"/>
        <v>0</v>
      </c>
      <c r="E133" s="714">
        <f>'[11]Диспан.набл.взрослых Пр.3-23'!E133+'[11]Уточнение Пр.9-23'!E133</f>
        <v>0</v>
      </c>
      <c r="F133" s="714">
        <f>'[11]Диспан.набл.взрослых Пр.3-23'!F133+'[11]Уточнение Пр.9-23'!F133</f>
        <v>0</v>
      </c>
      <c r="G133" s="714">
        <f>'[11]Диспан.набл.взрослых Пр.3-23'!G133+'[11]Уточнение Пр.9-23'!G133</f>
        <v>0</v>
      </c>
      <c r="H133" s="714">
        <f>'[11]Диспан.набл.взрослых Пр.3-23'!H133+'[11]Уточнение Пр.9-23'!H133</f>
        <v>0</v>
      </c>
      <c r="I133" s="714">
        <f>'[11]Диспан.набл.взрослых Пр.3-23'!I133+'[11]Уточнение Пр.9-23'!I133</f>
        <v>0</v>
      </c>
      <c r="J133" s="714">
        <f>'[11]Диспан.набл.взрослых Пр.3-23'!J133+'[11]Уточнение Пр.9-23'!J133</f>
        <v>0</v>
      </c>
      <c r="K133" s="714">
        <f>'[11]Диспан.набл.взрослых Пр.3-23'!K133+'[11]Уточнение Пр.9-23'!K133</f>
        <v>0</v>
      </c>
      <c r="L133" s="714">
        <f>'[11]Диспан.набл.взрослых Пр.3-23'!L133+'[11]Уточнение Пр.9-23'!L133</f>
        <v>0</v>
      </c>
      <c r="M133" s="714">
        <f>'[11]Диспан.набл.взрослых Пр.3-23'!M133+'[11]Уточнение Пр.9-23'!M133</f>
        <v>0</v>
      </c>
      <c r="N133" s="714">
        <f>'[11]Диспан.набл.взрослых Пр.3-23'!N133+'[11]Уточнение Пр.9-23'!N133</f>
        <v>0</v>
      </c>
      <c r="O133" s="714">
        <f>'[11]Диспан.набл.взрослых Пр.3-23'!O133+'[11]Уточнение Пр.9-23'!O133</f>
        <v>0</v>
      </c>
      <c r="P133" s="714">
        <f>'[11]Диспан.набл.взрослых Пр.3-23'!P133+'[11]Уточнение Пр.9-23'!P133</f>
        <v>0</v>
      </c>
      <c r="Q133" s="714">
        <f>'[11]Диспан.набл.взрослых Пр.3-23'!Q133+'[11]Уточнение Пр.9-23'!Q133</f>
        <v>0</v>
      </c>
      <c r="R133" s="714">
        <f>'[11]Диспан.набл.взрослых Пр.3-23'!R133+'[11]Уточнение Пр.9-23'!R133</f>
        <v>0</v>
      </c>
    </row>
    <row r="134" spans="1:18" x14ac:dyDescent="0.25">
      <c r="A134" s="711">
        <v>121</v>
      </c>
      <c r="B134" s="716" t="s">
        <v>254</v>
      </c>
      <c r="C134" s="653" t="s">
        <v>255</v>
      </c>
      <c r="D134" s="714">
        <f t="shared" si="2"/>
        <v>0</v>
      </c>
      <c r="E134" s="714">
        <f>'[11]Диспан.набл.взрослых Пр.3-23'!E134+'[11]Уточнение Пр.9-23'!E134</f>
        <v>0</v>
      </c>
      <c r="F134" s="714">
        <f>'[11]Диспан.набл.взрослых Пр.3-23'!F134+'[11]Уточнение Пр.9-23'!F134</f>
        <v>0</v>
      </c>
      <c r="G134" s="714">
        <f>'[11]Диспан.набл.взрослых Пр.3-23'!G134+'[11]Уточнение Пр.9-23'!G134</f>
        <v>0</v>
      </c>
      <c r="H134" s="714">
        <f>'[11]Диспан.набл.взрослых Пр.3-23'!H134+'[11]Уточнение Пр.9-23'!H134</f>
        <v>0</v>
      </c>
      <c r="I134" s="714">
        <f>'[11]Диспан.набл.взрослых Пр.3-23'!I134+'[11]Уточнение Пр.9-23'!I134</f>
        <v>0</v>
      </c>
      <c r="J134" s="714">
        <f>'[11]Диспан.набл.взрослых Пр.3-23'!J134+'[11]Уточнение Пр.9-23'!J134</f>
        <v>0</v>
      </c>
      <c r="K134" s="714">
        <f>'[11]Диспан.набл.взрослых Пр.3-23'!K134+'[11]Уточнение Пр.9-23'!K134</f>
        <v>0</v>
      </c>
      <c r="L134" s="714">
        <f>'[11]Диспан.набл.взрослых Пр.3-23'!L134+'[11]Уточнение Пр.9-23'!L134</f>
        <v>0</v>
      </c>
      <c r="M134" s="714">
        <f>'[11]Диспан.набл.взрослых Пр.3-23'!M134+'[11]Уточнение Пр.9-23'!M134</f>
        <v>0</v>
      </c>
      <c r="N134" s="714">
        <f>'[11]Диспан.набл.взрослых Пр.3-23'!N134+'[11]Уточнение Пр.9-23'!N134</f>
        <v>0</v>
      </c>
      <c r="O134" s="714">
        <f>'[11]Диспан.набл.взрослых Пр.3-23'!O134+'[11]Уточнение Пр.9-23'!O134</f>
        <v>0</v>
      </c>
      <c r="P134" s="714">
        <f>'[11]Диспан.набл.взрослых Пр.3-23'!P134+'[11]Уточнение Пр.9-23'!P134</f>
        <v>0</v>
      </c>
      <c r="Q134" s="714">
        <f>'[11]Диспан.набл.взрослых Пр.3-23'!Q134+'[11]Уточнение Пр.9-23'!Q134</f>
        <v>0</v>
      </c>
      <c r="R134" s="714">
        <f>'[11]Диспан.набл.взрослых Пр.3-23'!R134+'[11]Уточнение Пр.9-23'!R134</f>
        <v>0</v>
      </c>
    </row>
    <row r="135" spans="1:18" x14ac:dyDescent="0.25">
      <c r="A135" s="711">
        <v>122</v>
      </c>
      <c r="B135" s="716" t="s">
        <v>256</v>
      </c>
      <c r="C135" s="653" t="s">
        <v>257</v>
      </c>
      <c r="D135" s="714">
        <f t="shared" si="2"/>
        <v>0</v>
      </c>
      <c r="E135" s="714">
        <f>'[11]Диспан.набл.взрослых Пр.3-23'!E135+'[11]Уточнение Пр.9-23'!E135</f>
        <v>0</v>
      </c>
      <c r="F135" s="714">
        <f>'[11]Диспан.набл.взрослых Пр.3-23'!F135+'[11]Уточнение Пр.9-23'!F135</f>
        <v>0</v>
      </c>
      <c r="G135" s="714">
        <f>'[11]Диспан.набл.взрослых Пр.3-23'!G135+'[11]Уточнение Пр.9-23'!G135</f>
        <v>0</v>
      </c>
      <c r="H135" s="714">
        <f>'[11]Диспан.набл.взрослых Пр.3-23'!H135+'[11]Уточнение Пр.9-23'!H135</f>
        <v>0</v>
      </c>
      <c r="I135" s="714">
        <f>'[11]Диспан.набл.взрослых Пр.3-23'!I135+'[11]Уточнение Пр.9-23'!I135</f>
        <v>0</v>
      </c>
      <c r="J135" s="714">
        <f>'[11]Диспан.набл.взрослых Пр.3-23'!J135+'[11]Уточнение Пр.9-23'!J135</f>
        <v>0</v>
      </c>
      <c r="K135" s="714">
        <f>'[11]Диспан.набл.взрослых Пр.3-23'!K135+'[11]Уточнение Пр.9-23'!K135</f>
        <v>0</v>
      </c>
      <c r="L135" s="714">
        <f>'[11]Диспан.набл.взрослых Пр.3-23'!L135+'[11]Уточнение Пр.9-23'!L135</f>
        <v>0</v>
      </c>
      <c r="M135" s="714">
        <f>'[11]Диспан.набл.взрослых Пр.3-23'!M135+'[11]Уточнение Пр.9-23'!M135</f>
        <v>0</v>
      </c>
      <c r="N135" s="714">
        <f>'[11]Диспан.набл.взрослых Пр.3-23'!N135+'[11]Уточнение Пр.9-23'!N135</f>
        <v>0</v>
      </c>
      <c r="O135" s="714">
        <f>'[11]Диспан.набл.взрослых Пр.3-23'!O135+'[11]Уточнение Пр.9-23'!O135</f>
        <v>0</v>
      </c>
      <c r="P135" s="714">
        <f>'[11]Диспан.набл.взрослых Пр.3-23'!P135+'[11]Уточнение Пр.9-23'!P135</f>
        <v>0</v>
      </c>
      <c r="Q135" s="714">
        <f>'[11]Диспан.набл.взрослых Пр.3-23'!Q135+'[11]Уточнение Пр.9-23'!Q135</f>
        <v>0</v>
      </c>
      <c r="R135" s="714">
        <f>'[11]Диспан.набл.взрослых Пр.3-23'!R135+'[11]Уточнение Пр.9-23'!R135</f>
        <v>0</v>
      </c>
    </row>
    <row r="136" spans="1:18" x14ac:dyDescent="0.25">
      <c r="A136" s="711">
        <v>123</v>
      </c>
      <c r="B136" s="716" t="s">
        <v>258</v>
      </c>
      <c r="C136" s="653" t="s">
        <v>259</v>
      </c>
      <c r="D136" s="714">
        <f t="shared" si="2"/>
        <v>0</v>
      </c>
      <c r="E136" s="714">
        <f>'[11]Диспан.набл.взрослых Пр.3-23'!E136+'[11]Уточнение Пр.9-23'!E136</f>
        <v>0</v>
      </c>
      <c r="F136" s="714">
        <f>'[11]Диспан.набл.взрослых Пр.3-23'!F136+'[11]Уточнение Пр.9-23'!F136</f>
        <v>0</v>
      </c>
      <c r="G136" s="714">
        <f>'[11]Диспан.набл.взрослых Пр.3-23'!G136+'[11]Уточнение Пр.9-23'!G136</f>
        <v>0</v>
      </c>
      <c r="H136" s="714">
        <f>'[11]Диспан.набл.взрослых Пр.3-23'!H136+'[11]Уточнение Пр.9-23'!H136</f>
        <v>0</v>
      </c>
      <c r="I136" s="714">
        <f>'[11]Диспан.набл.взрослых Пр.3-23'!I136+'[11]Уточнение Пр.9-23'!I136</f>
        <v>0</v>
      </c>
      <c r="J136" s="714">
        <f>'[11]Диспан.набл.взрослых Пр.3-23'!J136+'[11]Уточнение Пр.9-23'!J136</f>
        <v>0</v>
      </c>
      <c r="K136" s="714">
        <f>'[11]Диспан.набл.взрослых Пр.3-23'!K136+'[11]Уточнение Пр.9-23'!K136</f>
        <v>0</v>
      </c>
      <c r="L136" s="714">
        <f>'[11]Диспан.набл.взрослых Пр.3-23'!L136+'[11]Уточнение Пр.9-23'!L136</f>
        <v>0</v>
      </c>
      <c r="M136" s="714">
        <f>'[11]Диспан.набл.взрослых Пр.3-23'!M136+'[11]Уточнение Пр.9-23'!M136</f>
        <v>0</v>
      </c>
      <c r="N136" s="714">
        <f>'[11]Диспан.набл.взрослых Пр.3-23'!N136+'[11]Уточнение Пр.9-23'!N136</f>
        <v>0</v>
      </c>
      <c r="O136" s="714">
        <f>'[11]Диспан.набл.взрослых Пр.3-23'!O136+'[11]Уточнение Пр.9-23'!O136</f>
        <v>0</v>
      </c>
      <c r="P136" s="714">
        <f>'[11]Диспан.набл.взрослых Пр.3-23'!P136+'[11]Уточнение Пр.9-23'!P136</f>
        <v>0</v>
      </c>
      <c r="Q136" s="714">
        <f>'[11]Диспан.набл.взрослых Пр.3-23'!Q136+'[11]Уточнение Пр.9-23'!Q136</f>
        <v>0</v>
      </c>
      <c r="R136" s="714">
        <f>'[11]Диспан.набл.взрослых Пр.3-23'!R136+'[11]Уточнение Пр.9-23'!R136</f>
        <v>0</v>
      </c>
    </row>
    <row r="137" spans="1:18" x14ac:dyDescent="0.25">
      <c r="A137" s="711">
        <v>124</v>
      </c>
      <c r="B137" s="716" t="s">
        <v>260</v>
      </c>
      <c r="C137" s="653" t="s">
        <v>261</v>
      </c>
      <c r="D137" s="714">
        <f t="shared" si="2"/>
        <v>0</v>
      </c>
      <c r="E137" s="714">
        <f>'[11]Диспан.набл.взрослых Пр.3-23'!E137+'[11]Уточнение Пр.9-23'!E137</f>
        <v>0</v>
      </c>
      <c r="F137" s="714">
        <f>'[11]Диспан.набл.взрослых Пр.3-23'!F137+'[11]Уточнение Пр.9-23'!F137</f>
        <v>0</v>
      </c>
      <c r="G137" s="714">
        <f>'[11]Диспан.набл.взрослых Пр.3-23'!G137+'[11]Уточнение Пр.9-23'!G137</f>
        <v>0</v>
      </c>
      <c r="H137" s="714">
        <f>'[11]Диспан.набл.взрослых Пр.3-23'!H137+'[11]Уточнение Пр.9-23'!H137</f>
        <v>0</v>
      </c>
      <c r="I137" s="714">
        <f>'[11]Диспан.набл.взрослых Пр.3-23'!I137+'[11]Уточнение Пр.9-23'!I137</f>
        <v>0</v>
      </c>
      <c r="J137" s="714">
        <f>'[11]Диспан.набл.взрослых Пр.3-23'!J137+'[11]Уточнение Пр.9-23'!J137</f>
        <v>0</v>
      </c>
      <c r="K137" s="714">
        <f>'[11]Диспан.набл.взрослых Пр.3-23'!K137+'[11]Уточнение Пр.9-23'!K137</f>
        <v>0</v>
      </c>
      <c r="L137" s="714">
        <f>'[11]Диспан.набл.взрослых Пр.3-23'!L137+'[11]Уточнение Пр.9-23'!L137</f>
        <v>0</v>
      </c>
      <c r="M137" s="714">
        <f>'[11]Диспан.набл.взрослых Пр.3-23'!M137+'[11]Уточнение Пр.9-23'!M137</f>
        <v>0</v>
      </c>
      <c r="N137" s="714">
        <f>'[11]Диспан.набл.взрослых Пр.3-23'!N137+'[11]Уточнение Пр.9-23'!N137</f>
        <v>0</v>
      </c>
      <c r="O137" s="714">
        <f>'[11]Диспан.набл.взрослых Пр.3-23'!O137+'[11]Уточнение Пр.9-23'!O137</f>
        <v>0</v>
      </c>
      <c r="P137" s="714">
        <f>'[11]Диспан.набл.взрослых Пр.3-23'!P137+'[11]Уточнение Пр.9-23'!P137</f>
        <v>0</v>
      </c>
      <c r="Q137" s="714">
        <f>'[11]Диспан.набл.взрослых Пр.3-23'!Q137+'[11]Уточнение Пр.9-23'!Q137</f>
        <v>0</v>
      </c>
      <c r="R137" s="714">
        <f>'[11]Диспан.набл.взрослых Пр.3-23'!R137+'[11]Уточнение Пр.9-23'!R137</f>
        <v>0</v>
      </c>
    </row>
    <row r="138" spans="1:18" x14ac:dyDescent="0.25">
      <c r="A138" s="711">
        <v>125</v>
      </c>
      <c r="B138" s="716" t="s">
        <v>262</v>
      </c>
      <c r="C138" s="653" t="s">
        <v>263</v>
      </c>
      <c r="D138" s="714">
        <f t="shared" si="2"/>
        <v>0</v>
      </c>
      <c r="E138" s="714">
        <f>'[11]Диспан.набл.взрослых Пр.3-23'!E138+'[11]Уточнение Пр.9-23'!E138</f>
        <v>0</v>
      </c>
      <c r="F138" s="714">
        <f>'[11]Диспан.набл.взрослых Пр.3-23'!F138+'[11]Уточнение Пр.9-23'!F138</f>
        <v>0</v>
      </c>
      <c r="G138" s="714">
        <f>'[11]Диспан.набл.взрослых Пр.3-23'!G138+'[11]Уточнение Пр.9-23'!G138</f>
        <v>0</v>
      </c>
      <c r="H138" s="714">
        <f>'[11]Диспан.набл.взрослых Пр.3-23'!H138+'[11]Уточнение Пр.9-23'!H138</f>
        <v>0</v>
      </c>
      <c r="I138" s="714">
        <f>'[11]Диспан.набл.взрослых Пр.3-23'!I138+'[11]Уточнение Пр.9-23'!I138</f>
        <v>0</v>
      </c>
      <c r="J138" s="714">
        <f>'[11]Диспан.набл.взрослых Пр.3-23'!J138+'[11]Уточнение Пр.9-23'!J138</f>
        <v>0</v>
      </c>
      <c r="K138" s="714">
        <f>'[11]Диспан.набл.взрослых Пр.3-23'!K138+'[11]Уточнение Пр.9-23'!K138</f>
        <v>0</v>
      </c>
      <c r="L138" s="714">
        <f>'[11]Диспан.набл.взрослых Пр.3-23'!L138+'[11]Уточнение Пр.9-23'!L138</f>
        <v>0</v>
      </c>
      <c r="M138" s="714">
        <f>'[11]Диспан.набл.взрослых Пр.3-23'!M138+'[11]Уточнение Пр.9-23'!M138</f>
        <v>0</v>
      </c>
      <c r="N138" s="714">
        <f>'[11]Диспан.набл.взрослых Пр.3-23'!N138+'[11]Уточнение Пр.9-23'!N138</f>
        <v>0</v>
      </c>
      <c r="O138" s="714">
        <f>'[11]Диспан.набл.взрослых Пр.3-23'!O138+'[11]Уточнение Пр.9-23'!O138</f>
        <v>0</v>
      </c>
      <c r="P138" s="714">
        <f>'[11]Диспан.набл.взрослых Пр.3-23'!P138+'[11]Уточнение Пр.9-23'!P138</f>
        <v>0</v>
      </c>
      <c r="Q138" s="714">
        <f>'[11]Диспан.набл.взрослых Пр.3-23'!Q138+'[11]Уточнение Пр.9-23'!Q138</f>
        <v>0</v>
      </c>
      <c r="R138" s="714">
        <f>'[11]Диспан.набл.взрослых Пр.3-23'!R138+'[11]Уточнение Пр.9-23'!R138</f>
        <v>0</v>
      </c>
    </row>
    <row r="139" spans="1:18" x14ac:dyDescent="0.25">
      <c r="A139" s="711">
        <v>126</v>
      </c>
      <c r="B139" s="712" t="s">
        <v>264</v>
      </c>
      <c r="C139" s="713" t="s">
        <v>265</v>
      </c>
      <c r="D139" s="714">
        <f t="shared" si="2"/>
        <v>0</v>
      </c>
      <c r="E139" s="714">
        <f>'[11]Диспан.набл.взрослых Пр.3-23'!E139+'[11]Уточнение Пр.9-23'!E139</f>
        <v>0</v>
      </c>
      <c r="F139" s="714">
        <f>'[11]Диспан.набл.взрослых Пр.3-23'!F139+'[11]Уточнение Пр.9-23'!F139</f>
        <v>0</v>
      </c>
      <c r="G139" s="714">
        <f>'[11]Диспан.набл.взрослых Пр.3-23'!G139+'[11]Уточнение Пр.9-23'!G139</f>
        <v>0</v>
      </c>
      <c r="H139" s="714">
        <f>'[11]Диспан.набл.взрослых Пр.3-23'!H139+'[11]Уточнение Пр.9-23'!H139</f>
        <v>0</v>
      </c>
      <c r="I139" s="714">
        <f>'[11]Диспан.набл.взрослых Пр.3-23'!I139+'[11]Уточнение Пр.9-23'!I139</f>
        <v>0</v>
      </c>
      <c r="J139" s="714">
        <f>'[11]Диспан.набл.взрослых Пр.3-23'!J139+'[11]Уточнение Пр.9-23'!J139</f>
        <v>0</v>
      </c>
      <c r="K139" s="714">
        <f>'[11]Диспан.набл.взрослых Пр.3-23'!K139+'[11]Уточнение Пр.9-23'!K139</f>
        <v>0</v>
      </c>
      <c r="L139" s="714">
        <f>'[11]Диспан.набл.взрослых Пр.3-23'!L139+'[11]Уточнение Пр.9-23'!L139</f>
        <v>0</v>
      </c>
      <c r="M139" s="714">
        <f>'[11]Диспан.набл.взрослых Пр.3-23'!M139+'[11]Уточнение Пр.9-23'!M139</f>
        <v>0</v>
      </c>
      <c r="N139" s="714">
        <f>'[11]Диспан.набл.взрослых Пр.3-23'!N139+'[11]Уточнение Пр.9-23'!N139</f>
        <v>0</v>
      </c>
      <c r="O139" s="714">
        <f>'[11]Диспан.набл.взрослых Пр.3-23'!O139+'[11]Уточнение Пр.9-23'!O139</f>
        <v>0</v>
      </c>
      <c r="P139" s="714">
        <f>'[11]Диспан.набл.взрослых Пр.3-23'!P139+'[11]Уточнение Пр.9-23'!P139</f>
        <v>0</v>
      </c>
      <c r="Q139" s="714">
        <f>'[11]Диспан.набл.взрослых Пр.3-23'!Q139+'[11]Уточнение Пр.9-23'!Q139</f>
        <v>0</v>
      </c>
      <c r="R139" s="714">
        <f>'[11]Диспан.набл.взрослых Пр.3-23'!R139+'[11]Уточнение Пр.9-23'!R139</f>
        <v>0</v>
      </c>
    </row>
    <row r="140" spans="1:18" x14ac:dyDescent="0.25">
      <c r="A140" s="711">
        <v>127</v>
      </c>
      <c r="B140" s="712" t="s">
        <v>266</v>
      </c>
      <c r="C140" s="653" t="s">
        <v>267</v>
      </c>
      <c r="D140" s="714">
        <f t="shared" si="2"/>
        <v>0</v>
      </c>
      <c r="E140" s="714">
        <f>'[11]Диспан.набл.взрослых Пр.3-23'!E140+'[11]Уточнение Пр.9-23'!E140</f>
        <v>0</v>
      </c>
      <c r="F140" s="714">
        <f>'[11]Диспан.набл.взрослых Пр.3-23'!F140+'[11]Уточнение Пр.9-23'!F140</f>
        <v>0</v>
      </c>
      <c r="G140" s="714">
        <f>'[11]Диспан.набл.взрослых Пр.3-23'!G140+'[11]Уточнение Пр.9-23'!G140</f>
        <v>0</v>
      </c>
      <c r="H140" s="714">
        <f>'[11]Диспан.набл.взрослых Пр.3-23'!H140+'[11]Уточнение Пр.9-23'!H140</f>
        <v>0</v>
      </c>
      <c r="I140" s="714">
        <f>'[11]Диспан.набл.взрослых Пр.3-23'!I140+'[11]Уточнение Пр.9-23'!I140</f>
        <v>0</v>
      </c>
      <c r="J140" s="714">
        <f>'[11]Диспан.набл.взрослых Пр.3-23'!J140+'[11]Уточнение Пр.9-23'!J140</f>
        <v>0</v>
      </c>
      <c r="K140" s="714">
        <f>'[11]Диспан.набл.взрослых Пр.3-23'!K140+'[11]Уточнение Пр.9-23'!K140</f>
        <v>0</v>
      </c>
      <c r="L140" s="714">
        <f>'[11]Диспан.набл.взрослых Пр.3-23'!L140+'[11]Уточнение Пр.9-23'!L140</f>
        <v>0</v>
      </c>
      <c r="M140" s="714">
        <f>'[11]Диспан.набл.взрослых Пр.3-23'!M140+'[11]Уточнение Пр.9-23'!M140</f>
        <v>0</v>
      </c>
      <c r="N140" s="714">
        <f>'[11]Диспан.набл.взрослых Пр.3-23'!N140+'[11]Уточнение Пр.9-23'!N140</f>
        <v>0</v>
      </c>
      <c r="O140" s="714">
        <f>'[11]Диспан.набл.взрослых Пр.3-23'!O140+'[11]Уточнение Пр.9-23'!O140</f>
        <v>0</v>
      </c>
      <c r="P140" s="714">
        <f>'[11]Диспан.набл.взрослых Пр.3-23'!P140+'[11]Уточнение Пр.9-23'!P140</f>
        <v>0</v>
      </c>
      <c r="Q140" s="714">
        <f>'[11]Диспан.набл.взрослых Пр.3-23'!Q140+'[11]Уточнение Пр.9-23'!Q140</f>
        <v>0</v>
      </c>
      <c r="R140" s="714">
        <f>'[11]Диспан.набл.взрослых Пр.3-23'!R140+'[11]Уточнение Пр.9-23'!R140</f>
        <v>0</v>
      </c>
    </row>
    <row r="141" spans="1:18" x14ac:dyDescent="0.25">
      <c r="A141" s="711">
        <v>128</v>
      </c>
      <c r="B141" s="717" t="s">
        <v>268</v>
      </c>
      <c r="C141" s="1" t="s">
        <v>269</v>
      </c>
      <c r="D141" s="714">
        <f t="shared" ref="D141:D153" si="3">SUM(E141:R141)</f>
        <v>0</v>
      </c>
      <c r="E141" s="714">
        <f>'[11]Диспан.набл.взрослых Пр.3-23'!E141+'[11]Уточнение Пр.9-23'!E141</f>
        <v>0</v>
      </c>
      <c r="F141" s="714">
        <f>'[11]Диспан.набл.взрослых Пр.3-23'!F141+'[11]Уточнение Пр.9-23'!F141</f>
        <v>0</v>
      </c>
      <c r="G141" s="714">
        <f>'[11]Диспан.набл.взрослых Пр.3-23'!G141+'[11]Уточнение Пр.9-23'!G141</f>
        <v>0</v>
      </c>
      <c r="H141" s="714">
        <f>'[11]Диспан.набл.взрослых Пр.3-23'!H141+'[11]Уточнение Пр.9-23'!H141</f>
        <v>0</v>
      </c>
      <c r="I141" s="714">
        <f>'[11]Диспан.набл.взрослых Пр.3-23'!I141+'[11]Уточнение Пр.9-23'!I141</f>
        <v>0</v>
      </c>
      <c r="J141" s="714">
        <f>'[11]Диспан.набл.взрослых Пр.3-23'!J141+'[11]Уточнение Пр.9-23'!J141</f>
        <v>0</v>
      </c>
      <c r="K141" s="714">
        <f>'[11]Диспан.набл.взрослых Пр.3-23'!K141+'[11]Уточнение Пр.9-23'!K141</f>
        <v>0</v>
      </c>
      <c r="L141" s="714">
        <f>'[11]Диспан.набл.взрослых Пр.3-23'!L141+'[11]Уточнение Пр.9-23'!L141</f>
        <v>0</v>
      </c>
      <c r="M141" s="714">
        <f>'[11]Диспан.набл.взрослых Пр.3-23'!M141+'[11]Уточнение Пр.9-23'!M141</f>
        <v>0</v>
      </c>
      <c r="N141" s="714">
        <f>'[11]Диспан.набл.взрослых Пр.3-23'!N141+'[11]Уточнение Пр.9-23'!N141</f>
        <v>0</v>
      </c>
      <c r="O141" s="714">
        <f>'[11]Диспан.набл.взрослых Пр.3-23'!O141+'[11]Уточнение Пр.9-23'!O141</f>
        <v>0</v>
      </c>
      <c r="P141" s="714">
        <f>'[11]Диспан.набл.взрослых Пр.3-23'!P141+'[11]Уточнение Пр.9-23'!P141</f>
        <v>0</v>
      </c>
      <c r="Q141" s="714">
        <f>'[11]Диспан.набл.взрослых Пр.3-23'!Q141+'[11]Уточнение Пр.9-23'!Q141</f>
        <v>0</v>
      </c>
      <c r="R141" s="714">
        <f>'[11]Диспан.набл.взрослых Пр.3-23'!R141+'[11]Уточнение Пр.9-23'!R141</f>
        <v>0</v>
      </c>
    </row>
    <row r="142" spans="1:18" x14ac:dyDescent="0.25">
      <c r="A142" s="711">
        <v>129</v>
      </c>
      <c r="B142" s="716" t="s">
        <v>270</v>
      </c>
      <c r="C142" s="653" t="s">
        <v>271</v>
      </c>
      <c r="D142" s="714">
        <f t="shared" si="3"/>
        <v>0</v>
      </c>
      <c r="E142" s="714">
        <f>'[11]Диспан.набл.взрослых Пр.3-23'!E142+'[11]Уточнение Пр.9-23'!E142</f>
        <v>0</v>
      </c>
      <c r="F142" s="714">
        <f>'[11]Диспан.набл.взрослых Пр.3-23'!F142+'[11]Уточнение Пр.9-23'!F142</f>
        <v>0</v>
      </c>
      <c r="G142" s="714">
        <f>'[11]Диспан.набл.взрослых Пр.3-23'!G142+'[11]Уточнение Пр.9-23'!G142</f>
        <v>0</v>
      </c>
      <c r="H142" s="714">
        <f>'[11]Диспан.набл.взрослых Пр.3-23'!H142+'[11]Уточнение Пр.9-23'!H142</f>
        <v>0</v>
      </c>
      <c r="I142" s="714">
        <f>'[11]Диспан.набл.взрослых Пр.3-23'!I142+'[11]Уточнение Пр.9-23'!I142</f>
        <v>0</v>
      </c>
      <c r="J142" s="714">
        <f>'[11]Диспан.набл.взрослых Пр.3-23'!J142+'[11]Уточнение Пр.9-23'!J142</f>
        <v>0</v>
      </c>
      <c r="K142" s="714">
        <f>'[11]Диспан.набл.взрослых Пр.3-23'!K142+'[11]Уточнение Пр.9-23'!K142</f>
        <v>0</v>
      </c>
      <c r="L142" s="714">
        <f>'[11]Диспан.набл.взрослых Пр.3-23'!L142+'[11]Уточнение Пр.9-23'!L142</f>
        <v>0</v>
      </c>
      <c r="M142" s="714">
        <f>'[11]Диспан.набл.взрослых Пр.3-23'!M142+'[11]Уточнение Пр.9-23'!M142</f>
        <v>0</v>
      </c>
      <c r="N142" s="714">
        <f>'[11]Диспан.набл.взрослых Пр.3-23'!N142+'[11]Уточнение Пр.9-23'!N142</f>
        <v>0</v>
      </c>
      <c r="O142" s="714">
        <f>'[11]Диспан.набл.взрослых Пр.3-23'!O142+'[11]Уточнение Пр.9-23'!O142</f>
        <v>0</v>
      </c>
      <c r="P142" s="714">
        <f>'[11]Диспан.набл.взрослых Пр.3-23'!P142+'[11]Уточнение Пр.9-23'!P142</f>
        <v>0</v>
      </c>
      <c r="Q142" s="714">
        <f>'[11]Диспан.набл.взрослых Пр.3-23'!Q142+'[11]Уточнение Пр.9-23'!Q142</f>
        <v>0</v>
      </c>
      <c r="R142" s="714">
        <f>'[11]Диспан.набл.взрослых Пр.3-23'!R142+'[11]Уточнение Пр.9-23'!R142</f>
        <v>0</v>
      </c>
    </row>
    <row r="143" spans="1:18" x14ac:dyDescent="0.25">
      <c r="A143" s="711">
        <v>130</v>
      </c>
      <c r="B143" s="716" t="s">
        <v>272</v>
      </c>
      <c r="C143" s="653" t="s">
        <v>273</v>
      </c>
      <c r="D143" s="714">
        <f t="shared" si="3"/>
        <v>0</v>
      </c>
      <c r="E143" s="714">
        <f>'[11]Диспан.набл.взрослых Пр.3-23'!E143+'[11]Уточнение Пр.9-23'!E143</f>
        <v>0</v>
      </c>
      <c r="F143" s="714">
        <f>'[11]Диспан.набл.взрослых Пр.3-23'!F143+'[11]Уточнение Пр.9-23'!F143</f>
        <v>0</v>
      </c>
      <c r="G143" s="714">
        <f>'[11]Диспан.набл.взрослых Пр.3-23'!G143+'[11]Уточнение Пр.9-23'!G143</f>
        <v>0</v>
      </c>
      <c r="H143" s="714">
        <f>'[11]Диспан.набл.взрослых Пр.3-23'!H143+'[11]Уточнение Пр.9-23'!H143</f>
        <v>0</v>
      </c>
      <c r="I143" s="714">
        <f>'[11]Диспан.набл.взрослых Пр.3-23'!I143+'[11]Уточнение Пр.9-23'!I143</f>
        <v>0</v>
      </c>
      <c r="J143" s="714">
        <f>'[11]Диспан.набл.взрослых Пр.3-23'!J143+'[11]Уточнение Пр.9-23'!J143</f>
        <v>0</v>
      </c>
      <c r="K143" s="714">
        <f>'[11]Диспан.набл.взрослых Пр.3-23'!K143+'[11]Уточнение Пр.9-23'!K143</f>
        <v>0</v>
      </c>
      <c r="L143" s="714">
        <f>'[11]Диспан.набл.взрослых Пр.3-23'!L143+'[11]Уточнение Пр.9-23'!L143</f>
        <v>0</v>
      </c>
      <c r="M143" s="714">
        <f>'[11]Диспан.набл.взрослых Пр.3-23'!M143+'[11]Уточнение Пр.9-23'!M143</f>
        <v>0</v>
      </c>
      <c r="N143" s="714">
        <f>'[11]Диспан.набл.взрослых Пр.3-23'!N143+'[11]Уточнение Пр.9-23'!N143</f>
        <v>0</v>
      </c>
      <c r="O143" s="714">
        <f>'[11]Диспан.набл.взрослых Пр.3-23'!O143+'[11]Уточнение Пр.9-23'!O143</f>
        <v>0</v>
      </c>
      <c r="P143" s="714">
        <f>'[11]Диспан.набл.взрослых Пр.3-23'!P143+'[11]Уточнение Пр.9-23'!P143</f>
        <v>0</v>
      </c>
      <c r="Q143" s="714">
        <f>'[11]Диспан.набл.взрослых Пр.3-23'!Q143+'[11]Уточнение Пр.9-23'!Q143</f>
        <v>0</v>
      </c>
      <c r="R143" s="714">
        <f>'[11]Диспан.набл.взрослых Пр.3-23'!R143+'[11]Уточнение Пр.9-23'!R143</f>
        <v>0</v>
      </c>
    </row>
    <row r="144" spans="1:18" x14ac:dyDescent="0.25">
      <c r="A144" s="711">
        <v>131</v>
      </c>
      <c r="B144" s="716" t="s">
        <v>274</v>
      </c>
      <c r="C144" s="653" t="s">
        <v>275</v>
      </c>
      <c r="D144" s="714">
        <f t="shared" si="3"/>
        <v>0</v>
      </c>
      <c r="E144" s="714">
        <f>'[11]Диспан.набл.взрослых Пр.3-23'!E144+'[11]Уточнение Пр.9-23'!E144</f>
        <v>0</v>
      </c>
      <c r="F144" s="714">
        <f>'[11]Диспан.набл.взрослых Пр.3-23'!F144+'[11]Уточнение Пр.9-23'!F144</f>
        <v>0</v>
      </c>
      <c r="G144" s="714">
        <f>'[11]Диспан.набл.взрослых Пр.3-23'!G144+'[11]Уточнение Пр.9-23'!G144</f>
        <v>0</v>
      </c>
      <c r="H144" s="714">
        <f>'[11]Диспан.набл.взрослых Пр.3-23'!H144+'[11]Уточнение Пр.9-23'!H144</f>
        <v>0</v>
      </c>
      <c r="I144" s="714">
        <f>'[11]Диспан.набл.взрослых Пр.3-23'!I144+'[11]Уточнение Пр.9-23'!I144</f>
        <v>0</v>
      </c>
      <c r="J144" s="714">
        <f>'[11]Диспан.набл.взрослых Пр.3-23'!J144+'[11]Уточнение Пр.9-23'!J144</f>
        <v>0</v>
      </c>
      <c r="K144" s="714">
        <f>'[11]Диспан.набл.взрослых Пр.3-23'!K144+'[11]Уточнение Пр.9-23'!K144</f>
        <v>0</v>
      </c>
      <c r="L144" s="714">
        <f>'[11]Диспан.набл.взрослых Пр.3-23'!L144+'[11]Уточнение Пр.9-23'!L144</f>
        <v>0</v>
      </c>
      <c r="M144" s="714">
        <f>'[11]Диспан.набл.взрослых Пр.3-23'!M144+'[11]Уточнение Пр.9-23'!M144</f>
        <v>0</v>
      </c>
      <c r="N144" s="714">
        <f>'[11]Диспан.набл.взрослых Пр.3-23'!N144+'[11]Уточнение Пр.9-23'!N144</f>
        <v>0</v>
      </c>
      <c r="O144" s="714">
        <f>'[11]Диспан.набл.взрослых Пр.3-23'!O144+'[11]Уточнение Пр.9-23'!O144</f>
        <v>0</v>
      </c>
      <c r="P144" s="714">
        <f>'[11]Диспан.набл.взрослых Пр.3-23'!P144+'[11]Уточнение Пр.9-23'!P144</f>
        <v>0</v>
      </c>
      <c r="Q144" s="714">
        <f>'[11]Диспан.набл.взрослых Пр.3-23'!Q144+'[11]Уточнение Пр.9-23'!Q144</f>
        <v>0</v>
      </c>
      <c r="R144" s="714">
        <f>'[11]Диспан.набл.взрослых Пр.3-23'!R144+'[11]Уточнение Пр.9-23'!R144</f>
        <v>0</v>
      </c>
    </row>
    <row r="145" spans="1:18" x14ac:dyDescent="0.25">
      <c r="A145" s="711">
        <v>132</v>
      </c>
      <c r="B145" s="717" t="s">
        <v>276</v>
      </c>
      <c r="C145" s="1" t="s">
        <v>277</v>
      </c>
      <c r="D145" s="714">
        <f t="shared" si="3"/>
        <v>20130</v>
      </c>
      <c r="E145" s="714">
        <f>'[11]Диспан.набл.взрослых Пр.3-23'!E145+'[11]Уточнение Пр.9-23'!E145</f>
        <v>15756</v>
      </c>
      <c r="F145" s="714">
        <f>'[11]Диспан.набл.взрослых Пр.3-23'!F145+'[11]Уточнение Пр.9-23'!F145</f>
        <v>3685</v>
      </c>
      <c r="G145" s="714">
        <f>'[11]Диспан.набл.взрослых Пр.3-23'!G145+'[11]Уточнение Пр.9-23'!G145</f>
        <v>376</v>
      </c>
      <c r="H145" s="714">
        <f>'[11]Диспан.набл.взрослых Пр.3-23'!H145+'[11]Уточнение Пр.9-23'!H145</f>
        <v>75</v>
      </c>
      <c r="I145" s="714">
        <f>'[11]Диспан.набл.взрослых Пр.3-23'!I145+'[11]Уточнение Пр.9-23'!I145</f>
        <v>0</v>
      </c>
      <c r="J145" s="714">
        <f>'[11]Диспан.набл.взрослых Пр.3-23'!J145+'[11]Уточнение Пр.9-23'!J145</f>
        <v>0</v>
      </c>
      <c r="K145" s="714">
        <f>'[11]Диспан.набл.взрослых Пр.3-23'!K145+'[11]Уточнение Пр.9-23'!K145</f>
        <v>13</v>
      </c>
      <c r="L145" s="714">
        <f>'[11]Диспан.набл.взрослых Пр.3-23'!L145+'[11]Уточнение Пр.9-23'!L145</f>
        <v>0</v>
      </c>
      <c r="M145" s="714">
        <f>'[11]Диспан.набл.взрослых Пр.3-23'!M145+'[11]Уточнение Пр.9-23'!M145</f>
        <v>11</v>
      </c>
      <c r="N145" s="714">
        <f>'[11]Диспан.набл.взрослых Пр.3-23'!N145+'[11]Уточнение Пр.9-23'!N145</f>
        <v>138</v>
      </c>
      <c r="O145" s="714">
        <f>'[11]Диспан.набл.взрослых Пр.3-23'!O145+'[11]Уточнение Пр.9-23'!O145</f>
        <v>0</v>
      </c>
      <c r="P145" s="714">
        <f>'[11]Диспан.набл.взрослых Пр.3-23'!P145+'[11]Уточнение Пр.9-23'!P145</f>
        <v>51</v>
      </c>
      <c r="Q145" s="714">
        <f>'[11]Диспан.набл.взрослых Пр.3-23'!Q145+'[11]Уточнение Пр.9-23'!Q145</f>
        <v>0</v>
      </c>
      <c r="R145" s="714">
        <f>'[11]Диспан.набл.взрослых Пр.3-23'!R145+'[11]Уточнение Пр.9-23'!R145</f>
        <v>25</v>
      </c>
    </row>
    <row r="146" spans="1:18" x14ac:dyDescent="0.25">
      <c r="A146" s="711">
        <v>133</v>
      </c>
      <c r="B146" s="715" t="s">
        <v>278</v>
      </c>
      <c r="C146" s="1" t="s">
        <v>279</v>
      </c>
      <c r="D146" s="714">
        <f t="shared" si="3"/>
        <v>26910</v>
      </c>
      <c r="E146" s="714">
        <f>'[11]Диспан.набл.взрослых Пр.3-23'!E146+'[11]Уточнение Пр.9-23'!E146</f>
        <v>22648</v>
      </c>
      <c r="F146" s="714">
        <f>'[11]Диспан.набл.взрослых Пр.3-23'!F146+'[11]Уточнение Пр.9-23'!F146</f>
        <v>3046</v>
      </c>
      <c r="G146" s="714">
        <f>'[11]Диспан.набл.взрослых Пр.3-23'!G146+'[11]Уточнение Пр.9-23'!G146</f>
        <v>706</v>
      </c>
      <c r="H146" s="714">
        <f>'[11]Диспан.набл.взрослых Пр.3-23'!H146+'[11]Уточнение Пр.9-23'!H146</f>
        <v>188</v>
      </c>
      <c r="I146" s="714">
        <f>'[11]Диспан.набл.взрослых Пр.3-23'!I146+'[11]Уточнение Пр.9-23'!I146</f>
        <v>0</v>
      </c>
      <c r="J146" s="714">
        <f>'[11]Диспан.набл.взрослых Пр.3-23'!J146+'[11]Уточнение Пр.9-23'!J146</f>
        <v>0</v>
      </c>
      <c r="K146" s="714">
        <f>'[11]Диспан.набл.взрослых Пр.3-23'!K146+'[11]Уточнение Пр.9-23'!K146</f>
        <v>0</v>
      </c>
      <c r="L146" s="714">
        <f>'[11]Диспан.набл.взрослых Пр.3-23'!L146+'[11]Уточнение Пр.9-23'!L146</f>
        <v>4</v>
      </c>
      <c r="M146" s="714">
        <f>'[11]Диспан.набл.взрослых Пр.3-23'!M146+'[11]Уточнение Пр.9-23'!M146</f>
        <v>13</v>
      </c>
      <c r="N146" s="714">
        <f>'[11]Диспан.набл.взрослых Пр.3-23'!N146+'[11]Уточнение Пр.9-23'!N146</f>
        <v>0</v>
      </c>
      <c r="O146" s="714">
        <f>'[11]Диспан.набл.взрослых Пр.3-23'!O146+'[11]Уточнение Пр.9-23'!O146</f>
        <v>2</v>
      </c>
      <c r="P146" s="714">
        <f>'[11]Диспан.набл.взрослых Пр.3-23'!P146+'[11]Уточнение Пр.9-23'!P146</f>
        <v>0</v>
      </c>
      <c r="Q146" s="714">
        <f>'[11]Диспан.набл.взрослых Пр.3-23'!Q146+'[11]Уточнение Пр.9-23'!Q146</f>
        <v>266</v>
      </c>
      <c r="R146" s="714">
        <f>'[11]Диспан.набл.взрослых Пр.3-23'!R146+'[11]Уточнение Пр.9-23'!R146</f>
        <v>37</v>
      </c>
    </row>
    <row r="147" spans="1:18" x14ac:dyDescent="0.25">
      <c r="A147" s="711">
        <v>134</v>
      </c>
      <c r="B147" s="716" t="s">
        <v>280</v>
      </c>
      <c r="C147" s="653" t="s">
        <v>281</v>
      </c>
      <c r="D147" s="714">
        <f t="shared" si="3"/>
        <v>0</v>
      </c>
      <c r="E147" s="714">
        <f>'[11]Диспан.набл.взрослых Пр.3-23'!E147+'[11]Уточнение Пр.9-23'!E147</f>
        <v>0</v>
      </c>
      <c r="F147" s="714">
        <f>'[11]Диспан.набл.взрослых Пр.3-23'!F147+'[11]Уточнение Пр.9-23'!F147</f>
        <v>0</v>
      </c>
      <c r="G147" s="714">
        <f>'[11]Диспан.набл.взрослых Пр.3-23'!G147+'[11]Уточнение Пр.9-23'!G147</f>
        <v>0</v>
      </c>
      <c r="H147" s="714">
        <f>'[11]Диспан.набл.взрослых Пр.3-23'!H147+'[11]Уточнение Пр.9-23'!H147</f>
        <v>0</v>
      </c>
      <c r="I147" s="714">
        <f>'[11]Диспан.набл.взрослых Пр.3-23'!I147+'[11]Уточнение Пр.9-23'!I147</f>
        <v>0</v>
      </c>
      <c r="J147" s="714">
        <f>'[11]Диспан.набл.взрослых Пр.3-23'!J147+'[11]Уточнение Пр.9-23'!J147</f>
        <v>0</v>
      </c>
      <c r="K147" s="714">
        <f>'[11]Диспан.набл.взрослых Пр.3-23'!K147+'[11]Уточнение Пр.9-23'!K147</f>
        <v>0</v>
      </c>
      <c r="L147" s="714">
        <f>'[11]Диспан.набл.взрослых Пр.3-23'!L147+'[11]Уточнение Пр.9-23'!L147</f>
        <v>0</v>
      </c>
      <c r="M147" s="714">
        <f>'[11]Диспан.набл.взрослых Пр.3-23'!M147+'[11]Уточнение Пр.9-23'!M147</f>
        <v>0</v>
      </c>
      <c r="N147" s="714">
        <f>'[11]Диспан.набл.взрослых Пр.3-23'!N147+'[11]Уточнение Пр.9-23'!N147</f>
        <v>0</v>
      </c>
      <c r="O147" s="714">
        <f>'[11]Диспан.набл.взрослых Пр.3-23'!O147+'[11]Уточнение Пр.9-23'!O147</f>
        <v>0</v>
      </c>
      <c r="P147" s="714">
        <f>'[11]Диспан.набл.взрослых Пр.3-23'!P147+'[11]Уточнение Пр.9-23'!P147</f>
        <v>0</v>
      </c>
      <c r="Q147" s="714">
        <f>'[11]Диспан.набл.взрослых Пр.3-23'!Q147+'[11]Уточнение Пр.9-23'!Q147</f>
        <v>0</v>
      </c>
      <c r="R147" s="714">
        <f>'[11]Диспан.набл.взрослых Пр.3-23'!R147+'[11]Уточнение Пр.9-23'!R147</f>
        <v>0</v>
      </c>
    </row>
    <row r="148" spans="1:18" x14ac:dyDescent="0.25">
      <c r="A148" s="711">
        <v>135</v>
      </c>
      <c r="B148" s="712" t="s">
        <v>282</v>
      </c>
      <c r="C148" s="713" t="s">
        <v>283</v>
      </c>
      <c r="D148" s="714">
        <f t="shared" si="3"/>
        <v>0</v>
      </c>
      <c r="E148" s="714">
        <f>'[11]Диспан.набл.взрослых Пр.3-23'!E148+'[11]Уточнение Пр.9-23'!E148</f>
        <v>0</v>
      </c>
      <c r="F148" s="714">
        <f>'[11]Диспан.набл.взрослых Пр.3-23'!F148+'[11]Уточнение Пр.9-23'!F148</f>
        <v>0</v>
      </c>
      <c r="G148" s="714">
        <f>'[11]Диспан.набл.взрослых Пр.3-23'!G148+'[11]Уточнение Пр.9-23'!G148</f>
        <v>0</v>
      </c>
      <c r="H148" s="714">
        <f>'[11]Диспан.набл.взрослых Пр.3-23'!H148+'[11]Уточнение Пр.9-23'!H148</f>
        <v>0</v>
      </c>
      <c r="I148" s="714">
        <f>'[11]Диспан.набл.взрослых Пр.3-23'!I148+'[11]Уточнение Пр.9-23'!I148</f>
        <v>0</v>
      </c>
      <c r="J148" s="714">
        <f>'[11]Диспан.набл.взрослых Пр.3-23'!J148+'[11]Уточнение Пр.9-23'!J148</f>
        <v>0</v>
      </c>
      <c r="K148" s="714">
        <f>'[11]Диспан.набл.взрослых Пр.3-23'!K148+'[11]Уточнение Пр.9-23'!K148</f>
        <v>0</v>
      </c>
      <c r="L148" s="714">
        <f>'[11]Диспан.набл.взрослых Пр.3-23'!L148+'[11]Уточнение Пр.9-23'!L148</f>
        <v>0</v>
      </c>
      <c r="M148" s="714">
        <f>'[11]Диспан.набл.взрослых Пр.3-23'!M148+'[11]Уточнение Пр.9-23'!M148</f>
        <v>0</v>
      </c>
      <c r="N148" s="714">
        <f>'[11]Диспан.набл.взрослых Пр.3-23'!N148+'[11]Уточнение Пр.9-23'!N148</f>
        <v>0</v>
      </c>
      <c r="O148" s="714">
        <f>'[11]Диспан.набл.взрослых Пр.3-23'!O148+'[11]Уточнение Пр.9-23'!O148</f>
        <v>0</v>
      </c>
      <c r="P148" s="714">
        <f>'[11]Диспан.набл.взрослых Пр.3-23'!P148+'[11]Уточнение Пр.9-23'!P148</f>
        <v>0</v>
      </c>
      <c r="Q148" s="714">
        <f>'[11]Диспан.набл.взрослых Пр.3-23'!Q148+'[11]Уточнение Пр.9-23'!Q148</f>
        <v>0</v>
      </c>
      <c r="R148" s="714">
        <f>'[11]Диспан.набл.взрослых Пр.3-23'!R148+'[11]Уточнение Пр.9-23'!R148</f>
        <v>0</v>
      </c>
    </row>
    <row r="149" spans="1:18" x14ac:dyDescent="0.25">
      <c r="A149" s="711">
        <v>136</v>
      </c>
      <c r="B149" s="716" t="s">
        <v>284</v>
      </c>
      <c r="C149" s="653" t="s">
        <v>285</v>
      </c>
      <c r="D149" s="714">
        <f t="shared" si="3"/>
        <v>0</v>
      </c>
      <c r="E149" s="714">
        <f>'[11]Диспан.набл.взрослых Пр.3-23'!E149+'[11]Уточнение Пр.9-23'!E149</f>
        <v>0</v>
      </c>
      <c r="F149" s="714">
        <f>'[11]Диспан.набл.взрослых Пр.3-23'!F149+'[11]Уточнение Пр.9-23'!F149</f>
        <v>0</v>
      </c>
      <c r="G149" s="714">
        <f>'[11]Диспан.набл.взрослых Пр.3-23'!G149+'[11]Уточнение Пр.9-23'!G149</f>
        <v>0</v>
      </c>
      <c r="H149" s="714">
        <f>'[11]Диспан.набл.взрослых Пр.3-23'!H149+'[11]Уточнение Пр.9-23'!H149</f>
        <v>0</v>
      </c>
      <c r="I149" s="714">
        <f>'[11]Диспан.набл.взрослых Пр.3-23'!I149+'[11]Уточнение Пр.9-23'!I149</f>
        <v>0</v>
      </c>
      <c r="J149" s="714">
        <f>'[11]Диспан.набл.взрослых Пр.3-23'!J149+'[11]Уточнение Пр.9-23'!J149</f>
        <v>0</v>
      </c>
      <c r="K149" s="714">
        <f>'[11]Диспан.набл.взрослых Пр.3-23'!K149+'[11]Уточнение Пр.9-23'!K149</f>
        <v>0</v>
      </c>
      <c r="L149" s="714">
        <f>'[11]Диспан.набл.взрослых Пр.3-23'!L149+'[11]Уточнение Пр.9-23'!L149</f>
        <v>0</v>
      </c>
      <c r="M149" s="714">
        <f>'[11]Диспан.набл.взрослых Пр.3-23'!M149+'[11]Уточнение Пр.9-23'!M149</f>
        <v>0</v>
      </c>
      <c r="N149" s="714">
        <f>'[11]Диспан.набл.взрослых Пр.3-23'!N149+'[11]Уточнение Пр.9-23'!N149</f>
        <v>0</v>
      </c>
      <c r="O149" s="714">
        <f>'[11]Диспан.набл.взрослых Пр.3-23'!O149+'[11]Уточнение Пр.9-23'!O149</f>
        <v>0</v>
      </c>
      <c r="P149" s="714">
        <f>'[11]Диспан.набл.взрослых Пр.3-23'!P149+'[11]Уточнение Пр.9-23'!P149</f>
        <v>0</v>
      </c>
      <c r="Q149" s="714">
        <f>'[11]Диспан.набл.взрослых Пр.3-23'!Q149+'[11]Уточнение Пр.9-23'!Q149</f>
        <v>0</v>
      </c>
      <c r="R149" s="714">
        <f>'[11]Диспан.набл.взрослых Пр.3-23'!R149+'[11]Уточнение Пр.9-23'!R149</f>
        <v>0</v>
      </c>
    </row>
    <row r="150" spans="1:18" x14ac:dyDescent="0.25">
      <c r="A150" s="711">
        <v>137</v>
      </c>
      <c r="B150" s="58" t="s">
        <v>387</v>
      </c>
      <c r="C150" s="405" t="s">
        <v>388</v>
      </c>
      <c r="D150" s="714">
        <f t="shared" si="3"/>
        <v>0</v>
      </c>
      <c r="E150" s="714">
        <f>'[11]Диспан.набл.взрослых Пр.3-23'!E150+'[11]Уточнение Пр.9-23'!E150</f>
        <v>0</v>
      </c>
      <c r="F150" s="714">
        <f>'[11]Диспан.набл.взрослых Пр.3-23'!F150+'[11]Уточнение Пр.9-23'!F150</f>
        <v>0</v>
      </c>
      <c r="G150" s="714">
        <f>'[11]Диспан.набл.взрослых Пр.3-23'!G150+'[11]Уточнение Пр.9-23'!G150</f>
        <v>0</v>
      </c>
      <c r="H150" s="714">
        <f>'[11]Диспан.набл.взрослых Пр.3-23'!H150+'[11]Уточнение Пр.9-23'!H150</f>
        <v>0</v>
      </c>
      <c r="I150" s="714">
        <f>'[11]Диспан.набл.взрослых Пр.3-23'!I150+'[11]Уточнение Пр.9-23'!I150</f>
        <v>0</v>
      </c>
      <c r="J150" s="714">
        <f>'[11]Диспан.набл.взрослых Пр.3-23'!J150+'[11]Уточнение Пр.9-23'!J150</f>
        <v>0</v>
      </c>
      <c r="K150" s="714">
        <f>'[11]Диспан.набл.взрослых Пр.3-23'!K150+'[11]Уточнение Пр.9-23'!K150</f>
        <v>0</v>
      </c>
      <c r="L150" s="714">
        <f>'[11]Диспан.набл.взрослых Пр.3-23'!L150+'[11]Уточнение Пр.9-23'!L150</f>
        <v>0</v>
      </c>
      <c r="M150" s="714">
        <f>'[11]Диспан.набл.взрослых Пр.3-23'!M150+'[11]Уточнение Пр.9-23'!M150</f>
        <v>0</v>
      </c>
      <c r="N150" s="714">
        <f>'[11]Диспан.набл.взрослых Пр.3-23'!N150+'[11]Уточнение Пр.9-23'!N150</f>
        <v>0</v>
      </c>
      <c r="O150" s="714">
        <f>'[11]Диспан.набл.взрослых Пр.3-23'!O150+'[11]Уточнение Пр.9-23'!O150</f>
        <v>0</v>
      </c>
      <c r="P150" s="714">
        <f>'[11]Диспан.набл.взрослых Пр.3-23'!P150+'[11]Уточнение Пр.9-23'!P150</f>
        <v>0</v>
      </c>
      <c r="Q150" s="714">
        <f>'[11]Диспан.набл.взрослых Пр.3-23'!Q150+'[11]Уточнение Пр.9-23'!Q150</f>
        <v>0</v>
      </c>
      <c r="R150" s="714">
        <f>'[11]Диспан.набл.взрослых Пр.3-23'!R150+'[11]Уточнение Пр.9-23'!R150</f>
        <v>0</v>
      </c>
    </row>
    <row r="151" spans="1:18" x14ac:dyDescent="0.25">
      <c r="A151" s="711">
        <v>138</v>
      </c>
      <c r="B151" s="59" t="s">
        <v>389</v>
      </c>
      <c r="C151" s="406" t="s">
        <v>390</v>
      </c>
      <c r="D151" s="714">
        <f t="shared" si="3"/>
        <v>0</v>
      </c>
      <c r="E151" s="714">
        <f>'[11]Диспан.набл.взрослых Пр.3-23'!E151+'[11]Уточнение Пр.9-23'!E151</f>
        <v>0</v>
      </c>
      <c r="F151" s="714">
        <f>'[11]Диспан.набл.взрослых Пр.3-23'!F151+'[11]Уточнение Пр.9-23'!F151</f>
        <v>0</v>
      </c>
      <c r="G151" s="714">
        <f>'[11]Диспан.набл.взрослых Пр.3-23'!G151+'[11]Уточнение Пр.9-23'!G151</f>
        <v>0</v>
      </c>
      <c r="H151" s="714">
        <f>'[11]Диспан.набл.взрослых Пр.3-23'!H151+'[11]Уточнение Пр.9-23'!H151</f>
        <v>0</v>
      </c>
      <c r="I151" s="714">
        <f>'[11]Диспан.набл.взрослых Пр.3-23'!I151+'[11]Уточнение Пр.9-23'!I151</f>
        <v>0</v>
      </c>
      <c r="J151" s="714">
        <f>'[11]Диспан.набл.взрослых Пр.3-23'!J151+'[11]Уточнение Пр.9-23'!J151</f>
        <v>0</v>
      </c>
      <c r="K151" s="714">
        <f>'[11]Диспан.набл.взрослых Пр.3-23'!K151+'[11]Уточнение Пр.9-23'!K151</f>
        <v>0</v>
      </c>
      <c r="L151" s="714">
        <f>'[11]Диспан.набл.взрослых Пр.3-23'!L151+'[11]Уточнение Пр.9-23'!L151</f>
        <v>0</v>
      </c>
      <c r="M151" s="714">
        <f>'[11]Диспан.набл.взрослых Пр.3-23'!M151+'[11]Уточнение Пр.9-23'!M151</f>
        <v>0</v>
      </c>
      <c r="N151" s="714">
        <f>'[11]Диспан.набл.взрослых Пр.3-23'!N151+'[11]Уточнение Пр.9-23'!N151</f>
        <v>0</v>
      </c>
      <c r="O151" s="714">
        <f>'[11]Диспан.набл.взрослых Пр.3-23'!O151+'[11]Уточнение Пр.9-23'!O151</f>
        <v>0</v>
      </c>
      <c r="P151" s="714">
        <f>'[11]Диспан.набл.взрослых Пр.3-23'!P151+'[11]Уточнение Пр.9-23'!P151</f>
        <v>0</v>
      </c>
      <c r="Q151" s="714">
        <f>'[11]Диспан.набл.взрослых Пр.3-23'!Q151+'[11]Уточнение Пр.9-23'!Q151</f>
        <v>0</v>
      </c>
      <c r="R151" s="714">
        <f>'[11]Диспан.набл.взрослых Пр.3-23'!R151+'[11]Уточнение Пр.9-23'!R151</f>
        <v>0</v>
      </c>
    </row>
    <row r="152" spans="1:18" x14ac:dyDescent="0.25">
      <c r="A152" s="711">
        <v>139</v>
      </c>
      <c r="B152" s="60" t="s">
        <v>391</v>
      </c>
      <c r="C152" s="641" t="s">
        <v>392</v>
      </c>
      <c r="D152" s="714">
        <f t="shared" si="3"/>
        <v>0</v>
      </c>
      <c r="E152" s="714">
        <f>'[11]Диспан.набл.взрослых Пр.3-23'!E152+'[11]Уточнение Пр.9-23'!E152</f>
        <v>0</v>
      </c>
      <c r="F152" s="714">
        <f>'[11]Диспан.набл.взрослых Пр.3-23'!F152+'[11]Уточнение Пр.9-23'!F152</f>
        <v>0</v>
      </c>
      <c r="G152" s="714">
        <f>'[11]Диспан.набл.взрослых Пр.3-23'!G152+'[11]Уточнение Пр.9-23'!G152</f>
        <v>0</v>
      </c>
      <c r="H152" s="714">
        <f>'[11]Диспан.набл.взрослых Пр.3-23'!H152+'[11]Уточнение Пр.9-23'!H152</f>
        <v>0</v>
      </c>
      <c r="I152" s="714">
        <f>'[11]Диспан.набл.взрослых Пр.3-23'!I152+'[11]Уточнение Пр.9-23'!I152</f>
        <v>0</v>
      </c>
      <c r="J152" s="714">
        <f>'[11]Диспан.набл.взрослых Пр.3-23'!J152+'[11]Уточнение Пр.9-23'!J152</f>
        <v>0</v>
      </c>
      <c r="K152" s="714">
        <f>'[11]Диспан.набл.взрослых Пр.3-23'!K152+'[11]Уточнение Пр.9-23'!K152</f>
        <v>0</v>
      </c>
      <c r="L152" s="714">
        <f>'[11]Диспан.набл.взрослых Пр.3-23'!L152+'[11]Уточнение Пр.9-23'!L152</f>
        <v>0</v>
      </c>
      <c r="M152" s="714">
        <f>'[11]Диспан.набл.взрослых Пр.3-23'!M152+'[11]Уточнение Пр.9-23'!M152</f>
        <v>0</v>
      </c>
      <c r="N152" s="714">
        <f>'[11]Диспан.набл.взрослых Пр.3-23'!N152+'[11]Уточнение Пр.9-23'!N152</f>
        <v>0</v>
      </c>
      <c r="O152" s="714">
        <f>'[11]Диспан.набл.взрослых Пр.3-23'!O152+'[11]Уточнение Пр.9-23'!O152</f>
        <v>0</v>
      </c>
      <c r="P152" s="714">
        <f>'[11]Диспан.набл.взрослых Пр.3-23'!P152+'[11]Уточнение Пр.9-23'!P152</f>
        <v>0</v>
      </c>
      <c r="Q152" s="714">
        <f>'[11]Диспан.набл.взрослых Пр.3-23'!Q152+'[11]Уточнение Пр.9-23'!Q152</f>
        <v>0</v>
      </c>
      <c r="R152" s="714">
        <f>'[11]Диспан.набл.взрослых Пр.3-23'!R152+'[11]Уточнение Пр.9-23'!R152</f>
        <v>0</v>
      </c>
    </row>
    <row r="153" spans="1:18" x14ac:dyDescent="0.25">
      <c r="A153" s="711">
        <v>140</v>
      </c>
      <c r="B153" s="407" t="s">
        <v>393</v>
      </c>
      <c r="C153" s="408" t="s">
        <v>394</v>
      </c>
      <c r="D153" s="714">
        <f t="shared" si="3"/>
        <v>0</v>
      </c>
      <c r="E153" s="714">
        <f>'[11]Диспан.набл.взрослых Пр.3-23'!E153+'[11]Уточнение Пр.9-23'!E153</f>
        <v>0</v>
      </c>
      <c r="F153" s="714">
        <f>'[11]Диспан.набл.взрослых Пр.3-23'!F153+'[11]Уточнение Пр.9-23'!F153</f>
        <v>0</v>
      </c>
      <c r="G153" s="714">
        <f>'[11]Диспан.набл.взрослых Пр.3-23'!G153+'[11]Уточнение Пр.9-23'!G153</f>
        <v>0</v>
      </c>
      <c r="H153" s="714">
        <f>'[11]Диспан.набл.взрослых Пр.3-23'!H153+'[11]Уточнение Пр.9-23'!H153</f>
        <v>0</v>
      </c>
      <c r="I153" s="714">
        <f>'[11]Диспан.набл.взрослых Пр.3-23'!I153+'[11]Уточнение Пр.9-23'!I153</f>
        <v>0</v>
      </c>
      <c r="J153" s="714">
        <f>'[11]Диспан.набл.взрослых Пр.3-23'!J153+'[11]Уточнение Пр.9-23'!J153</f>
        <v>0</v>
      </c>
      <c r="K153" s="714">
        <f>'[11]Диспан.набл.взрослых Пр.3-23'!K153+'[11]Уточнение Пр.9-23'!K153</f>
        <v>0</v>
      </c>
      <c r="L153" s="714">
        <f>'[11]Диспан.набл.взрослых Пр.3-23'!L153+'[11]Уточнение Пр.9-23'!L153</f>
        <v>0</v>
      </c>
      <c r="M153" s="714">
        <f>'[11]Диспан.набл.взрослых Пр.3-23'!M153+'[11]Уточнение Пр.9-23'!M153</f>
        <v>0</v>
      </c>
      <c r="N153" s="714">
        <f>'[11]Диспан.набл.взрослых Пр.3-23'!N153+'[11]Уточнение Пр.9-23'!N153</f>
        <v>0</v>
      </c>
      <c r="O153" s="714">
        <f>'[11]Диспан.набл.взрослых Пр.3-23'!O153+'[11]Уточнение Пр.9-23'!O153</f>
        <v>0</v>
      </c>
      <c r="P153" s="714">
        <f>'[11]Диспан.набл.взрослых Пр.3-23'!P153+'[11]Уточнение Пр.9-23'!P153</f>
        <v>0</v>
      </c>
      <c r="Q153" s="714">
        <f>'[11]Диспан.набл.взрослых Пр.3-23'!Q153+'[11]Уточнение Пр.9-23'!Q153</f>
        <v>0</v>
      </c>
      <c r="R153" s="714">
        <f>'[11]Диспан.набл.взрослых Пр.3-23'!R153+'[11]Уточнение Пр.9-23'!R153</f>
        <v>0</v>
      </c>
    </row>
  </sheetData>
  <mergeCells count="23">
    <mergeCell ref="N8:N9"/>
    <mergeCell ref="A94:A96"/>
    <mergeCell ref="B94:B96"/>
    <mergeCell ref="I8:I9"/>
    <mergeCell ref="J8:J9"/>
    <mergeCell ref="K8:K9"/>
    <mergeCell ref="A11:C11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zoomScale="90" zoomScaleNormal="90" workbookViewId="0">
      <pane xSplit="3" ySplit="8" topLeftCell="D145" activePane="bottomRight" state="frozen"/>
      <selection pane="topRight" activeCell="D1" sqref="D1"/>
      <selection pane="bottomLeft" activeCell="A8" sqref="A8"/>
      <selection pane="bottomRight" activeCell="C165" sqref="C165"/>
    </sheetView>
  </sheetViews>
  <sheetFormatPr defaultColWidth="10.7109375" defaultRowHeight="12.75" x14ac:dyDescent="0.2"/>
  <cols>
    <col min="1" max="1" width="7" style="642" customWidth="1"/>
    <col min="2" max="2" width="10.7109375" style="642"/>
    <col min="3" max="3" width="36.28515625" style="14" customWidth="1"/>
    <col min="4" max="6" width="15.7109375" style="14" customWidth="1"/>
    <col min="7" max="7" width="12.85546875" style="14" customWidth="1"/>
    <col min="8" max="8" width="16.7109375" style="14" customWidth="1"/>
    <col min="9" max="9" width="15.7109375" style="14" customWidth="1"/>
    <col min="10" max="10" width="17.42578125" style="14" customWidth="1"/>
    <col min="11" max="11" width="15.7109375" style="14" customWidth="1"/>
    <col min="12" max="12" width="10.7109375" style="14"/>
    <col min="13" max="13" width="20.5703125" style="14" customWidth="1"/>
    <col min="14" max="16384" width="10.7109375" style="14"/>
  </cols>
  <sheetData>
    <row r="1" spans="1:14" ht="32.25" customHeight="1" x14ac:dyDescent="0.2">
      <c r="B1" s="1056" t="s">
        <v>332</v>
      </c>
      <c r="C1" s="1056"/>
      <c r="D1" s="1056"/>
      <c r="E1" s="1056"/>
      <c r="F1" s="1056"/>
      <c r="G1" s="1056"/>
      <c r="H1" s="1056"/>
      <c r="I1" s="1056"/>
      <c r="J1" s="1056"/>
      <c r="K1" s="724"/>
    </row>
    <row r="2" spans="1:14" ht="9.75" customHeight="1" x14ac:dyDescent="0.2">
      <c r="C2" s="643"/>
    </row>
    <row r="3" spans="1:14" s="592" customFormat="1" ht="47.25" customHeight="1" x14ac:dyDescent="0.2">
      <c r="A3" s="1092" t="s">
        <v>0</v>
      </c>
      <c r="B3" s="1093" t="s">
        <v>302</v>
      </c>
      <c r="C3" s="1095" t="s">
        <v>2</v>
      </c>
      <c r="D3" s="1097" t="s">
        <v>303</v>
      </c>
      <c r="E3" s="1098"/>
      <c r="F3" s="1098"/>
      <c r="G3" s="1098"/>
      <c r="H3" s="1098"/>
      <c r="I3" s="1098"/>
      <c r="J3" s="1099"/>
    </row>
    <row r="4" spans="1:14" s="592" customFormat="1" ht="25.5" customHeight="1" x14ac:dyDescent="0.2">
      <c r="A4" s="1092"/>
      <c r="B4" s="1094"/>
      <c r="C4" s="1096"/>
      <c r="D4" s="1100" t="s">
        <v>304</v>
      </c>
      <c r="E4" s="1101"/>
      <c r="F4" s="1101"/>
      <c r="G4" s="1102" t="s">
        <v>305</v>
      </c>
      <c r="H4" s="1103"/>
      <c r="I4" s="1103"/>
      <c r="J4" s="1104"/>
    </row>
    <row r="5" spans="1:14" s="592" customFormat="1" ht="25.5" customHeight="1" x14ac:dyDescent="0.2">
      <c r="A5" s="1092"/>
      <c r="B5" s="1094"/>
      <c r="C5" s="1096"/>
      <c r="D5" s="1105" t="s">
        <v>306</v>
      </c>
      <c r="E5" s="1107" t="s">
        <v>307</v>
      </c>
      <c r="F5" s="1107"/>
      <c r="G5" s="1108" t="s">
        <v>356</v>
      </c>
      <c r="H5" s="1107" t="s">
        <v>307</v>
      </c>
      <c r="I5" s="1107"/>
      <c r="J5" s="1107"/>
    </row>
    <row r="6" spans="1:14" s="592" customFormat="1" ht="66.75" customHeight="1" x14ac:dyDescent="0.2">
      <c r="A6" s="1092"/>
      <c r="B6" s="1094"/>
      <c r="C6" s="1096"/>
      <c r="D6" s="1106"/>
      <c r="E6" s="725" t="s">
        <v>380</v>
      </c>
      <c r="F6" s="725" t="s">
        <v>379</v>
      </c>
      <c r="G6" s="1106"/>
      <c r="H6" s="725" t="s">
        <v>381</v>
      </c>
      <c r="I6" s="725" t="s">
        <v>382</v>
      </c>
      <c r="J6" s="725" t="s">
        <v>383</v>
      </c>
    </row>
    <row r="7" spans="1:14" s="592" customFormat="1" ht="12.75" customHeight="1" x14ac:dyDescent="0.2">
      <c r="A7" s="644">
        <v>1</v>
      </c>
      <c r="B7" s="695">
        <v>2</v>
      </c>
      <c r="C7" s="696">
        <v>3</v>
      </c>
      <c r="D7" s="726">
        <v>4</v>
      </c>
      <c r="E7" s="727">
        <v>5</v>
      </c>
      <c r="F7" s="727">
        <v>6</v>
      </c>
      <c r="G7" s="727">
        <v>7</v>
      </c>
      <c r="H7" s="728">
        <v>8</v>
      </c>
      <c r="I7" s="728">
        <v>9</v>
      </c>
      <c r="J7" s="728">
        <v>10</v>
      </c>
    </row>
    <row r="8" spans="1:14" s="592" customFormat="1" ht="21" customHeight="1" x14ac:dyDescent="0.2">
      <c r="A8" s="1084" t="s">
        <v>308</v>
      </c>
      <c r="B8" s="1084"/>
      <c r="C8" s="1084"/>
      <c r="D8" s="729">
        <f>SUM(D9:D146)</f>
        <v>370242</v>
      </c>
      <c r="E8" s="729">
        <f t="shared" ref="E8:J8" si="0">SUM(E9:E146)</f>
        <v>125703</v>
      </c>
      <c r="F8" s="729">
        <f t="shared" si="0"/>
        <v>125703</v>
      </c>
      <c r="G8" s="729">
        <f t="shared" si="0"/>
        <v>37710</v>
      </c>
      <c r="H8" s="729">
        <f t="shared" si="0"/>
        <v>12570</v>
      </c>
      <c r="I8" s="729">
        <f t="shared" si="0"/>
        <v>12570</v>
      </c>
      <c r="J8" s="729">
        <f t="shared" si="0"/>
        <v>12570</v>
      </c>
    </row>
    <row r="9" spans="1:14" x14ac:dyDescent="0.2">
      <c r="A9" s="694">
        <v>1</v>
      </c>
      <c r="B9" s="645" t="s">
        <v>16</v>
      </c>
      <c r="C9" s="43" t="s">
        <v>17</v>
      </c>
      <c r="D9" s="616">
        <v>1855</v>
      </c>
      <c r="E9" s="616">
        <v>1729</v>
      </c>
      <c r="F9" s="616">
        <v>1729</v>
      </c>
      <c r="G9" s="616">
        <v>519</v>
      </c>
      <c r="H9" s="616">
        <v>173</v>
      </c>
      <c r="I9" s="616">
        <v>173</v>
      </c>
      <c r="J9" s="616">
        <v>173</v>
      </c>
      <c r="M9" s="646"/>
      <c r="N9" s="646"/>
    </row>
    <row r="10" spans="1:14" x14ac:dyDescent="0.2">
      <c r="A10" s="694">
        <v>2</v>
      </c>
      <c r="B10" s="647" t="s">
        <v>18</v>
      </c>
      <c r="C10" s="43" t="s">
        <v>19</v>
      </c>
      <c r="D10" s="616">
        <v>1867</v>
      </c>
      <c r="E10" s="616">
        <v>513</v>
      </c>
      <c r="F10" s="616">
        <v>513</v>
      </c>
      <c r="G10" s="616">
        <v>153</v>
      </c>
      <c r="H10" s="616">
        <v>51</v>
      </c>
      <c r="I10" s="616">
        <v>51</v>
      </c>
      <c r="J10" s="616">
        <v>51</v>
      </c>
      <c r="M10" s="646"/>
      <c r="N10" s="646"/>
    </row>
    <row r="11" spans="1:14" x14ac:dyDescent="0.2">
      <c r="A11" s="694">
        <v>3</v>
      </c>
      <c r="B11" s="648" t="s">
        <v>20</v>
      </c>
      <c r="C11" s="4" t="s">
        <v>21</v>
      </c>
      <c r="D11" s="616">
        <v>5561</v>
      </c>
      <c r="E11" s="616">
        <v>1221</v>
      </c>
      <c r="F11" s="616">
        <v>1221</v>
      </c>
      <c r="G11" s="616">
        <v>366</v>
      </c>
      <c r="H11" s="616">
        <v>122</v>
      </c>
      <c r="I11" s="616">
        <v>122</v>
      </c>
      <c r="J11" s="616">
        <v>122</v>
      </c>
      <c r="M11" s="646"/>
      <c r="N11" s="646"/>
    </row>
    <row r="12" spans="1:14" x14ac:dyDescent="0.2">
      <c r="A12" s="694">
        <v>4</v>
      </c>
      <c r="B12" s="645" t="s">
        <v>22</v>
      </c>
      <c r="C12" s="43" t="s">
        <v>23</v>
      </c>
      <c r="D12" s="616">
        <v>1724</v>
      </c>
      <c r="E12" s="616">
        <v>772</v>
      </c>
      <c r="F12" s="616">
        <v>772</v>
      </c>
      <c r="G12" s="616">
        <v>231</v>
      </c>
      <c r="H12" s="616">
        <v>77</v>
      </c>
      <c r="I12" s="616">
        <v>77</v>
      </c>
      <c r="J12" s="616">
        <v>77</v>
      </c>
      <c r="M12" s="646"/>
      <c r="N12" s="646"/>
    </row>
    <row r="13" spans="1:14" x14ac:dyDescent="0.2">
      <c r="A13" s="694">
        <v>5</v>
      </c>
      <c r="B13" s="645" t="s">
        <v>24</v>
      </c>
      <c r="C13" s="43" t="s">
        <v>25</v>
      </c>
      <c r="D13" s="616">
        <v>1481</v>
      </c>
      <c r="E13" s="616">
        <v>333</v>
      </c>
      <c r="F13" s="616">
        <v>333</v>
      </c>
      <c r="G13" s="616">
        <v>99</v>
      </c>
      <c r="H13" s="616">
        <v>33</v>
      </c>
      <c r="I13" s="616">
        <v>33</v>
      </c>
      <c r="J13" s="616">
        <v>33</v>
      </c>
      <c r="M13" s="646"/>
      <c r="N13" s="646"/>
    </row>
    <row r="14" spans="1:14" x14ac:dyDescent="0.2">
      <c r="A14" s="694">
        <v>6</v>
      </c>
      <c r="B14" s="648" t="s">
        <v>26</v>
      </c>
      <c r="C14" s="4" t="s">
        <v>27</v>
      </c>
      <c r="D14" s="616">
        <v>10094</v>
      </c>
      <c r="E14" s="616">
        <v>2322</v>
      </c>
      <c r="F14" s="616">
        <v>2322</v>
      </c>
      <c r="G14" s="616">
        <v>696</v>
      </c>
      <c r="H14" s="616">
        <v>232</v>
      </c>
      <c r="I14" s="616">
        <v>232</v>
      </c>
      <c r="J14" s="616">
        <v>232</v>
      </c>
      <c r="M14" s="646"/>
      <c r="N14" s="646"/>
    </row>
    <row r="15" spans="1:14" x14ac:dyDescent="0.2">
      <c r="A15" s="694">
        <v>7</v>
      </c>
      <c r="B15" s="649" t="s">
        <v>28</v>
      </c>
      <c r="C15" s="324" t="s">
        <v>29</v>
      </c>
      <c r="D15" s="616">
        <v>7459</v>
      </c>
      <c r="E15" s="616">
        <v>1107</v>
      </c>
      <c r="F15" s="616">
        <v>1107</v>
      </c>
      <c r="G15" s="616">
        <v>333</v>
      </c>
      <c r="H15" s="616">
        <v>111</v>
      </c>
      <c r="I15" s="616">
        <v>111</v>
      </c>
      <c r="J15" s="616">
        <v>111</v>
      </c>
      <c r="M15" s="646"/>
      <c r="N15" s="646"/>
    </row>
    <row r="16" spans="1:14" x14ac:dyDescent="0.2">
      <c r="A16" s="694">
        <v>8</v>
      </c>
      <c r="B16" s="648" t="s">
        <v>30</v>
      </c>
      <c r="C16" s="4" t="s">
        <v>31</v>
      </c>
      <c r="D16" s="616">
        <v>1855</v>
      </c>
      <c r="E16" s="616">
        <v>297</v>
      </c>
      <c r="F16" s="616">
        <v>297</v>
      </c>
      <c r="G16" s="616">
        <v>90</v>
      </c>
      <c r="H16" s="616">
        <v>30</v>
      </c>
      <c r="I16" s="616">
        <v>30</v>
      </c>
      <c r="J16" s="616">
        <v>30</v>
      </c>
      <c r="M16" s="646"/>
      <c r="N16" s="646"/>
    </row>
    <row r="17" spans="1:14" x14ac:dyDescent="0.2">
      <c r="A17" s="694">
        <v>9</v>
      </c>
      <c r="B17" s="648" t="s">
        <v>32</v>
      </c>
      <c r="C17" s="4" t="s">
        <v>33</v>
      </c>
      <c r="D17" s="616">
        <v>2065</v>
      </c>
      <c r="E17" s="616">
        <v>1391</v>
      </c>
      <c r="F17" s="616">
        <v>1391</v>
      </c>
      <c r="G17" s="616">
        <v>417</v>
      </c>
      <c r="H17" s="616">
        <v>139</v>
      </c>
      <c r="I17" s="616">
        <v>139</v>
      </c>
      <c r="J17" s="616">
        <v>139</v>
      </c>
      <c r="M17" s="646"/>
      <c r="N17" s="646"/>
    </row>
    <row r="18" spans="1:14" x14ac:dyDescent="0.2">
      <c r="A18" s="694">
        <v>10</v>
      </c>
      <c r="B18" s="648" t="s">
        <v>34</v>
      </c>
      <c r="C18" s="4" t="s">
        <v>35</v>
      </c>
      <c r="D18" s="616">
        <v>2290</v>
      </c>
      <c r="E18" s="616">
        <v>251</v>
      </c>
      <c r="F18" s="616">
        <v>251</v>
      </c>
      <c r="G18" s="616">
        <v>75</v>
      </c>
      <c r="H18" s="616">
        <v>25</v>
      </c>
      <c r="I18" s="616">
        <v>25</v>
      </c>
      <c r="J18" s="616">
        <v>25</v>
      </c>
      <c r="M18" s="646"/>
      <c r="N18" s="646"/>
    </row>
    <row r="19" spans="1:14" x14ac:dyDescent="0.2">
      <c r="A19" s="694">
        <v>11</v>
      </c>
      <c r="B19" s="648" t="s">
        <v>36</v>
      </c>
      <c r="C19" s="4" t="s">
        <v>37</v>
      </c>
      <c r="D19" s="616">
        <v>1619</v>
      </c>
      <c r="E19" s="616">
        <v>370</v>
      </c>
      <c r="F19" s="616">
        <v>370</v>
      </c>
      <c r="G19" s="616">
        <v>111</v>
      </c>
      <c r="H19" s="616">
        <v>37</v>
      </c>
      <c r="I19" s="616">
        <v>37</v>
      </c>
      <c r="J19" s="616">
        <v>37</v>
      </c>
      <c r="M19" s="646"/>
      <c r="N19" s="646"/>
    </row>
    <row r="20" spans="1:14" x14ac:dyDescent="0.2">
      <c r="A20" s="694">
        <v>12</v>
      </c>
      <c r="B20" s="648" t="s">
        <v>38</v>
      </c>
      <c r="C20" s="4" t="s">
        <v>39</v>
      </c>
      <c r="D20" s="616">
        <v>4547</v>
      </c>
      <c r="E20" s="616">
        <v>798</v>
      </c>
      <c r="F20" s="616">
        <v>798</v>
      </c>
      <c r="G20" s="616">
        <v>240</v>
      </c>
      <c r="H20" s="616">
        <v>80</v>
      </c>
      <c r="I20" s="616">
        <v>80</v>
      </c>
      <c r="J20" s="616">
        <v>80</v>
      </c>
      <c r="M20" s="646"/>
      <c r="N20" s="646"/>
    </row>
    <row r="21" spans="1:14" x14ac:dyDescent="0.2">
      <c r="A21" s="694">
        <v>13</v>
      </c>
      <c r="B21" s="648" t="s">
        <v>40</v>
      </c>
      <c r="C21" s="43" t="s">
        <v>41</v>
      </c>
      <c r="D21" s="616">
        <v>0</v>
      </c>
      <c r="E21" s="616">
        <v>0</v>
      </c>
      <c r="F21" s="616">
        <v>0</v>
      </c>
      <c r="G21" s="616">
        <v>0</v>
      </c>
      <c r="H21" s="616">
        <v>0</v>
      </c>
      <c r="I21" s="616">
        <v>0</v>
      </c>
      <c r="J21" s="616">
        <v>0</v>
      </c>
      <c r="M21" s="646"/>
      <c r="N21" s="646"/>
    </row>
    <row r="22" spans="1:14" x14ac:dyDescent="0.2">
      <c r="A22" s="694">
        <v>14</v>
      </c>
      <c r="B22" s="645" t="s">
        <v>42</v>
      </c>
      <c r="C22" s="4" t="s">
        <v>43</v>
      </c>
      <c r="D22" s="616">
        <v>0</v>
      </c>
      <c r="E22" s="616">
        <v>0</v>
      </c>
      <c r="F22" s="616">
        <v>0</v>
      </c>
      <c r="G22" s="616">
        <v>0</v>
      </c>
      <c r="H22" s="616">
        <v>0</v>
      </c>
      <c r="I22" s="616">
        <v>0</v>
      </c>
      <c r="J22" s="616">
        <v>0</v>
      </c>
      <c r="M22" s="646"/>
      <c r="N22" s="646"/>
    </row>
    <row r="23" spans="1:14" x14ac:dyDescent="0.2">
      <c r="A23" s="694">
        <v>15</v>
      </c>
      <c r="B23" s="648" t="s">
        <v>44</v>
      </c>
      <c r="C23" s="4" t="s">
        <v>45</v>
      </c>
      <c r="D23" s="616">
        <v>1120</v>
      </c>
      <c r="E23" s="616">
        <v>865</v>
      </c>
      <c r="F23" s="616">
        <v>865</v>
      </c>
      <c r="G23" s="616">
        <v>261</v>
      </c>
      <c r="H23" s="616">
        <v>87</v>
      </c>
      <c r="I23" s="616">
        <v>87</v>
      </c>
      <c r="J23" s="616">
        <v>87</v>
      </c>
      <c r="M23" s="646"/>
      <c r="N23" s="646"/>
    </row>
    <row r="24" spans="1:14" x14ac:dyDescent="0.2">
      <c r="A24" s="694">
        <v>16</v>
      </c>
      <c r="B24" s="648" t="s">
        <v>46</v>
      </c>
      <c r="C24" s="4" t="s">
        <v>47</v>
      </c>
      <c r="D24" s="616">
        <v>2446</v>
      </c>
      <c r="E24" s="616">
        <v>660</v>
      </c>
      <c r="F24" s="616">
        <v>660</v>
      </c>
      <c r="G24" s="616">
        <v>198</v>
      </c>
      <c r="H24" s="616">
        <v>66</v>
      </c>
      <c r="I24" s="616">
        <v>66</v>
      </c>
      <c r="J24" s="616">
        <v>66</v>
      </c>
      <c r="M24" s="646"/>
      <c r="N24" s="646"/>
    </row>
    <row r="25" spans="1:14" x14ac:dyDescent="0.2">
      <c r="A25" s="694">
        <v>17</v>
      </c>
      <c r="B25" s="648" t="s">
        <v>48</v>
      </c>
      <c r="C25" s="4" t="s">
        <v>49</v>
      </c>
      <c r="D25" s="616">
        <v>3695</v>
      </c>
      <c r="E25" s="616">
        <v>1519</v>
      </c>
      <c r="F25" s="616">
        <v>1519</v>
      </c>
      <c r="G25" s="616">
        <v>456</v>
      </c>
      <c r="H25" s="616">
        <v>152</v>
      </c>
      <c r="I25" s="616">
        <v>152</v>
      </c>
      <c r="J25" s="616">
        <v>152</v>
      </c>
      <c r="M25" s="646"/>
      <c r="N25" s="646"/>
    </row>
    <row r="26" spans="1:14" x14ac:dyDescent="0.2">
      <c r="A26" s="694">
        <v>18</v>
      </c>
      <c r="B26" s="648" t="s">
        <v>50</v>
      </c>
      <c r="C26" s="4" t="s">
        <v>51</v>
      </c>
      <c r="D26" s="616">
        <v>9303</v>
      </c>
      <c r="E26" s="616">
        <v>2958</v>
      </c>
      <c r="F26" s="616">
        <v>2958</v>
      </c>
      <c r="G26" s="616">
        <v>888</v>
      </c>
      <c r="H26" s="616">
        <v>296</v>
      </c>
      <c r="I26" s="616">
        <v>296</v>
      </c>
      <c r="J26" s="616">
        <v>296</v>
      </c>
      <c r="M26" s="646"/>
      <c r="N26" s="646"/>
    </row>
    <row r="27" spans="1:14" x14ac:dyDescent="0.2">
      <c r="A27" s="694">
        <v>19</v>
      </c>
      <c r="B27" s="645" t="s">
        <v>52</v>
      </c>
      <c r="C27" s="43" t="s">
        <v>53</v>
      </c>
      <c r="D27" s="616">
        <v>1308</v>
      </c>
      <c r="E27" s="616">
        <v>849</v>
      </c>
      <c r="F27" s="616">
        <v>849</v>
      </c>
      <c r="G27" s="616">
        <v>255</v>
      </c>
      <c r="H27" s="616">
        <v>85</v>
      </c>
      <c r="I27" s="616">
        <v>85</v>
      </c>
      <c r="J27" s="616">
        <v>85</v>
      </c>
      <c r="M27" s="646"/>
      <c r="N27" s="646"/>
    </row>
    <row r="28" spans="1:14" x14ac:dyDescent="0.2">
      <c r="A28" s="694">
        <v>20</v>
      </c>
      <c r="B28" s="645" t="s">
        <v>54</v>
      </c>
      <c r="C28" s="43" t="s">
        <v>55</v>
      </c>
      <c r="D28" s="616">
        <v>894</v>
      </c>
      <c r="E28" s="616">
        <v>395</v>
      </c>
      <c r="F28" s="616">
        <v>395</v>
      </c>
      <c r="G28" s="616">
        <v>120</v>
      </c>
      <c r="H28" s="616">
        <v>40</v>
      </c>
      <c r="I28" s="616">
        <v>40</v>
      </c>
      <c r="J28" s="616">
        <v>40</v>
      </c>
      <c r="M28" s="646"/>
      <c r="N28" s="646"/>
    </row>
    <row r="29" spans="1:14" x14ac:dyDescent="0.2">
      <c r="A29" s="694">
        <v>21</v>
      </c>
      <c r="B29" s="645" t="s">
        <v>56</v>
      </c>
      <c r="C29" s="43" t="s">
        <v>57</v>
      </c>
      <c r="D29" s="616">
        <v>5295</v>
      </c>
      <c r="E29" s="616">
        <v>1431</v>
      </c>
      <c r="F29" s="616">
        <v>1431</v>
      </c>
      <c r="G29" s="616">
        <v>429</v>
      </c>
      <c r="H29" s="616">
        <v>143</v>
      </c>
      <c r="I29" s="616">
        <v>143</v>
      </c>
      <c r="J29" s="616">
        <v>143</v>
      </c>
      <c r="M29" s="646"/>
      <c r="N29" s="646"/>
    </row>
    <row r="30" spans="1:14" x14ac:dyDescent="0.2">
      <c r="A30" s="694">
        <v>22</v>
      </c>
      <c r="B30" s="645" t="s">
        <v>58</v>
      </c>
      <c r="C30" s="43" t="s">
        <v>59</v>
      </c>
      <c r="D30" s="616">
        <v>6679</v>
      </c>
      <c r="E30" s="616">
        <v>1184</v>
      </c>
      <c r="F30" s="616">
        <v>1184</v>
      </c>
      <c r="G30" s="616">
        <v>354</v>
      </c>
      <c r="H30" s="616">
        <v>118</v>
      </c>
      <c r="I30" s="616">
        <v>118</v>
      </c>
      <c r="J30" s="616">
        <v>118</v>
      </c>
      <c r="M30" s="646"/>
      <c r="N30" s="646"/>
    </row>
    <row r="31" spans="1:14" x14ac:dyDescent="0.2">
      <c r="A31" s="694">
        <v>23</v>
      </c>
      <c r="B31" s="648" t="s">
        <v>60</v>
      </c>
      <c r="C31" s="4" t="s">
        <v>61</v>
      </c>
      <c r="D31" s="616">
        <v>1177</v>
      </c>
      <c r="E31" s="616">
        <v>159</v>
      </c>
      <c r="F31" s="616">
        <v>159</v>
      </c>
      <c r="G31" s="616">
        <v>48</v>
      </c>
      <c r="H31" s="616">
        <v>16</v>
      </c>
      <c r="I31" s="616">
        <v>16</v>
      </c>
      <c r="J31" s="616">
        <v>16</v>
      </c>
      <c r="M31" s="646"/>
      <c r="N31" s="646"/>
    </row>
    <row r="32" spans="1:14" x14ac:dyDescent="0.2">
      <c r="A32" s="694">
        <v>24</v>
      </c>
      <c r="B32" s="648" t="s">
        <v>62</v>
      </c>
      <c r="C32" s="4" t="s">
        <v>63</v>
      </c>
      <c r="D32" s="616">
        <v>0</v>
      </c>
      <c r="E32" s="616">
        <v>0</v>
      </c>
      <c r="F32" s="616">
        <v>0</v>
      </c>
      <c r="G32" s="616">
        <v>0</v>
      </c>
      <c r="H32" s="616">
        <v>0</v>
      </c>
      <c r="I32" s="616">
        <v>0</v>
      </c>
      <c r="J32" s="616">
        <v>0</v>
      </c>
      <c r="M32" s="646"/>
      <c r="N32" s="646"/>
    </row>
    <row r="33" spans="1:14" ht="25.5" x14ac:dyDescent="0.2">
      <c r="A33" s="694">
        <v>25</v>
      </c>
      <c r="B33" s="648" t="s">
        <v>64</v>
      </c>
      <c r="C33" s="4" t="s">
        <v>65</v>
      </c>
      <c r="D33" s="616">
        <v>0</v>
      </c>
      <c r="E33" s="616">
        <v>0</v>
      </c>
      <c r="F33" s="616">
        <v>0</v>
      </c>
      <c r="G33" s="616">
        <v>0</v>
      </c>
      <c r="H33" s="616">
        <v>0</v>
      </c>
      <c r="I33" s="616">
        <v>0</v>
      </c>
      <c r="J33" s="616">
        <v>0</v>
      </c>
      <c r="M33" s="646"/>
      <c r="N33" s="646"/>
    </row>
    <row r="34" spans="1:14" x14ac:dyDescent="0.2">
      <c r="A34" s="694">
        <v>26</v>
      </c>
      <c r="B34" s="645" t="s">
        <v>66</v>
      </c>
      <c r="C34" s="324" t="s">
        <v>67</v>
      </c>
      <c r="D34" s="616">
        <f>'[12]Углуб.дисп.Пр. 9-23'!D34+'[12]Откл.Пр.11-23-Пр.9-23'!D34</f>
        <v>15380</v>
      </c>
      <c r="E34" s="616">
        <f>'[12]Углуб.дисп.Пр. 9-23'!E34+'[12]Откл.Пр.11-23-Пр.9-23'!E34</f>
        <v>7315</v>
      </c>
      <c r="F34" s="616">
        <f>'[12]Углуб.дисп.Пр. 9-23'!F34+'[12]Откл.Пр.11-23-Пр.9-23'!F34</f>
        <v>8443</v>
      </c>
      <c r="G34" s="616">
        <f>'[12]Углуб.дисп.Пр. 9-23'!G34+'[12]Откл.Пр.11-23-Пр.9-23'!G34</f>
        <v>2602</v>
      </c>
      <c r="H34" s="616">
        <f>'[12]Углуб.дисп.Пр. 9-23'!H34+'[12]Откл.Пр.11-23-Пр.9-23'!H34</f>
        <v>822</v>
      </c>
      <c r="I34" s="616">
        <f>'[12]Углуб.дисп.Пр. 9-23'!I34+'[12]Откл.Пр.11-23-Пр.9-23'!I34</f>
        <v>865</v>
      </c>
      <c r="J34" s="616">
        <f>'[12]Углуб.дисп.Пр. 9-23'!J34+'[12]Откл.Пр.11-23-Пр.9-23'!J34</f>
        <v>877</v>
      </c>
      <c r="M34" s="646"/>
      <c r="N34" s="646"/>
    </row>
    <row r="35" spans="1:14" x14ac:dyDescent="0.2">
      <c r="A35" s="694">
        <v>27</v>
      </c>
      <c r="B35" s="648" t="s">
        <v>68</v>
      </c>
      <c r="C35" s="4" t="s">
        <v>69</v>
      </c>
      <c r="D35" s="616">
        <f>'[12]Углуб.дисп.Пр. 9-23'!D35+'[12]Откл.Пр.11-23-Пр.9-23'!D35</f>
        <v>3580</v>
      </c>
      <c r="E35" s="616">
        <f>'[12]Углуб.дисп.Пр. 9-23'!E35+'[12]Откл.Пр.11-23-Пр.9-23'!E35</f>
        <v>1837</v>
      </c>
      <c r="F35" s="616">
        <f>'[12]Углуб.дисп.Пр. 9-23'!F35+'[12]Откл.Пр.11-23-Пр.9-23'!F35</f>
        <v>709</v>
      </c>
      <c r="G35" s="616">
        <f>'[12]Углуб.дисп.Пр. 9-23'!G35+'[12]Откл.Пр.11-23-Пр.9-23'!G35</f>
        <v>143</v>
      </c>
      <c r="H35" s="616">
        <f>'[12]Углуб.дисп.Пр. 9-23'!H35+'[12]Откл.Пр.11-23-Пр.9-23'!H35</f>
        <v>93</v>
      </c>
      <c r="I35" s="616">
        <f>'[12]Углуб.дисп.Пр. 9-23'!I35+'[12]Откл.Пр.11-23-Пр.9-23'!I35</f>
        <v>50</v>
      </c>
      <c r="J35" s="616">
        <f>'[12]Углуб.дисп.Пр. 9-23'!J35+'[12]Откл.Пр.11-23-Пр.9-23'!J35</f>
        <v>38</v>
      </c>
      <c r="M35" s="646"/>
      <c r="N35" s="646"/>
    </row>
    <row r="36" spans="1:14" x14ac:dyDescent="0.2">
      <c r="A36" s="694">
        <v>28</v>
      </c>
      <c r="B36" s="648" t="s">
        <v>70</v>
      </c>
      <c r="C36" s="4" t="s">
        <v>71</v>
      </c>
      <c r="D36" s="616">
        <v>0</v>
      </c>
      <c r="E36" s="616">
        <v>0</v>
      </c>
      <c r="F36" s="616">
        <v>0</v>
      </c>
      <c r="G36" s="616">
        <v>0</v>
      </c>
      <c r="H36" s="616">
        <v>0</v>
      </c>
      <c r="I36" s="616">
        <v>0</v>
      </c>
      <c r="J36" s="616">
        <v>0</v>
      </c>
      <c r="M36" s="646"/>
      <c r="N36" s="646"/>
    </row>
    <row r="37" spans="1:14" x14ac:dyDescent="0.2">
      <c r="A37" s="694">
        <v>29</v>
      </c>
      <c r="B37" s="647" t="s">
        <v>72</v>
      </c>
      <c r="C37" s="324" t="s">
        <v>73</v>
      </c>
      <c r="D37" s="616">
        <v>0</v>
      </c>
      <c r="E37" s="616">
        <v>0</v>
      </c>
      <c r="F37" s="616">
        <v>0</v>
      </c>
      <c r="G37" s="616">
        <v>0</v>
      </c>
      <c r="H37" s="616">
        <v>0</v>
      </c>
      <c r="I37" s="616">
        <v>0</v>
      </c>
      <c r="J37" s="616">
        <v>0</v>
      </c>
      <c r="M37" s="646"/>
      <c r="N37" s="646"/>
    </row>
    <row r="38" spans="1:14" x14ac:dyDescent="0.2">
      <c r="A38" s="694">
        <v>30</v>
      </c>
      <c r="B38" s="645" t="s">
        <v>74</v>
      </c>
      <c r="C38" s="43" t="s">
        <v>357</v>
      </c>
      <c r="D38" s="616">
        <v>0</v>
      </c>
      <c r="E38" s="616">
        <v>0</v>
      </c>
      <c r="F38" s="616">
        <v>0</v>
      </c>
      <c r="G38" s="616">
        <v>0</v>
      </c>
      <c r="H38" s="616">
        <v>0</v>
      </c>
      <c r="I38" s="616">
        <v>0</v>
      </c>
      <c r="J38" s="616">
        <v>0</v>
      </c>
      <c r="M38" s="646"/>
      <c r="N38" s="646"/>
    </row>
    <row r="39" spans="1:14" x14ac:dyDescent="0.2">
      <c r="A39" s="694">
        <v>31</v>
      </c>
      <c r="B39" s="648" t="s">
        <v>75</v>
      </c>
      <c r="C39" s="4" t="s">
        <v>76</v>
      </c>
      <c r="D39" s="616">
        <v>1141</v>
      </c>
      <c r="E39" s="616">
        <v>266</v>
      </c>
      <c r="F39" s="616">
        <v>266</v>
      </c>
      <c r="G39" s="616">
        <v>81</v>
      </c>
      <c r="H39" s="616">
        <v>27</v>
      </c>
      <c r="I39" s="616">
        <v>27</v>
      </c>
      <c r="J39" s="616">
        <v>27</v>
      </c>
      <c r="M39" s="646"/>
      <c r="N39" s="646"/>
    </row>
    <row r="40" spans="1:14" x14ac:dyDescent="0.2">
      <c r="A40" s="694">
        <v>32</v>
      </c>
      <c r="B40" s="647" t="s">
        <v>77</v>
      </c>
      <c r="C40" s="43" t="s">
        <v>78</v>
      </c>
      <c r="D40" s="616">
        <v>6434</v>
      </c>
      <c r="E40" s="616">
        <v>1122</v>
      </c>
      <c r="F40" s="616">
        <v>1122</v>
      </c>
      <c r="G40" s="616">
        <v>336</v>
      </c>
      <c r="H40" s="616">
        <v>112</v>
      </c>
      <c r="I40" s="616">
        <v>112</v>
      </c>
      <c r="J40" s="616">
        <v>112</v>
      </c>
      <c r="M40" s="646"/>
      <c r="N40" s="646"/>
    </row>
    <row r="41" spans="1:14" x14ac:dyDescent="0.2">
      <c r="A41" s="694">
        <v>33</v>
      </c>
      <c r="B41" s="649" t="s">
        <v>79</v>
      </c>
      <c r="C41" s="324" t="s">
        <v>80</v>
      </c>
      <c r="D41" s="616">
        <v>13810</v>
      </c>
      <c r="E41" s="616">
        <v>991</v>
      </c>
      <c r="F41" s="616">
        <v>991</v>
      </c>
      <c r="G41" s="616">
        <v>297</v>
      </c>
      <c r="H41" s="616">
        <v>99</v>
      </c>
      <c r="I41" s="616">
        <v>99</v>
      </c>
      <c r="J41" s="616">
        <v>99</v>
      </c>
      <c r="M41" s="646"/>
      <c r="N41" s="646"/>
    </row>
    <row r="42" spans="1:14" x14ac:dyDescent="0.2">
      <c r="A42" s="694">
        <v>34</v>
      </c>
      <c r="B42" s="647" t="s">
        <v>81</v>
      </c>
      <c r="C42" s="43" t="s">
        <v>82</v>
      </c>
      <c r="D42" s="616">
        <v>2397</v>
      </c>
      <c r="E42" s="616">
        <v>613</v>
      </c>
      <c r="F42" s="616">
        <v>613</v>
      </c>
      <c r="G42" s="616">
        <v>183</v>
      </c>
      <c r="H42" s="616">
        <v>61</v>
      </c>
      <c r="I42" s="616">
        <v>61</v>
      </c>
      <c r="J42" s="616">
        <v>61</v>
      </c>
      <c r="M42" s="646"/>
      <c r="N42" s="646"/>
    </row>
    <row r="43" spans="1:14" x14ac:dyDescent="0.2">
      <c r="A43" s="694">
        <v>35</v>
      </c>
      <c r="B43" s="648" t="s">
        <v>83</v>
      </c>
      <c r="C43" s="4" t="s">
        <v>84</v>
      </c>
      <c r="D43" s="616">
        <v>5724</v>
      </c>
      <c r="E43" s="616">
        <v>1057</v>
      </c>
      <c r="F43" s="616">
        <v>1057</v>
      </c>
      <c r="G43" s="616">
        <v>318</v>
      </c>
      <c r="H43" s="616">
        <v>106</v>
      </c>
      <c r="I43" s="616">
        <v>106</v>
      </c>
      <c r="J43" s="616">
        <v>106</v>
      </c>
      <c r="M43" s="646"/>
      <c r="N43" s="646"/>
    </row>
    <row r="44" spans="1:14" x14ac:dyDescent="0.2">
      <c r="A44" s="694">
        <v>36</v>
      </c>
      <c r="B44" s="647" t="s">
        <v>85</v>
      </c>
      <c r="C44" s="43" t="s">
        <v>86</v>
      </c>
      <c r="D44" s="616">
        <v>2206</v>
      </c>
      <c r="E44" s="616">
        <v>1600</v>
      </c>
      <c r="F44" s="616">
        <v>1600</v>
      </c>
      <c r="G44" s="616">
        <v>480</v>
      </c>
      <c r="H44" s="616">
        <v>160</v>
      </c>
      <c r="I44" s="616">
        <v>160</v>
      </c>
      <c r="J44" s="616">
        <v>160</v>
      </c>
      <c r="M44" s="646"/>
      <c r="N44" s="646"/>
    </row>
    <row r="45" spans="1:14" x14ac:dyDescent="0.2">
      <c r="A45" s="694">
        <v>37</v>
      </c>
      <c r="B45" s="645" t="s">
        <v>87</v>
      </c>
      <c r="C45" s="43" t="s">
        <v>88</v>
      </c>
      <c r="D45" s="616">
        <v>6475</v>
      </c>
      <c r="E45" s="616">
        <v>1073</v>
      </c>
      <c r="F45" s="616">
        <v>1073</v>
      </c>
      <c r="G45" s="616">
        <v>321</v>
      </c>
      <c r="H45" s="616">
        <v>107</v>
      </c>
      <c r="I45" s="616">
        <v>107</v>
      </c>
      <c r="J45" s="616">
        <v>107</v>
      </c>
      <c r="M45" s="646"/>
      <c r="N45" s="646"/>
    </row>
    <row r="46" spans="1:14" x14ac:dyDescent="0.2">
      <c r="A46" s="694">
        <v>38</v>
      </c>
      <c r="B46" s="650" t="s">
        <v>89</v>
      </c>
      <c r="C46" s="651" t="s">
        <v>90</v>
      </c>
      <c r="D46" s="616">
        <v>1898</v>
      </c>
      <c r="E46" s="616">
        <v>309</v>
      </c>
      <c r="F46" s="616">
        <v>309</v>
      </c>
      <c r="G46" s="616">
        <v>93</v>
      </c>
      <c r="H46" s="616">
        <v>31</v>
      </c>
      <c r="I46" s="616">
        <v>31</v>
      </c>
      <c r="J46" s="616">
        <v>31</v>
      </c>
      <c r="M46" s="646"/>
      <c r="N46" s="646"/>
    </row>
    <row r="47" spans="1:14" x14ac:dyDescent="0.2">
      <c r="A47" s="694">
        <v>39</v>
      </c>
      <c r="B47" s="645" t="s">
        <v>91</v>
      </c>
      <c r="C47" s="43" t="s">
        <v>92</v>
      </c>
      <c r="D47" s="616">
        <v>1102</v>
      </c>
      <c r="E47" s="616">
        <v>467</v>
      </c>
      <c r="F47" s="616">
        <v>467</v>
      </c>
      <c r="G47" s="616">
        <v>141</v>
      </c>
      <c r="H47" s="616">
        <v>47</v>
      </c>
      <c r="I47" s="616">
        <v>47</v>
      </c>
      <c r="J47" s="616">
        <v>47</v>
      </c>
      <c r="M47" s="646"/>
      <c r="N47" s="646"/>
    </row>
    <row r="48" spans="1:14" x14ac:dyDescent="0.2">
      <c r="A48" s="694">
        <v>40</v>
      </c>
      <c r="B48" s="649" t="s">
        <v>93</v>
      </c>
      <c r="C48" s="324" t="s">
        <v>94</v>
      </c>
      <c r="D48" s="616">
        <v>1954</v>
      </c>
      <c r="E48" s="616">
        <v>675</v>
      </c>
      <c r="F48" s="616">
        <v>675</v>
      </c>
      <c r="G48" s="616">
        <v>204</v>
      </c>
      <c r="H48" s="616">
        <v>68</v>
      </c>
      <c r="I48" s="616">
        <v>68</v>
      </c>
      <c r="J48" s="616">
        <v>68</v>
      </c>
      <c r="M48" s="646"/>
      <c r="N48" s="646"/>
    </row>
    <row r="49" spans="1:14" x14ac:dyDescent="0.2">
      <c r="A49" s="694">
        <v>41</v>
      </c>
      <c r="B49" s="648" t="s">
        <v>95</v>
      </c>
      <c r="C49" s="4" t="s">
        <v>96</v>
      </c>
      <c r="D49" s="616">
        <v>1237</v>
      </c>
      <c r="E49" s="616">
        <v>267</v>
      </c>
      <c r="F49" s="616">
        <v>267</v>
      </c>
      <c r="G49" s="616">
        <v>81</v>
      </c>
      <c r="H49" s="616">
        <v>27</v>
      </c>
      <c r="I49" s="616">
        <v>27</v>
      </c>
      <c r="J49" s="616">
        <v>27</v>
      </c>
      <c r="M49" s="646"/>
      <c r="N49" s="646"/>
    </row>
    <row r="50" spans="1:14" x14ac:dyDescent="0.2">
      <c r="A50" s="694">
        <v>42</v>
      </c>
      <c r="B50" s="647" t="s">
        <v>97</v>
      </c>
      <c r="C50" s="43" t="s">
        <v>98</v>
      </c>
      <c r="D50" s="616">
        <v>3959</v>
      </c>
      <c r="E50" s="616">
        <v>2061</v>
      </c>
      <c r="F50" s="616">
        <v>2061</v>
      </c>
      <c r="G50" s="616">
        <v>618</v>
      </c>
      <c r="H50" s="616">
        <v>206</v>
      </c>
      <c r="I50" s="616">
        <v>206</v>
      </c>
      <c r="J50" s="616">
        <v>206</v>
      </c>
      <c r="M50" s="646"/>
      <c r="N50" s="646"/>
    </row>
    <row r="51" spans="1:14" x14ac:dyDescent="0.2">
      <c r="A51" s="694">
        <v>43</v>
      </c>
      <c r="B51" s="648" t="s">
        <v>99</v>
      </c>
      <c r="C51" s="4" t="s">
        <v>100</v>
      </c>
      <c r="D51" s="616">
        <v>9280</v>
      </c>
      <c r="E51" s="616">
        <v>2500</v>
      </c>
      <c r="F51" s="616">
        <v>2500</v>
      </c>
      <c r="G51" s="616">
        <v>750</v>
      </c>
      <c r="H51" s="616">
        <v>250</v>
      </c>
      <c r="I51" s="616">
        <v>250</v>
      </c>
      <c r="J51" s="616">
        <v>250</v>
      </c>
      <c r="M51" s="646"/>
      <c r="N51" s="646"/>
    </row>
    <row r="52" spans="1:14" x14ac:dyDescent="0.2">
      <c r="A52" s="694">
        <v>44</v>
      </c>
      <c r="B52" s="645" t="s">
        <v>101</v>
      </c>
      <c r="C52" s="43" t="s">
        <v>102</v>
      </c>
      <c r="D52" s="616">
        <v>2035</v>
      </c>
      <c r="E52" s="616">
        <v>539</v>
      </c>
      <c r="F52" s="616">
        <v>539</v>
      </c>
      <c r="G52" s="616">
        <v>162</v>
      </c>
      <c r="H52" s="616">
        <v>54</v>
      </c>
      <c r="I52" s="616">
        <v>54</v>
      </c>
      <c r="J52" s="616">
        <v>54</v>
      </c>
      <c r="M52" s="646"/>
      <c r="N52" s="646"/>
    </row>
    <row r="53" spans="1:14" x14ac:dyDescent="0.2">
      <c r="A53" s="694">
        <v>45</v>
      </c>
      <c r="B53" s="645" t="s">
        <v>103</v>
      </c>
      <c r="C53" s="43" t="s">
        <v>104</v>
      </c>
      <c r="D53" s="616">
        <v>10946</v>
      </c>
      <c r="E53" s="616">
        <v>2744</v>
      </c>
      <c r="F53" s="616">
        <v>2744</v>
      </c>
      <c r="G53" s="616">
        <v>822</v>
      </c>
      <c r="H53" s="616">
        <v>274</v>
      </c>
      <c r="I53" s="616">
        <v>274</v>
      </c>
      <c r="J53" s="616">
        <v>274</v>
      </c>
      <c r="M53" s="646"/>
      <c r="N53" s="646"/>
    </row>
    <row r="54" spans="1:14" x14ac:dyDescent="0.2">
      <c r="A54" s="694">
        <v>46</v>
      </c>
      <c r="B54" s="648" t="s">
        <v>105</v>
      </c>
      <c r="C54" s="4" t="s">
        <v>106</v>
      </c>
      <c r="D54" s="616">
        <v>1573</v>
      </c>
      <c r="E54" s="616">
        <v>722</v>
      </c>
      <c r="F54" s="616">
        <v>722</v>
      </c>
      <c r="G54" s="616">
        <v>216</v>
      </c>
      <c r="H54" s="616">
        <v>72</v>
      </c>
      <c r="I54" s="616">
        <v>72</v>
      </c>
      <c r="J54" s="616">
        <v>72</v>
      </c>
      <c r="M54" s="646"/>
      <c r="N54" s="646"/>
    </row>
    <row r="55" spans="1:14" x14ac:dyDescent="0.2">
      <c r="A55" s="694">
        <v>47</v>
      </c>
      <c r="B55" s="648" t="s">
        <v>107</v>
      </c>
      <c r="C55" s="4" t="s">
        <v>108</v>
      </c>
      <c r="D55" s="616">
        <v>2447</v>
      </c>
      <c r="E55" s="616">
        <v>1580</v>
      </c>
      <c r="F55" s="616">
        <v>1580</v>
      </c>
      <c r="G55" s="616">
        <v>474</v>
      </c>
      <c r="H55" s="616">
        <v>158</v>
      </c>
      <c r="I55" s="616">
        <v>158</v>
      </c>
      <c r="J55" s="616">
        <v>158</v>
      </c>
      <c r="M55" s="646"/>
      <c r="N55" s="646"/>
    </row>
    <row r="56" spans="1:14" x14ac:dyDescent="0.2">
      <c r="A56" s="694">
        <v>48</v>
      </c>
      <c r="B56" s="647" t="s">
        <v>109</v>
      </c>
      <c r="C56" s="43" t="s">
        <v>110</v>
      </c>
      <c r="D56" s="616">
        <v>2756</v>
      </c>
      <c r="E56" s="616">
        <v>1133</v>
      </c>
      <c r="F56" s="616">
        <v>1133</v>
      </c>
      <c r="G56" s="616">
        <v>339</v>
      </c>
      <c r="H56" s="616">
        <v>113</v>
      </c>
      <c r="I56" s="616">
        <v>113</v>
      </c>
      <c r="J56" s="616">
        <v>113</v>
      </c>
      <c r="M56" s="646"/>
      <c r="N56" s="646"/>
    </row>
    <row r="57" spans="1:14" x14ac:dyDescent="0.2">
      <c r="A57" s="694">
        <v>49</v>
      </c>
      <c r="B57" s="648" t="s">
        <v>111</v>
      </c>
      <c r="C57" s="4" t="s">
        <v>112</v>
      </c>
      <c r="D57" s="616">
        <v>1170</v>
      </c>
      <c r="E57" s="616">
        <v>540</v>
      </c>
      <c r="F57" s="616">
        <v>540</v>
      </c>
      <c r="G57" s="616">
        <v>162</v>
      </c>
      <c r="H57" s="616">
        <v>54</v>
      </c>
      <c r="I57" s="616">
        <v>54</v>
      </c>
      <c r="J57" s="616">
        <v>54</v>
      </c>
      <c r="M57" s="646"/>
      <c r="N57" s="646"/>
    </row>
    <row r="58" spans="1:14" x14ac:dyDescent="0.2">
      <c r="A58" s="694">
        <v>50</v>
      </c>
      <c r="B58" s="647" t="s">
        <v>113</v>
      </c>
      <c r="C58" s="43" t="s">
        <v>114</v>
      </c>
      <c r="D58" s="616">
        <v>1388</v>
      </c>
      <c r="E58" s="616">
        <v>1024</v>
      </c>
      <c r="F58" s="616">
        <v>1024</v>
      </c>
      <c r="G58" s="616">
        <v>306</v>
      </c>
      <c r="H58" s="616">
        <v>102</v>
      </c>
      <c r="I58" s="616">
        <v>102</v>
      </c>
      <c r="J58" s="616">
        <v>102</v>
      </c>
      <c r="M58" s="646"/>
      <c r="N58" s="646"/>
    </row>
    <row r="59" spans="1:14" x14ac:dyDescent="0.2">
      <c r="A59" s="694">
        <v>51</v>
      </c>
      <c r="B59" s="648" t="s">
        <v>115</v>
      </c>
      <c r="C59" s="4" t="s">
        <v>116</v>
      </c>
      <c r="D59" s="616">
        <v>2426</v>
      </c>
      <c r="E59" s="616">
        <v>1931</v>
      </c>
      <c r="F59" s="616">
        <v>1931</v>
      </c>
      <c r="G59" s="616">
        <v>579</v>
      </c>
      <c r="H59" s="616">
        <v>193</v>
      </c>
      <c r="I59" s="616">
        <v>193</v>
      </c>
      <c r="J59" s="616">
        <v>193</v>
      </c>
      <c r="M59" s="646"/>
      <c r="N59" s="646"/>
    </row>
    <row r="60" spans="1:14" x14ac:dyDescent="0.2">
      <c r="A60" s="694">
        <v>52</v>
      </c>
      <c r="B60" s="648" t="s">
        <v>117</v>
      </c>
      <c r="C60" s="4" t="s">
        <v>118</v>
      </c>
      <c r="D60" s="616">
        <v>12247</v>
      </c>
      <c r="E60" s="616">
        <v>1430</v>
      </c>
      <c r="F60" s="616">
        <v>1430</v>
      </c>
      <c r="G60" s="616">
        <v>429</v>
      </c>
      <c r="H60" s="616">
        <v>143</v>
      </c>
      <c r="I60" s="616">
        <v>143</v>
      </c>
      <c r="J60" s="616">
        <v>143</v>
      </c>
      <c r="M60" s="646"/>
      <c r="N60" s="646"/>
    </row>
    <row r="61" spans="1:14" x14ac:dyDescent="0.2">
      <c r="A61" s="694">
        <v>53</v>
      </c>
      <c r="B61" s="648" t="s">
        <v>119</v>
      </c>
      <c r="C61" s="4" t="s">
        <v>120</v>
      </c>
      <c r="D61" s="616">
        <v>1810</v>
      </c>
      <c r="E61" s="616">
        <v>388</v>
      </c>
      <c r="F61" s="616">
        <v>388</v>
      </c>
      <c r="G61" s="616">
        <v>117</v>
      </c>
      <c r="H61" s="616">
        <v>39</v>
      </c>
      <c r="I61" s="616">
        <v>39</v>
      </c>
      <c r="J61" s="616">
        <v>39</v>
      </c>
      <c r="M61" s="646"/>
      <c r="N61" s="646"/>
    </row>
    <row r="62" spans="1:14" x14ac:dyDescent="0.2">
      <c r="A62" s="694">
        <v>54</v>
      </c>
      <c r="B62" s="648" t="s">
        <v>121</v>
      </c>
      <c r="C62" s="4" t="s">
        <v>122</v>
      </c>
      <c r="D62" s="616">
        <v>0</v>
      </c>
      <c r="E62" s="616">
        <v>0</v>
      </c>
      <c r="F62" s="616">
        <v>0</v>
      </c>
      <c r="G62" s="616">
        <v>0</v>
      </c>
      <c r="H62" s="616">
        <v>0</v>
      </c>
      <c r="I62" s="616">
        <v>0</v>
      </c>
      <c r="J62" s="616">
        <v>0</v>
      </c>
      <c r="M62" s="646"/>
      <c r="N62" s="646"/>
    </row>
    <row r="63" spans="1:14" x14ac:dyDescent="0.2">
      <c r="A63" s="694">
        <v>55</v>
      </c>
      <c r="B63" s="648" t="s">
        <v>123</v>
      </c>
      <c r="C63" s="4" t="s">
        <v>124</v>
      </c>
      <c r="D63" s="616">
        <v>0</v>
      </c>
      <c r="E63" s="616">
        <v>0</v>
      </c>
      <c r="F63" s="616">
        <v>0</v>
      </c>
      <c r="G63" s="616">
        <v>0</v>
      </c>
      <c r="H63" s="616">
        <v>0</v>
      </c>
      <c r="I63" s="616">
        <v>0</v>
      </c>
      <c r="J63" s="616">
        <v>0</v>
      </c>
      <c r="M63" s="646"/>
      <c r="N63" s="646"/>
    </row>
    <row r="64" spans="1:14" x14ac:dyDescent="0.2">
      <c r="A64" s="694">
        <v>56</v>
      </c>
      <c r="B64" s="652" t="s">
        <v>125</v>
      </c>
      <c r="C64" s="1" t="s">
        <v>126</v>
      </c>
      <c r="D64" s="616">
        <v>0</v>
      </c>
      <c r="E64" s="616">
        <v>0</v>
      </c>
      <c r="F64" s="616">
        <v>0</v>
      </c>
      <c r="G64" s="616">
        <v>0</v>
      </c>
      <c r="H64" s="616">
        <v>0</v>
      </c>
      <c r="I64" s="616">
        <v>0</v>
      </c>
      <c r="J64" s="616">
        <v>0</v>
      </c>
      <c r="M64" s="646"/>
      <c r="N64" s="646"/>
    </row>
    <row r="65" spans="1:14" x14ac:dyDescent="0.2">
      <c r="A65" s="694">
        <v>57</v>
      </c>
      <c r="B65" s="648" t="s">
        <v>127</v>
      </c>
      <c r="C65" s="4" t="s">
        <v>128</v>
      </c>
      <c r="D65" s="616">
        <v>0</v>
      </c>
      <c r="E65" s="616">
        <v>0</v>
      </c>
      <c r="F65" s="616">
        <v>0</v>
      </c>
      <c r="G65" s="616">
        <v>0</v>
      </c>
      <c r="H65" s="616">
        <v>0</v>
      </c>
      <c r="I65" s="616">
        <v>0</v>
      </c>
      <c r="J65" s="616">
        <v>0</v>
      </c>
      <c r="M65" s="646"/>
      <c r="N65" s="646"/>
    </row>
    <row r="66" spans="1:14" x14ac:dyDescent="0.2">
      <c r="A66" s="694">
        <v>58</v>
      </c>
      <c r="B66" s="647" t="s">
        <v>129</v>
      </c>
      <c r="C66" s="4" t="s">
        <v>309</v>
      </c>
      <c r="D66" s="616">
        <v>0</v>
      </c>
      <c r="E66" s="616">
        <v>0</v>
      </c>
      <c r="F66" s="616">
        <v>0</v>
      </c>
      <c r="G66" s="616">
        <v>0</v>
      </c>
      <c r="H66" s="616">
        <v>0</v>
      </c>
      <c r="I66" s="616">
        <v>0</v>
      </c>
      <c r="J66" s="616">
        <v>0</v>
      </c>
      <c r="M66" s="646"/>
      <c r="N66" s="646"/>
    </row>
    <row r="67" spans="1:14" x14ac:dyDescent="0.2">
      <c r="A67" s="694">
        <v>59</v>
      </c>
      <c r="B67" s="649" t="s">
        <v>131</v>
      </c>
      <c r="C67" s="324" t="s">
        <v>132</v>
      </c>
      <c r="D67" s="616">
        <v>0</v>
      </c>
      <c r="E67" s="616">
        <v>0</v>
      </c>
      <c r="F67" s="616">
        <v>0</v>
      </c>
      <c r="G67" s="616">
        <v>0</v>
      </c>
      <c r="H67" s="616">
        <v>0</v>
      </c>
      <c r="I67" s="616">
        <v>0</v>
      </c>
      <c r="J67" s="616">
        <v>0</v>
      </c>
      <c r="M67" s="646"/>
      <c r="N67" s="646"/>
    </row>
    <row r="68" spans="1:14" x14ac:dyDescent="0.2">
      <c r="A68" s="694">
        <v>60</v>
      </c>
      <c r="B68" s="647" t="s">
        <v>133</v>
      </c>
      <c r="C68" s="4" t="s">
        <v>310</v>
      </c>
      <c r="D68" s="616">
        <v>0</v>
      </c>
      <c r="E68" s="616">
        <v>0</v>
      </c>
      <c r="F68" s="616">
        <v>0</v>
      </c>
      <c r="G68" s="616">
        <v>0</v>
      </c>
      <c r="H68" s="616">
        <v>0</v>
      </c>
      <c r="I68" s="616">
        <v>0</v>
      </c>
      <c r="J68" s="616">
        <v>0</v>
      </c>
      <c r="M68" s="646"/>
      <c r="N68" s="646"/>
    </row>
    <row r="69" spans="1:14" ht="25.5" x14ac:dyDescent="0.2">
      <c r="A69" s="694">
        <v>61</v>
      </c>
      <c r="B69" s="648" t="s">
        <v>135</v>
      </c>
      <c r="C69" s="4" t="s">
        <v>136</v>
      </c>
      <c r="D69" s="616">
        <v>0</v>
      </c>
      <c r="E69" s="616">
        <v>0</v>
      </c>
      <c r="F69" s="616">
        <v>0</v>
      </c>
      <c r="G69" s="616">
        <v>0</v>
      </c>
      <c r="H69" s="616">
        <v>0</v>
      </c>
      <c r="I69" s="616">
        <v>0</v>
      </c>
      <c r="J69" s="616">
        <v>0</v>
      </c>
      <c r="M69" s="646"/>
      <c r="N69" s="646"/>
    </row>
    <row r="70" spans="1:14" ht="25.5" x14ac:dyDescent="0.2">
      <c r="A70" s="694">
        <v>62</v>
      </c>
      <c r="B70" s="645" t="s">
        <v>137</v>
      </c>
      <c r="C70" s="4" t="s">
        <v>311</v>
      </c>
      <c r="D70" s="616">
        <v>0</v>
      </c>
      <c r="E70" s="616">
        <v>0</v>
      </c>
      <c r="F70" s="616">
        <v>0</v>
      </c>
      <c r="G70" s="616">
        <v>0</v>
      </c>
      <c r="H70" s="616">
        <v>0</v>
      </c>
      <c r="I70" s="616">
        <v>0</v>
      </c>
      <c r="J70" s="616">
        <v>0</v>
      </c>
      <c r="M70" s="646"/>
      <c r="N70" s="646"/>
    </row>
    <row r="71" spans="1:14" ht="25.5" x14ac:dyDescent="0.2">
      <c r="A71" s="694">
        <v>63</v>
      </c>
      <c r="B71" s="645" t="s">
        <v>139</v>
      </c>
      <c r="C71" s="4" t="s">
        <v>312</v>
      </c>
      <c r="D71" s="616">
        <v>0</v>
      </c>
      <c r="E71" s="616">
        <v>0</v>
      </c>
      <c r="F71" s="616">
        <v>0</v>
      </c>
      <c r="G71" s="616">
        <v>0</v>
      </c>
      <c r="H71" s="616">
        <v>0</v>
      </c>
      <c r="I71" s="616">
        <v>0</v>
      </c>
      <c r="J71" s="616">
        <v>0</v>
      </c>
      <c r="M71" s="646"/>
      <c r="N71" s="646"/>
    </row>
    <row r="72" spans="1:14" x14ac:dyDescent="0.2">
      <c r="A72" s="694">
        <v>64</v>
      </c>
      <c r="B72" s="647" t="s">
        <v>141</v>
      </c>
      <c r="C72" s="4" t="s">
        <v>313</v>
      </c>
      <c r="D72" s="616">
        <v>11273</v>
      </c>
      <c r="E72" s="616">
        <v>3331</v>
      </c>
      <c r="F72" s="616">
        <v>3331</v>
      </c>
      <c r="G72" s="616">
        <v>999</v>
      </c>
      <c r="H72" s="616">
        <v>333</v>
      </c>
      <c r="I72" s="616">
        <v>333</v>
      </c>
      <c r="J72" s="616">
        <v>333</v>
      </c>
      <c r="M72" s="646"/>
      <c r="N72" s="646"/>
    </row>
    <row r="73" spans="1:14" x14ac:dyDescent="0.2">
      <c r="A73" s="694">
        <v>65</v>
      </c>
      <c r="B73" s="647" t="s">
        <v>143</v>
      </c>
      <c r="C73" s="43" t="s">
        <v>144</v>
      </c>
      <c r="D73" s="616">
        <v>10686</v>
      </c>
      <c r="E73" s="616">
        <v>2961</v>
      </c>
      <c r="F73" s="616">
        <v>2961</v>
      </c>
      <c r="G73" s="616">
        <v>888</v>
      </c>
      <c r="H73" s="616">
        <v>296</v>
      </c>
      <c r="I73" s="616">
        <v>296</v>
      </c>
      <c r="J73" s="616">
        <v>296</v>
      </c>
      <c r="M73" s="646"/>
      <c r="N73" s="646"/>
    </row>
    <row r="74" spans="1:14" x14ac:dyDescent="0.2">
      <c r="A74" s="694">
        <v>66</v>
      </c>
      <c r="B74" s="647" t="s">
        <v>145</v>
      </c>
      <c r="C74" s="4" t="s">
        <v>314</v>
      </c>
      <c r="D74" s="616">
        <v>12002</v>
      </c>
      <c r="E74" s="616">
        <v>4508</v>
      </c>
      <c r="F74" s="616">
        <v>4508</v>
      </c>
      <c r="G74" s="616">
        <v>1353</v>
      </c>
      <c r="H74" s="616">
        <v>451</v>
      </c>
      <c r="I74" s="616">
        <v>451</v>
      </c>
      <c r="J74" s="616">
        <v>451</v>
      </c>
      <c r="M74" s="646"/>
      <c r="N74" s="646"/>
    </row>
    <row r="75" spans="1:14" ht="25.5" x14ac:dyDescent="0.2">
      <c r="A75" s="694">
        <v>67</v>
      </c>
      <c r="B75" s="647" t="s">
        <v>147</v>
      </c>
      <c r="C75" s="4" t="s">
        <v>315</v>
      </c>
      <c r="D75" s="616">
        <v>0</v>
      </c>
      <c r="E75" s="616">
        <v>0</v>
      </c>
      <c r="F75" s="616">
        <v>0</v>
      </c>
      <c r="G75" s="616">
        <v>0</v>
      </c>
      <c r="H75" s="616">
        <v>0</v>
      </c>
      <c r="I75" s="616">
        <v>0</v>
      </c>
      <c r="J75" s="616">
        <v>0</v>
      </c>
      <c r="M75" s="646"/>
      <c r="N75" s="646"/>
    </row>
    <row r="76" spans="1:14" ht="25.5" x14ac:dyDescent="0.2">
      <c r="A76" s="694">
        <v>68</v>
      </c>
      <c r="B76" s="645" t="s">
        <v>149</v>
      </c>
      <c r="C76" s="4" t="s">
        <v>316</v>
      </c>
      <c r="D76" s="616">
        <v>0</v>
      </c>
      <c r="E76" s="616">
        <v>0</v>
      </c>
      <c r="F76" s="616">
        <v>0</v>
      </c>
      <c r="G76" s="616">
        <v>0</v>
      </c>
      <c r="H76" s="616">
        <v>0</v>
      </c>
      <c r="I76" s="616">
        <v>0</v>
      </c>
      <c r="J76" s="616">
        <v>0</v>
      </c>
      <c r="M76" s="646"/>
      <c r="N76" s="646"/>
    </row>
    <row r="77" spans="1:14" ht="25.5" x14ac:dyDescent="0.2">
      <c r="A77" s="694">
        <v>69</v>
      </c>
      <c r="B77" s="647" t="s">
        <v>151</v>
      </c>
      <c r="C77" s="4" t="s">
        <v>317</v>
      </c>
      <c r="D77" s="616">
        <v>0</v>
      </c>
      <c r="E77" s="616">
        <v>0</v>
      </c>
      <c r="F77" s="616">
        <v>0</v>
      </c>
      <c r="G77" s="616">
        <v>0</v>
      </c>
      <c r="H77" s="616">
        <v>0</v>
      </c>
      <c r="I77" s="616">
        <v>0</v>
      </c>
      <c r="J77" s="616">
        <v>0</v>
      </c>
      <c r="M77" s="646"/>
      <c r="N77" s="646"/>
    </row>
    <row r="78" spans="1:14" ht="25.5" x14ac:dyDescent="0.2">
      <c r="A78" s="694">
        <v>70</v>
      </c>
      <c r="B78" s="647" t="s">
        <v>153</v>
      </c>
      <c r="C78" s="4" t="s">
        <v>318</v>
      </c>
      <c r="D78" s="616">
        <v>0</v>
      </c>
      <c r="E78" s="616">
        <v>0</v>
      </c>
      <c r="F78" s="616">
        <v>0</v>
      </c>
      <c r="G78" s="616">
        <v>0</v>
      </c>
      <c r="H78" s="616">
        <v>0</v>
      </c>
      <c r="I78" s="616">
        <v>0</v>
      </c>
      <c r="J78" s="616">
        <v>0</v>
      </c>
      <c r="M78" s="646"/>
      <c r="N78" s="646"/>
    </row>
    <row r="79" spans="1:14" ht="25.5" x14ac:dyDescent="0.2">
      <c r="A79" s="694">
        <v>71</v>
      </c>
      <c r="B79" s="645" t="s">
        <v>155</v>
      </c>
      <c r="C79" s="4" t="s">
        <v>319</v>
      </c>
      <c r="D79" s="616">
        <v>0</v>
      </c>
      <c r="E79" s="616">
        <v>0</v>
      </c>
      <c r="F79" s="616">
        <v>0</v>
      </c>
      <c r="G79" s="616">
        <v>0</v>
      </c>
      <c r="H79" s="616">
        <v>0</v>
      </c>
      <c r="I79" s="616">
        <v>0</v>
      </c>
      <c r="J79" s="616">
        <v>0</v>
      </c>
      <c r="M79" s="646"/>
      <c r="N79" s="646"/>
    </row>
    <row r="80" spans="1:14" ht="25.5" x14ac:dyDescent="0.2">
      <c r="A80" s="694">
        <v>72</v>
      </c>
      <c r="B80" s="645" t="s">
        <v>157</v>
      </c>
      <c r="C80" s="4" t="s">
        <v>320</v>
      </c>
      <c r="D80" s="616">
        <v>0</v>
      </c>
      <c r="E80" s="616">
        <v>0</v>
      </c>
      <c r="F80" s="616">
        <v>0</v>
      </c>
      <c r="G80" s="616">
        <v>0</v>
      </c>
      <c r="H80" s="616">
        <v>0</v>
      </c>
      <c r="I80" s="616">
        <v>0</v>
      </c>
      <c r="J80" s="616">
        <v>0</v>
      </c>
      <c r="M80" s="646"/>
      <c r="N80" s="646"/>
    </row>
    <row r="81" spans="1:14" ht="25.5" x14ac:dyDescent="0.2">
      <c r="A81" s="694">
        <v>73</v>
      </c>
      <c r="B81" s="645" t="s">
        <v>159</v>
      </c>
      <c r="C81" s="4" t="s">
        <v>321</v>
      </c>
      <c r="D81" s="616">
        <v>0</v>
      </c>
      <c r="E81" s="616">
        <v>0</v>
      </c>
      <c r="F81" s="616">
        <v>0</v>
      </c>
      <c r="G81" s="616">
        <v>0</v>
      </c>
      <c r="H81" s="616">
        <v>0</v>
      </c>
      <c r="I81" s="616">
        <v>0</v>
      </c>
      <c r="J81" s="616">
        <v>0</v>
      </c>
      <c r="M81" s="646"/>
      <c r="N81" s="646"/>
    </row>
    <row r="82" spans="1:14" x14ac:dyDescent="0.2">
      <c r="A82" s="694">
        <v>74</v>
      </c>
      <c r="B82" s="648" t="s">
        <v>161</v>
      </c>
      <c r="C82" s="4" t="s">
        <v>162</v>
      </c>
      <c r="D82" s="616">
        <v>7739</v>
      </c>
      <c r="E82" s="616">
        <v>2742</v>
      </c>
      <c r="F82" s="616">
        <v>2742</v>
      </c>
      <c r="G82" s="616">
        <v>822</v>
      </c>
      <c r="H82" s="616">
        <v>274</v>
      </c>
      <c r="I82" s="616">
        <v>274</v>
      </c>
      <c r="J82" s="616">
        <v>274</v>
      </c>
      <c r="M82" s="646"/>
      <c r="N82" s="646"/>
    </row>
    <row r="83" spans="1:14" x14ac:dyDescent="0.2">
      <c r="A83" s="694">
        <v>75</v>
      </c>
      <c r="B83" s="645" t="s">
        <v>163</v>
      </c>
      <c r="C83" s="4" t="s">
        <v>322</v>
      </c>
      <c r="D83" s="616">
        <v>21642</v>
      </c>
      <c r="E83" s="616">
        <v>6053</v>
      </c>
      <c r="F83" s="616">
        <v>6053</v>
      </c>
      <c r="G83" s="616">
        <v>1812</v>
      </c>
      <c r="H83" s="616">
        <v>604</v>
      </c>
      <c r="I83" s="616">
        <v>604</v>
      </c>
      <c r="J83" s="616">
        <v>604</v>
      </c>
      <c r="M83" s="646"/>
      <c r="N83" s="646"/>
    </row>
    <row r="84" spans="1:14" x14ac:dyDescent="0.2">
      <c r="A84" s="694">
        <v>76</v>
      </c>
      <c r="B84" s="648" t="s">
        <v>165</v>
      </c>
      <c r="C84" s="4" t="s">
        <v>166</v>
      </c>
      <c r="D84" s="616">
        <v>9741</v>
      </c>
      <c r="E84" s="616">
        <v>3875</v>
      </c>
      <c r="F84" s="616">
        <v>3875</v>
      </c>
      <c r="G84" s="616">
        <v>1164</v>
      </c>
      <c r="H84" s="616">
        <v>388</v>
      </c>
      <c r="I84" s="616">
        <v>388</v>
      </c>
      <c r="J84" s="616">
        <v>388</v>
      </c>
      <c r="M84" s="646"/>
      <c r="N84" s="646"/>
    </row>
    <row r="85" spans="1:14" x14ac:dyDescent="0.2">
      <c r="A85" s="694">
        <v>77</v>
      </c>
      <c r="B85" s="649" t="s">
        <v>167</v>
      </c>
      <c r="C85" s="324" t="s">
        <v>168</v>
      </c>
      <c r="D85" s="616">
        <v>3372</v>
      </c>
      <c r="E85" s="616">
        <v>774</v>
      </c>
      <c r="F85" s="616">
        <v>774</v>
      </c>
      <c r="G85" s="616">
        <v>231</v>
      </c>
      <c r="H85" s="616">
        <v>77</v>
      </c>
      <c r="I85" s="616">
        <v>77</v>
      </c>
      <c r="J85" s="616">
        <v>77</v>
      </c>
      <c r="M85" s="646"/>
      <c r="N85" s="646"/>
    </row>
    <row r="86" spans="1:14" x14ac:dyDescent="0.2">
      <c r="A86" s="694">
        <v>78</v>
      </c>
      <c r="B86" s="645" t="s">
        <v>169</v>
      </c>
      <c r="C86" s="4" t="s">
        <v>170</v>
      </c>
      <c r="D86" s="616">
        <v>20949</v>
      </c>
      <c r="E86" s="616">
        <v>17557</v>
      </c>
      <c r="F86" s="616">
        <v>17557</v>
      </c>
      <c r="G86" s="616">
        <v>5268</v>
      </c>
      <c r="H86" s="616">
        <v>1756</v>
      </c>
      <c r="I86" s="616">
        <v>1756</v>
      </c>
      <c r="J86" s="616">
        <v>1756</v>
      </c>
      <c r="M86" s="646"/>
      <c r="N86" s="646"/>
    </row>
    <row r="87" spans="1:14" x14ac:dyDescent="0.2">
      <c r="A87" s="694">
        <v>79</v>
      </c>
      <c r="B87" s="649" t="s">
        <v>171</v>
      </c>
      <c r="C87" s="324" t="s">
        <v>172</v>
      </c>
      <c r="D87" s="616">
        <v>0</v>
      </c>
      <c r="E87" s="616">
        <v>0</v>
      </c>
      <c r="F87" s="616">
        <v>0</v>
      </c>
      <c r="G87" s="616">
        <v>0</v>
      </c>
      <c r="H87" s="616">
        <v>0</v>
      </c>
      <c r="I87" s="616">
        <v>0</v>
      </c>
      <c r="J87" s="616">
        <v>0</v>
      </c>
      <c r="M87" s="646"/>
      <c r="N87" s="646"/>
    </row>
    <row r="88" spans="1:14" x14ac:dyDescent="0.2">
      <c r="A88" s="694">
        <v>80</v>
      </c>
      <c r="B88" s="645" t="s">
        <v>173</v>
      </c>
      <c r="C88" s="4" t="s">
        <v>323</v>
      </c>
      <c r="D88" s="616">
        <v>18769</v>
      </c>
      <c r="E88" s="616">
        <v>8931</v>
      </c>
      <c r="F88" s="616">
        <v>8931</v>
      </c>
      <c r="G88" s="616">
        <v>2679</v>
      </c>
      <c r="H88" s="616">
        <v>893</v>
      </c>
      <c r="I88" s="616">
        <v>893</v>
      </c>
      <c r="J88" s="616">
        <v>893</v>
      </c>
      <c r="M88" s="646"/>
      <c r="N88" s="646"/>
    </row>
    <row r="89" spans="1:14" x14ac:dyDescent="0.2">
      <c r="A89" s="694">
        <v>81</v>
      </c>
      <c r="B89" s="649" t="s">
        <v>175</v>
      </c>
      <c r="C89" s="1" t="s">
        <v>749</v>
      </c>
      <c r="D89" s="616">
        <v>0</v>
      </c>
      <c r="E89" s="616">
        <v>0</v>
      </c>
      <c r="F89" s="616">
        <v>0</v>
      </c>
      <c r="G89" s="616">
        <v>0</v>
      </c>
      <c r="H89" s="616">
        <v>0</v>
      </c>
      <c r="I89" s="616">
        <v>0</v>
      </c>
      <c r="J89" s="616">
        <v>0</v>
      </c>
      <c r="M89" s="646"/>
      <c r="N89" s="646"/>
    </row>
    <row r="90" spans="1:14" x14ac:dyDescent="0.2">
      <c r="A90" s="694">
        <v>82</v>
      </c>
      <c r="B90" s="647" t="s">
        <v>177</v>
      </c>
      <c r="C90" s="4" t="s">
        <v>359</v>
      </c>
      <c r="D90" s="616">
        <v>0</v>
      </c>
      <c r="E90" s="616">
        <v>0</v>
      </c>
      <c r="F90" s="616">
        <v>0</v>
      </c>
      <c r="G90" s="616">
        <v>0</v>
      </c>
      <c r="H90" s="616">
        <v>0</v>
      </c>
      <c r="I90" s="616">
        <v>0</v>
      </c>
      <c r="J90" s="616">
        <v>0</v>
      </c>
      <c r="M90" s="646"/>
      <c r="N90" s="646"/>
    </row>
    <row r="91" spans="1:14" ht="42.75" customHeight="1" x14ac:dyDescent="0.2">
      <c r="A91" s="1085">
        <v>83</v>
      </c>
      <c r="B91" s="1088" t="s">
        <v>178</v>
      </c>
      <c r="C91" s="1" t="s">
        <v>747</v>
      </c>
      <c r="D91" s="616">
        <v>859</v>
      </c>
      <c r="E91" s="616">
        <v>149</v>
      </c>
      <c r="F91" s="616">
        <v>149</v>
      </c>
      <c r="G91" s="616">
        <v>45</v>
      </c>
      <c r="H91" s="616">
        <v>15</v>
      </c>
      <c r="I91" s="616">
        <v>15</v>
      </c>
      <c r="J91" s="616">
        <v>15</v>
      </c>
      <c r="M91" s="646"/>
      <c r="N91" s="646"/>
    </row>
    <row r="92" spans="1:14" ht="24" x14ac:dyDescent="0.2">
      <c r="A92" s="1086"/>
      <c r="B92" s="1089"/>
      <c r="C92" s="653" t="s">
        <v>180</v>
      </c>
      <c r="D92" s="616">
        <v>0</v>
      </c>
      <c r="E92" s="616">
        <v>0</v>
      </c>
      <c r="F92" s="616">
        <v>0</v>
      </c>
      <c r="G92" s="616">
        <v>0</v>
      </c>
      <c r="H92" s="616">
        <v>0</v>
      </c>
      <c r="I92" s="616">
        <v>0</v>
      </c>
      <c r="J92" s="616">
        <v>0</v>
      </c>
      <c r="M92" s="646"/>
      <c r="N92" s="646"/>
    </row>
    <row r="93" spans="1:14" ht="36" x14ac:dyDescent="0.2">
      <c r="A93" s="1087"/>
      <c r="B93" s="1090"/>
      <c r="C93" s="339" t="s">
        <v>748</v>
      </c>
      <c r="D93" s="616">
        <v>0</v>
      </c>
      <c r="E93" s="616">
        <v>0</v>
      </c>
      <c r="F93" s="616">
        <v>0</v>
      </c>
      <c r="G93" s="616">
        <v>0</v>
      </c>
      <c r="H93" s="616">
        <v>0</v>
      </c>
      <c r="I93" s="616">
        <v>0</v>
      </c>
      <c r="J93" s="616">
        <v>0</v>
      </c>
      <c r="M93" s="646"/>
      <c r="N93" s="646"/>
    </row>
    <row r="94" spans="1:14" ht="25.5" x14ac:dyDescent="0.2">
      <c r="A94" s="694">
        <v>84</v>
      </c>
      <c r="B94" s="647" t="s">
        <v>181</v>
      </c>
      <c r="C94" s="43" t="s">
        <v>182</v>
      </c>
      <c r="D94" s="616">
        <v>0</v>
      </c>
      <c r="E94" s="616">
        <v>0</v>
      </c>
      <c r="F94" s="616">
        <v>0</v>
      </c>
      <c r="G94" s="616">
        <v>0</v>
      </c>
      <c r="H94" s="616">
        <v>0</v>
      </c>
      <c r="I94" s="616">
        <v>0</v>
      </c>
      <c r="J94" s="616">
        <v>0</v>
      </c>
      <c r="M94" s="646"/>
      <c r="N94" s="646"/>
    </row>
    <row r="95" spans="1:14" x14ac:dyDescent="0.2">
      <c r="A95" s="694">
        <v>85</v>
      </c>
      <c r="B95" s="647" t="s">
        <v>183</v>
      </c>
      <c r="C95" s="324" t="s">
        <v>184</v>
      </c>
      <c r="D95" s="616">
        <v>788</v>
      </c>
      <c r="E95" s="616">
        <v>249</v>
      </c>
      <c r="F95" s="616">
        <v>249</v>
      </c>
      <c r="G95" s="616">
        <v>75</v>
      </c>
      <c r="H95" s="616">
        <v>25</v>
      </c>
      <c r="I95" s="616">
        <v>25</v>
      </c>
      <c r="J95" s="616">
        <v>25</v>
      </c>
      <c r="M95" s="646"/>
      <c r="N95" s="646"/>
    </row>
    <row r="96" spans="1:14" x14ac:dyDescent="0.2">
      <c r="A96" s="694">
        <v>86</v>
      </c>
      <c r="B96" s="648" t="s">
        <v>185</v>
      </c>
      <c r="C96" s="4" t="s">
        <v>186</v>
      </c>
      <c r="D96" s="616">
        <v>4399</v>
      </c>
      <c r="E96" s="616">
        <v>918</v>
      </c>
      <c r="F96" s="616">
        <v>918</v>
      </c>
      <c r="G96" s="616">
        <v>276</v>
      </c>
      <c r="H96" s="616">
        <v>92</v>
      </c>
      <c r="I96" s="616">
        <v>92</v>
      </c>
      <c r="J96" s="616">
        <v>92</v>
      </c>
      <c r="M96" s="646"/>
      <c r="N96" s="646"/>
    </row>
    <row r="97" spans="1:14" x14ac:dyDescent="0.2">
      <c r="A97" s="694">
        <v>87</v>
      </c>
      <c r="B97" s="647" t="s">
        <v>187</v>
      </c>
      <c r="C97" s="43" t="s">
        <v>188</v>
      </c>
      <c r="D97" s="616">
        <v>1400</v>
      </c>
      <c r="E97" s="616">
        <v>440</v>
      </c>
      <c r="F97" s="616">
        <v>440</v>
      </c>
      <c r="G97" s="616">
        <v>132</v>
      </c>
      <c r="H97" s="616">
        <v>44</v>
      </c>
      <c r="I97" s="616">
        <v>44</v>
      </c>
      <c r="J97" s="616">
        <v>44</v>
      </c>
      <c r="M97" s="646"/>
      <c r="N97" s="646"/>
    </row>
    <row r="98" spans="1:14" x14ac:dyDescent="0.2">
      <c r="A98" s="694">
        <v>88</v>
      </c>
      <c r="B98" s="648" t="s">
        <v>189</v>
      </c>
      <c r="C98" s="4" t="s">
        <v>190</v>
      </c>
      <c r="D98" s="616">
        <v>890</v>
      </c>
      <c r="E98" s="616">
        <v>100</v>
      </c>
      <c r="F98" s="616">
        <v>100</v>
      </c>
      <c r="G98" s="616">
        <v>30</v>
      </c>
      <c r="H98" s="616">
        <v>10</v>
      </c>
      <c r="I98" s="616">
        <v>10</v>
      </c>
      <c r="J98" s="616">
        <v>10</v>
      </c>
      <c r="M98" s="646"/>
      <c r="N98" s="646"/>
    </row>
    <row r="99" spans="1:14" x14ac:dyDescent="0.2">
      <c r="A99" s="694">
        <v>89</v>
      </c>
      <c r="B99" s="648" t="s">
        <v>191</v>
      </c>
      <c r="C99" s="4" t="s">
        <v>192</v>
      </c>
      <c r="D99" s="616">
        <v>4177</v>
      </c>
      <c r="E99" s="616">
        <v>1697</v>
      </c>
      <c r="F99" s="616">
        <v>1697</v>
      </c>
      <c r="G99" s="616">
        <v>510</v>
      </c>
      <c r="H99" s="616">
        <v>170</v>
      </c>
      <c r="I99" s="616">
        <v>170</v>
      </c>
      <c r="J99" s="616">
        <v>170</v>
      </c>
      <c r="M99" s="646"/>
      <c r="N99" s="646"/>
    </row>
    <row r="100" spans="1:14" x14ac:dyDescent="0.2">
      <c r="A100" s="694">
        <v>90</v>
      </c>
      <c r="B100" s="647" t="s">
        <v>193</v>
      </c>
      <c r="C100" s="324" t="s">
        <v>194</v>
      </c>
      <c r="D100" s="616">
        <v>1493</v>
      </c>
      <c r="E100" s="616">
        <v>1160</v>
      </c>
      <c r="F100" s="616">
        <v>1160</v>
      </c>
      <c r="G100" s="616">
        <v>348</v>
      </c>
      <c r="H100" s="616">
        <v>116</v>
      </c>
      <c r="I100" s="616">
        <v>116</v>
      </c>
      <c r="J100" s="616">
        <v>116</v>
      </c>
      <c r="M100" s="646"/>
      <c r="N100" s="646"/>
    </row>
    <row r="101" spans="1:14" x14ac:dyDescent="0.2">
      <c r="A101" s="694">
        <v>91</v>
      </c>
      <c r="B101" s="647" t="s">
        <v>195</v>
      </c>
      <c r="C101" s="43" t="s">
        <v>196</v>
      </c>
      <c r="D101" s="616">
        <v>3288</v>
      </c>
      <c r="E101" s="616">
        <v>307</v>
      </c>
      <c r="F101" s="616">
        <v>307</v>
      </c>
      <c r="G101" s="616">
        <v>93</v>
      </c>
      <c r="H101" s="616">
        <v>31</v>
      </c>
      <c r="I101" s="616">
        <v>31</v>
      </c>
      <c r="J101" s="616">
        <v>31</v>
      </c>
      <c r="M101" s="646"/>
      <c r="N101" s="646"/>
    </row>
    <row r="102" spans="1:14" x14ac:dyDescent="0.2">
      <c r="A102" s="694">
        <v>92</v>
      </c>
      <c r="B102" s="645" t="s">
        <v>197</v>
      </c>
      <c r="C102" s="43" t="s">
        <v>198</v>
      </c>
      <c r="D102" s="616">
        <v>2948</v>
      </c>
      <c r="E102" s="616">
        <v>1375</v>
      </c>
      <c r="F102" s="616">
        <v>1375</v>
      </c>
      <c r="G102" s="616">
        <v>414</v>
      </c>
      <c r="H102" s="616">
        <v>138</v>
      </c>
      <c r="I102" s="616">
        <v>138</v>
      </c>
      <c r="J102" s="616">
        <v>138</v>
      </c>
      <c r="M102" s="646"/>
      <c r="N102" s="646"/>
    </row>
    <row r="103" spans="1:14" x14ac:dyDescent="0.2">
      <c r="A103" s="694">
        <v>93</v>
      </c>
      <c r="B103" s="645" t="s">
        <v>199</v>
      </c>
      <c r="C103" s="43" t="s">
        <v>200</v>
      </c>
      <c r="D103" s="616">
        <v>3992</v>
      </c>
      <c r="E103" s="616">
        <v>1974</v>
      </c>
      <c r="F103" s="616">
        <v>1974</v>
      </c>
      <c r="G103" s="616">
        <v>591</v>
      </c>
      <c r="H103" s="616">
        <v>197</v>
      </c>
      <c r="I103" s="616">
        <v>197</v>
      </c>
      <c r="J103" s="616">
        <v>197</v>
      </c>
      <c r="M103" s="646"/>
      <c r="N103" s="646"/>
    </row>
    <row r="104" spans="1:14" x14ac:dyDescent="0.2">
      <c r="A104" s="694">
        <v>94</v>
      </c>
      <c r="B104" s="648" t="s">
        <v>201</v>
      </c>
      <c r="C104" s="4" t="s">
        <v>202</v>
      </c>
      <c r="D104" s="616">
        <v>770</v>
      </c>
      <c r="E104" s="616">
        <v>122</v>
      </c>
      <c r="F104" s="616">
        <v>122</v>
      </c>
      <c r="G104" s="616">
        <v>36</v>
      </c>
      <c r="H104" s="616">
        <v>12</v>
      </c>
      <c r="I104" s="616">
        <v>12</v>
      </c>
      <c r="J104" s="616">
        <v>12</v>
      </c>
      <c r="M104" s="646"/>
      <c r="N104" s="646"/>
    </row>
    <row r="105" spans="1:14" x14ac:dyDescent="0.2">
      <c r="A105" s="694">
        <v>95</v>
      </c>
      <c r="B105" s="649" t="s">
        <v>203</v>
      </c>
      <c r="C105" s="324" t="s">
        <v>204</v>
      </c>
      <c r="D105" s="616">
        <v>2356</v>
      </c>
      <c r="E105" s="616">
        <v>743</v>
      </c>
      <c r="F105" s="616">
        <v>743</v>
      </c>
      <c r="G105" s="616">
        <v>222</v>
      </c>
      <c r="H105" s="616">
        <v>74</v>
      </c>
      <c r="I105" s="616">
        <v>74</v>
      </c>
      <c r="J105" s="616">
        <v>74</v>
      </c>
      <c r="M105" s="646"/>
      <c r="N105" s="646"/>
    </row>
    <row r="106" spans="1:14" x14ac:dyDescent="0.2">
      <c r="A106" s="694">
        <v>96</v>
      </c>
      <c r="B106" s="645" t="s">
        <v>205</v>
      </c>
      <c r="C106" s="43" t="s">
        <v>206</v>
      </c>
      <c r="D106" s="616">
        <v>1013</v>
      </c>
      <c r="E106" s="616">
        <v>144</v>
      </c>
      <c r="F106" s="616">
        <v>144</v>
      </c>
      <c r="G106" s="616">
        <v>42</v>
      </c>
      <c r="H106" s="616">
        <v>14</v>
      </c>
      <c r="I106" s="616">
        <v>14</v>
      </c>
      <c r="J106" s="616">
        <v>14</v>
      </c>
      <c r="M106" s="646"/>
      <c r="N106" s="646"/>
    </row>
    <row r="107" spans="1:14" x14ac:dyDescent="0.2">
      <c r="A107" s="694">
        <v>97</v>
      </c>
      <c r="B107" s="647" t="s">
        <v>207</v>
      </c>
      <c r="C107" s="43" t="s">
        <v>208</v>
      </c>
      <c r="D107" s="616">
        <v>2072</v>
      </c>
      <c r="E107" s="616">
        <v>88</v>
      </c>
      <c r="F107" s="616">
        <v>88</v>
      </c>
      <c r="G107" s="616">
        <v>27</v>
      </c>
      <c r="H107" s="616">
        <v>9</v>
      </c>
      <c r="I107" s="616">
        <v>9</v>
      </c>
      <c r="J107" s="616">
        <v>9</v>
      </c>
      <c r="M107" s="646"/>
      <c r="N107" s="646"/>
    </row>
    <row r="108" spans="1:14" x14ac:dyDescent="0.2">
      <c r="A108" s="694">
        <v>98</v>
      </c>
      <c r="B108" s="648" t="s">
        <v>209</v>
      </c>
      <c r="C108" s="4" t="s">
        <v>210</v>
      </c>
      <c r="D108" s="616">
        <v>1593</v>
      </c>
      <c r="E108" s="616">
        <v>619</v>
      </c>
      <c r="F108" s="616">
        <v>619</v>
      </c>
      <c r="G108" s="616">
        <v>186</v>
      </c>
      <c r="H108" s="616">
        <v>62</v>
      </c>
      <c r="I108" s="616">
        <v>62</v>
      </c>
      <c r="J108" s="616">
        <v>62</v>
      </c>
      <c r="M108" s="646"/>
      <c r="N108" s="646"/>
    </row>
    <row r="109" spans="1:14" x14ac:dyDescent="0.2">
      <c r="A109" s="694">
        <v>99</v>
      </c>
      <c r="B109" s="648" t="s">
        <v>211</v>
      </c>
      <c r="C109" s="4" t="s">
        <v>212</v>
      </c>
      <c r="D109" s="616">
        <v>2049</v>
      </c>
      <c r="E109" s="616">
        <v>228</v>
      </c>
      <c r="F109" s="616">
        <v>228</v>
      </c>
      <c r="G109" s="616">
        <v>69</v>
      </c>
      <c r="H109" s="616">
        <v>23</v>
      </c>
      <c r="I109" s="616">
        <v>23</v>
      </c>
      <c r="J109" s="616">
        <v>23</v>
      </c>
      <c r="M109" s="646"/>
      <c r="N109" s="646"/>
    </row>
    <row r="110" spans="1:14" x14ac:dyDescent="0.2">
      <c r="A110" s="694">
        <v>100</v>
      </c>
      <c r="B110" s="645" t="s">
        <v>213</v>
      </c>
      <c r="C110" s="43" t="s">
        <v>214</v>
      </c>
      <c r="D110" s="616">
        <v>3063</v>
      </c>
      <c r="E110" s="616">
        <v>922</v>
      </c>
      <c r="F110" s="616">
        <v>922</v>
      </c>
      <c r="G110" s="616">
        <v>276</v>
      </c>
      <c r="H110" s="616">
        <v>92</v>
      </c>
      <c r="I110" s="616">
        <v>92</v>
      </c>
      <c r="J110" s="616">
        <v>92</v>
      </c>
      <c r="M110" s="646"/>
      <c r="N110" s="646"/>
    </row>
    <row r="111" spans="1:14" x14ac:dyDescent="0.2">
      <c r="A111" s="694">
        <v>101</v>
      </c>
      <c r="B111" s="647" t="s">
        <v>215</v>
      </c>
      <c r="C111" s="43" t="s">
        <v>216</v>
      </c>
      <c r="D111" s="616">
        <v>1846</v>
      </c>
      <c r="E111" s="616">
        <v>1116</v>
      </c>
      <c r="F111" s="616">
        <v>1116</v>
      </c>
      <c r="G111" s="616">
        <v>336</v>
      </c>
      <c r="H111" s="616">
        <v>112</v>
      </c>
      <c r="I111" s="616">
        <v>112</v>
      </c>
      <c r="J111" s="616">
        <v>112</v>
      </c>
      <c r="M111" s="646"/>
      <c r="N111" s="646"/>
    </row>
    <row r="112" spans="1:14" x14ac:dyDescent="0.2">
      <c r="A112" s="694">
        <v>102</v>
      </c>
      <c r="B112" s="645" t="s">
        <v>217</v>
      </c>
      <c r="C112" s="4" t="s">
        <v>218</v>
      </c>
      <c r="D112" s="616">
        <v>0</v>
      </c>
      <c r="E112" s="616">
        <v>0</v>
      </c>
      <c r="F112" s="616">
        <v>0</v>
      </c>
      <c r="G112" s="616">
        <v>0</v>
      </c>
      <c r="H112" s="616">
        <v>0</v>
      </c>
      <c r="I112" s="616">
        <v>0</v>
      </c>
      <c r="J112" s="616">
        <v>0</v>
      </c>
      <c r="M112" s="646"/>
      <c r="N112" s="646"/>
    </row>
    <row r="113" spans="1:14" x14ac:dyDescent="0.2">
      <c r="A113" s="694">
        <v>103</v>
      </c>
      <c r="B113" s="645" t="s">
        <v>219</v>
      </c>
      <c r="C113" s="43" t="s">
        <v>220</v>
      </c>
      <c r="D113" s="616">
        <v>0</v>
      </c>
      <c r="E113" s="616">
        <v>0</v>
      </c>
      <c r="F113" s="616">
        <v>0</v>
      </c>
      <c r="G113" s="616">
        <v>0</v>
      </c>
      <c r="H113" s="616">
        <v>0</v>
      </c>
      <c r="I113" s="616">
        <v>0</v>
      </c>
      <c r="J113" s="616">
        <v>0</v>
      </c>
      <c r="M113" s="646"/>
      <c r="N113" s="646"/>
    </row>
    <row r="114" spans="1:14" x14ac:dyDescent="0.2">
      <c r="A114" s="694">
        <v>104</v>
      </c>
      <c r="B114" s="648" t="s">
        <v>221</v>
      </c>
      <c r="C114" s="4" t="s">
        <v>222</v>
      </c>
      <c r="D114" s="616">
        <v>0</v>
      </c>
      <c r="E114" s="616">
        <v>0</v>
      </c>
      <c r="F114" s="616">
        <v>0</v>
      </c>
      <c r="G114" s="616">
        <v>0</v>
      </c>
      <c r="H114" s="616">
        <v>0</v>
      </c>
      <c r="I114" s="616">
        <v>0</v>
      </c>
      <c r="J114" s="616">
        <v>0</v>
      </c>
      <c r="M114" s="646"/>
      <c r="N114" s="646"/>
    </row>
    <row r="115" spans="1:14" x14ac:dyDescent="0.2">
      <c r="A115" s="694">
        <v>105</v>
      </c>
      <c r="B115" s="648" t="s">
        <v>223</v>
      </c>
      <c r="C115" s="4" t="s">
        <v>224</v>
      </c>
      <c r="D115" s="616">
        <v>0</v>
      </c>
      <c r="E115" s="616">
        <v>0</v>
      </c>
      <c r="F115" s="616">
        <v>0</v>
      </c>
      <c r="G115" s="616">
        <v>0</v>
      </c>
      <c r="H115" s="616">
        <v>0</v>
      </c>
      <c r="I115" s="616">
        <v>0</v>
      </c>
      <c r="J115" s="616">
        <v>0</v>
      </c>
      <c r="M115" s="646"/>
      <c r="N115" s="646"/>
    </row>
    <row r="116" spans="1:14" x14ac:dyDescent="0.2">
      <c r="A116" s="694">
        <v>106</v>
      </c>
      <c r="B116" s="648" t="s">
        <v>225</v>
      </c>
      <c r="C116" s="4" t="s">
        <v>226</v>
      </c>
      <c r="D116" s="616">
        <v>0</v>
      </c>
      <c r="E116" s="616">
        <v>0</v>
      </c>
      <c r="F116" s="616">
        <v>0</v>
      </c>
      <c r="G116" s="616">
        <v>0</v>
      </c>
      <c r="H116" s="616">
        <v>0</v>
      </c>
      <c r="I116" s="616">
        <v>0</v>
      </c>
      <c r="J116" s="616">
        <v>0</v>
      </c>
      <c r="M116" s="646"/>
      <c r="N116" s="646"/>
    </row>
    <row r="117" spans="1:14" x14ac:dyDescent="0.2">
      <c r="A117" s="694">
        <v>107</v>
      </c>
      <c r="B117" s="648" t="s">
        <v>227</v>
      </c>
      <c r="C117" s="4" t="s">
        <v>228</v>
      </c>
      <c r="D117" s="616">
        <v>0</v>
      </c>
      <c r="E117" s="616">
        <v>0</v>
      </c>
      <c r="F117" s="616">
        <v>0</v>
      </c>
      <c r="G117" s="616">
        <v>0</v>
      </c>
      <c r="H117" s="616">
        <v>0</v>
      </c>
      <c r="I117" s="616">
        <v>0</v>
      </c>
      <c r="J117" s="616">
        <v>0</v>
      </c>
      <c r="M117" s="646"/>
      <c r="N117" s="646"/>
    </row>
    <row r="118" spans="1:14" x14ac:dyDescent="0.2">
      <c r="A118" s="694">
        <v>108</v>
      </c>
      <c r="B118" s="648" t="s">
        <v>229</v>
      </c>
      <c r="C118" s="4" t="s">
        <v>230</v>
      </c>
      <c r="D118" s="616">
        <v>0</v>
      </c>
      <c r="E118" s="616">
        <v>0</v>
      </c>
      <c r="F118" s="616">
        <v>0</v>
      </c>
      <c r="G118" s="616">
        <v>0</v>
      </c>
      <c r="H118" s="616">
        <v>0</v>
      </c>
      <c r="I118" s="616">
        <v>0</v>
      </c>
      <c r="J118" s="616">
        <v>0</v>
      </c>
      <c r="M118" s="646"/>
      <c r="N118" s="646"/>
    </row>
    <row r="119" spans="1:14" x14ac:dyDescent="0.2">
      <c r="A119" s="694">
        <v>109</v>
      </c>
      <c r="B119" s="648" t="s">
        <v>231</v>
      </c>
      <c r="C119" s="4" t="s">
        <v>232</v>
      </c>
      <c r="D119" s="616">
        <v>0</v>
      </c>
      <c r="E119" s="616">
        <v>0</v>
      </c>
      <c r="F119" s="616">
        <v>0</v>
      </c>
      <c r="G119" s="616">
        <v>0</v>
      </c>
      <c r="H119" s="616">
        <v>0</v>
      </c>
      <c r="I119" s="616">
        <v>0</v>
      </c>
      <c r="J119" s="616">
        <v>0</v>
      </c>
      <c r="M119" s="646"/>
      <c r="N119" s="646"/>
    </row>
    <row r="120" spans="1:14" x14ac:dyDescent="0.2">
      <c r="A120" s="694">
        <v>110</v>
      </c>
      <c r="B120" s="615" t="s">
        <v>233</v>
      </c>
      <c r="C120" s="654" t="s">
        <v>234</v>
      </c>
      <c r="D120" s="616">
        <v>0</v>
      </c>
      <c r="E120" s="616">
        <v>0</v>
      </c>
      <c r="F120" s="616">
        <v>0</v>
      </c>
      <c r="G120" s="616">
        <v>0</v>
      </c>
      <c r="H120" s="616">
        <v>0</v>
      </c>
      <c r="I120" s="616">
        <v>0</v>
      </c>
      <c r="J120" s="616">
        <v>0</v>
      </c>
      <c r="M120" s="646"/>
      <c r="N120" s="646"/>
    </row>
    <row r="121" spans="1:14" x14ac:dyDescent="0.2">
      <c r="A121" s="694">
        <v>111</v>
      </c>
      <c r="B121" s="615" t="s">
        <v>235</v>
      </c>
      <c r="C121" s="654" t="s">
        <v>236</v>
      </c>
      <c r="D121" s="616">
        <v>0</v>
      </c>
      <c r="E121" s="616">
        <v>0</v>
      </c>
      <c r="F121" s="616">
        <v>0</v>
      </c>
      <c r="G121" s="616">
        <v>0</v>
      </c>
      <c r="H121" s="616">
        <v>0</v>
      </c>
      <c r="I121" s="616">
        <v>0</v>
      </c>
      <c r="J121" s="616">
        <v>0</v>
      </c>
      <c r="M121" s="646"/>
      <c r="N121" s="646"/>
    </row>
    <row r="122" spans="1:14" x14ac:dyDescent="0.2">
      <c r="A122" s="694">
        <v>112</v>
      </c>
      <c r="B122" s="647" t="s">
        <v>237</v>
      </c>
      <c r="C122" s="43" t="s">
        <v>238</v>
      </c>
      <c r="D122" s="616">
        <v>0</v>
      </c>
      <c r="E122" s="616">
        <v>0</v>
      </c>
      <c r="F122" s="616">
        <v>0</v>
      </c>
      <c r="G122" s="616">
        <v>0</v>
      </c>
      <c r="H122" s="616">
        <v>0</v>
      </c>
      <c r="I122" s="616">
        <v>0</v>
      </c>
      <c r="J122" s="616">
        <v>0</v>
      </c>
      <c r="M122" s="646"/>
      <c r="N122" s="646"/>
    </row>
    <row r="123" spans="1:14" x14ac:dyDescent="0.2">
      <c r="A123" s="694">
        <v>113</v>
      </c>
      <c r="B123" s="648" t="s">
        <v>239</v>
      </c>
      <c r="C123" s="4" t="s">
        <v>240</v>
      </c>
      <c r="D123" s="616">
        <v>0</v>
      </c>
      <c r="E123" s="616">
        <v>0</v>
      </c>
      <c r="F123" s="616">
        <v>0</v>
      </c>
      <c r="G123" s="616">
        <v>0</v>
      </c>
      <c r="H123" s="616">
        <v>0</v>
      </c>
      <c r="I123" s="616">
        <v>0</v>
      </c>
      <c r="J123" s="616">
        <v>0</v>
      </c>
      <c r="M123" s="646"/>
      <c r="N123" s="646"/>
    </row>
    <row r="124" spans="1:14" x14ac:dyDescent="0.2">
      <c r="A124" s="694">
        <v>114</v>
      </c>
      <c r="B124" s="645" t="s">
        <v>241</v>
      </c>
      <c r="C124" s="655" t="s">
        <v>242</v>
      </c>
      <c r="D124" s="616">
        <v>0</v>
      </c>
      <c r="E124" s="616">
        <v>0</v>
      </c>
      <c r="F124" s="616">
        <v>0</v>
      </c>
      <c r="G124" s="616">
        <v>0</v>
      </c>
      <c r="H124" s="616">
        <v>0</v>
      </c>
      <c r="I124" s="616">
        <v>0</v>
      </c>
      <c r="J124" s="616">
        <v>0</v>
      </c>
      <c r="M124" s="646"/>
      <c r="N124" s="646"/>
    </row>
    <row r="125" spans="1:14" x14ac:dyDescent="0.2">
      <c r="A125" s="694">
        <v>115</v>
      </c>
      <c r="B125" s="648" t="s">
        <v>243</v>
      </c>
      <c r="C125" s="51" t="s">
        <v>385</v>
      </c>
      <c r="D125" s="616">
        <v>0</v>
      </c>
      <c r="E125" s="616">
        <v>0</v>
      </c>
      <c r="F125" s="616">
        <v>0</v>
      </c>
      <c r="G125" s="616">
        <v>0</v>
      </c>
      <c r="H125" s="616">
        <v>0</v>
      </c>
      <c r="I125" s="616">
        <v>0</v>
      </c>
      <c r="J125" s="616">
        <v>0</v>
      </c>
      <c r="M125" s="646"/>
      <c r="N125" s="646"/>
    </row>
    <row r="126" spans="1:14" x14ac:dyDescent="0.2">
      <c r="A126" s="694">
        <v>116</v>
      </c>
      <c r="B126" s="647" t="s">
        <v>244</v>
      </c>
      <c r="C126" s="4" t="s">
        <v>325</v>
      </c>
      <c r="D126" s="616">
        <v>0</v>
      </c>
      <c r="E126" s="616">
        <v>0</v>
      </c>
      <c r="F126" s="616">
        <v>0</v>
      </c>
      <c r="G126" s="616">
        <v>0</v>
      </c>
      <c r="H126" s="616">
        <v>0</v>
      </c>
      <c r="I126" s="616">
        <v>0</v>
      </c>
      <c r="J126" s="616">
        <v>0</v>
      </c>
      <c r="M126" s="646"/>
      <c r="N126" s="646"/>
    </row>
    <row r="127" spans="1:14" x14ac:dyDescent="0.2">
      <c r="A127" s="694">
        <v>117</v>
      </c>
      <c r="B127" s="647" t="s">
        <v>246</v>
      </c>
      <c r="C127" s="4" t="s">
        <v>247</v>
      </c>
      <c r="D127" s="616">
        <v>0</v>
      </c>
      <c r="E127" s="616">
        <v>0</v>
      </c>
      <c r="F127" s="616">
        <v>0</v>
      </c>
      <c r="G127" s="616">
        <v>0</v>
      </c>
      <c r="H127" s="616">
        <v>0</v>
      </c>
      <c r="I127" s="616">
        <v>0</v>
      </c>
      <c r="J127" s="616">
        <v>0</v>
      </c>
      <c r="M127" s="646"/>
      <c r="N127" s="646"/>
    </row>
    <row r="128" spans="1:14" x14ac:dyDescent="0.2">
      <c r="A128" s="694">
        <v>118</v>
      </c>
      <c r="B128" s="647" t="s">
        <v>248</v>
      </c>
      <c r="C128" s="4" t="s">
        <v>249</v>
      </c>
      <c r="D128" s="616">
        <v>0</v>
      </c>
      <c r="E128" s="616">
        <v>0</v>
      </c>
      <c r="F128" s="616">
        <v>0</v>
      </c>
      <c r="G128" s="616">
        <v>0</v>
      </c>
      <c r="H128" s="616">
        <v>0</v>
      </c>
      <c r="I128" s="616">
        <v>0</v>
      </c>
      <c r="J128" s="616">
        <v>0</v>
      </c>
      <c r="M128" s="646"/>
      <c r="N128" s="646"/>
    </row>
    <row r="129" spans="1:14" x14ac:dyDescent="0.2">
      <c r="A129" s="694">
        <v>119</v>
      </c>
      <c r="B129" s="645" t="s">
        <v>250</v>
      </c>
      <c r="C129" s="43" t="s">
        <v>251</v>
      </c>
      <c r="D129" s="616">
        <v>0</v>
      </c>
      <c r="E129" s="616">
        <v>0</v>
      </c>
      <c r="F129" s="616">
        <v>0</v>
      </c>
      <c r="G129" s="616">
        <v>0</v>
      </c>
      <c r="H129" s="616">
        <v>0</v>
      </c>
      <c r="I129" s="616">
        <v>0</v>
      </c>
      <c r="J129" s="616">
        <v>0</v>
      </c>
      <c r="M129" s="646"/>
      <c r="N129" s="646"/>
    </row>
    <row r="130" spans="1:14" x14ac:dyDescent="0.2">
      <c r="A130" s="694">
        <v>120</v>
      </c>
      <c r="B130" s="647" t="s">
        <v>252</v>
      </c>
      <c r="C130" s="43" t="s">
        <v>253</v>
      </c>
      <c r="D130" s="616">
        <v>0</v>
      </c>
      <c r="E130" s="616">
        <v>0</v>
      </c>
      <c r="F130" s="616">
        <v>0</v>
      </c>
      <c r="G130" s="616">
        <v>0</v>
      </c>
      <c r="H130" s="616">
        <v>0</v>
      </c>
      <c r="I130" s="616">
        <v>0</v>
      </c>
      <c r="J130" s="616">
        <v>0</v>
      </c>
      <c r="M130" s="646"/>
      <c r="N130" s="646"/>
    </row>
    <row r="131" spans="1:14" x14ac:dyDescent="0.2">
      <c r="A131" s="694">
        <v>121</v>
      </c>
      <c r="B131" s="648" t="s">
        <v>254</v>
      </c>
      <c r="C131" s="4" t="s">
        <v>255</v>
      </c>
      <c r="D131" s="616">
        <v>0</v>
      </c>
      <c r="E131" s="616">
        <v>0</v>
      </c>
      <c r="F131" s="616">
        <v>0</v>
      </c>
      <c r="G131" s="616">
        <v>0</v>
      </c>
      <c r="H131" s="616">
        <v>0</v>
      </c>
      <c r="I131" s="616">
        <v>0</v>
      </c>
      <c r="J131" s="616">
        <v>0</v>
      </c>
      <c r="M131" s="646"/>
      <c r="N131" s="646"/>
    </row>
    <row r="132" spans="1:14" x14ac:dyDescent="0.2">
      <c r="A132" s="694">
        <v>122</v>
      </c>
      <c r="B132" s="648" t="s">
        <v>256</v>
      </c>
      <c r="C132" s="4" t="s">
        <v>257</v>
      </c>
      <c r="D132" s="616">
        <v>0</v>
      </c>
      <c r="E132" s="616">
        <v>0</v>
      </c>
      <c r="F132" s="616">
        <v>0</v>
      </c>
      <c r="G132" s="616">
        <v>0</v>
      </c>
      <c r="H132" s="616">
        <v>0</v>
      </c>
      <c r="I132" s="616">
        <v>0</v>
      </c>
      <c r="J132" s="616">
        <v>0</v>
      </c>
      <c r="M132" s="646"/>
      <c r="N132" s="646"/>
    </row>
    <row r="133" spans="1:14" x14ac:dyDescent="0.2">
      <c r="A133" s="694">
        <v>123</v>
      </c>
      <c r="B133" s="648" t="s">
        <v>258</v>
      </c>
      <c r="C133" s="4" t="s">
        <v>259</v>
      </c>
      <c r="D133" s="616">
        <v>0</v>
      </c>
      <c r="E133" s="616">
        <v>0</v>
      </c>
      <c r="F133" s="616">
        <v>0</v>
      </c>
      <c r="G133" s="616">
        <v>0</v>
      </c>
      <c r="H133" s="616">
        <v>0</v>
      </c>
      <c r="I133" s="616">
        <v>0</v>
      </c>
      <c r="J133" s="616">
        <v>0</v>
      </c>
      <c r="M133" s="646"/>
      <c r="N133" s="646"/>
    </row>
    <row r="134" spans="1:14" x14ac:dyDescent="0.2">
      <c r="A134" s="694">
        <v>124</v>
      </c>
      <c r="B134" s="648" t="s">
        <v>260</v>
      </c>
      <c r="C134" s="4" t="s">
        <v>261</v>
      </c>
      <c r="D134" s="616">
        <v>0</v>
      </c>
      <c r="E134" s="616">
        <v>0</v>
      </c>
      <c r="F134" s="616">
        <v>0</v>
      </c>
      <c r="G134" s="616">
        <v>0</v>
      </c>
      <c r="H134" s="616">
        <v>0</v>
      </c>
      <c r="I134" s="616">
        <v>0</v>
      </c>
      <c r="J134" s="616">
        <v>0</v>
      </c>
      <c r="M134" s="646"/>
      <c r="N134" s="646"/>
    </row>
    <row r="135" spans="1:14" x14ac:dyDescent="0.2">
      <c r="A135" s="694">
        <v>125</v>
      </c>
      <c r="B135" s="648" t="s">
        <v>262</v>
      </c>
      <c r="C135" s="4" t="s">
        <v>263</v>
      </c>
      <c r="D135" s="616">
        <v>0</v>
      </c>
      <c r="E135" s="616">
        <v>0</v>
      </c>
      <c r="F135" s="616">
        <v>0</v>
      </c>
      <c r="G135" s="616">
        <v>0</v>
      </c>
      <c r="H135" s="616">
        <v>0</v>
      </c>
      <c r="I135" s="616">
        <v>0</v>
      </c>
      <c r="J135" s="616">
        <v>0</v>
      </c>
      <c r="M135" s="646"/>
      <c r="N135" s="646"/>
    </row>
    <row r="136" spans="1:14" x14ac:dyDescent="0.2">
      <c r="A136" s="694">
        <v>126</v>
      </c>
      <c r="B136" s="645" t="s">
        <v>264</v>
      </c>
      <c r="C136" s="43" t="s">
        <v>265</v>
      </c>
      <c r="D136" s="616">
        <v>0</v>
      </c>
      <c r="E136" s="616">
        <v>0</v>
      </c>
      <c r="F136" s="616">
        <v>0</v>
      </c>
      <c r="G136" s="616">
        <v>0</v>
      </c>
      <c r="H136" s="616">
        <v>0</v>
      </c>
      <c r="I136" s="616">
        <v>0</v>
      </c>
      <c r="J136" s="616">
        <v>0</v>
      </c>
      <c r="M136" s="646"/>
      <c r="N136" s="646"/>
    </row>
    <row r="137" spans="1:14" x14ac:dyDescent="0.2">
      <c r="A137" s="694">
        <v>127</v>
      </c>
      <c r="B137" s="645" t="s">
        <v>266</v>
      </c>
      <c r="C137" s="4" t="s">
        <v>267</v>
      </c>
      <c r="D137" s="616">
        <v>0</v>
      </c>
      <c r="E137" s="616">
        <v>0</v>
      </c>
      <c r="F137" s="616">
        <v>0</v>
      </c>
      <c r="G137" s="616">
        <v>0</v>
      </c>
      <c r="H137" s="616">
        <v>0</v>
      </c>
      <c r="I137" s="616">
        <v>0</v>
      </c>
      <c r="J137" s="616">
        <v>0</v>
      </c>
      <c r="M137" s="646"/>
      <c r="N137" s="646"/>
    </row>
    <row r="138" spans="1:14" x14ac:dyDescent="0.2">
      <c r="A138" s="694">
        <v>128</v>
      </c>
      <c r="B138" s="649" t="s">
        <v>268</v>
      </c>
      <c r="C138" s="324" t="s">
        <v>269</v>
      </c>
      <c r="D138" s="616">
        <v>0</v>
      </c>
      <c r="E138" s="616">
        <v>0</v>
      </c>
      <c r="F138" s="616">
        <v>0</v>
      </c>
      <c r="G138" s="616">
        <v>0</v>
      </c>
      <c r="H138" s="616">
        <v>0</v>
      </c>
      <c r="I138" s="616">
        <v>0</v>
      </c>
      <c r="J138" s="616">
        <v>0</v>
      </c>
      <c r="M138" s="646"/>
      <c r="N138" s="646"/>
    </row>
    <row r="139" spans="1:14" x14ac:dyDescent="0.2">
      <c r="A139" s="694">
        <v>129</v>
      </c>
      <c r="B139" s="648" t="s">
        <v>270</v>
      </c>
      <c r="C139" s="4" t="s">
        <v>271</v>
      </c>
      <c r="D139" s="616">
        <v>0</v>
      </c>
      <c r="E139" s="616">
        <v>0</v>
      </c>
      <c r="F139" s="616">
        <v>0</v>
      </c>
      <c r="G139" s="616">
        <v>0</v>
      </c>
      <c r="H139" s="616">
        <v>0</v>
      </c>
      <c r="I139" s="616">
        <v>0</v>
      </c>
      <c r="J139" s="616">
        <v>0</v>
      </c>
      <c r="M139" s="646"/>
      <c r="N139" s="646"/>
    </row>
    <row r="140" spans="1:14" x14ac:dyDescent="0.2">
      <c r="A140" s="694">
        <v>130</v>
      </c>
      <c r="B140" s="648" t="s">
        <v>272</v>
      </c>
      <c r="C140" s="4" t="s">
        <v>273</v>
      </c>
      <c r="D140" s="616">
        <v>0</v>
      </c>
      <c r="E140" s="616">
        <v>0</v>
      </c>
      <c r="F140" s="616">
        <v>0</v>
      </c>
      <c r="G140" s="616">
        <v>0</v>
      </c>
      <c r="H140" s="616">
        <v>0</v>
      </c>
      <c r="I140" s="616">
        <v>0</v>
      </c>
      <c r="J140" s="616">
        <v>0</v>
      </c>
      <c r="M140" s="646"/>
      <c r="N140" s="646"/>
    </row>
    <row r="141" spans="1:14" x14ac:dyDescent="0.2">
      <c r="A141" s="694">
        <v>131</v>
      </c>
      <c r="B141" s="648" t="s">
        <v>274</v>
      </c>
      <c r="C141" s="4" t="s">
        <v>275</v>
      </c>
      <c r="D141" s="616">
        <v>0</v>
      </c>
      <c r="E141" s="616">
        <v>0</v>
      </c>
      <c r="F141" s="616">
        <v>0</v>
      </c>
      <c r="G141" s="616">
        <v>0</v>
      </c>
      <c r="H141" s="616">
        <v>0</v>
      </c>
      <c r="I141" s="616">
        <v>0</v>
      </c>
      <c r="J141" s="616">
        <v>0</v>
      </c>
      <c r="M141" s="646"/>
      <c r="N141" s="646"/>
    </row>
    <row r="142" spans="1:14" x14ac:dyDescent="0.2">
      <c r="A142" s="694">
        <v>132</v>
      </c>
      <c r="B142" s="649" t="s">
        <v>276</v>
      </c>
      <c r="C142" s="324" t="s">
        <v>277</v>
      </c>
      <c r="D142" s="616">
        <v>11210</v>
      </c>
      <c r="E142" s="616">
        <v>3022</v>
      </c>
      <c r="F142" s="616">
        <v>3022</v>
      </c>
      <c r="G142" s="616">
        <v>906</v>
      </c>
      <c r="H142" s="616">
        <v>302</v>
      </c>
      <c r="I142" s="616">
        <v>302</v>
      </c>
      <c r="J142" s="616">
        <v>302</v>
      </c>
      <c r="M142" s="646"/>
      <c r="N142" s="646"/>
    </row>
    <row r="143" spans="1:14" x14ac:dyDescent="0.2">
      <c r="A143" s="694">
        <v>133</v>
      </c>
      <c r="B143" s="647" t="s">
        <v>278</v>
      </c>
      <c r="C143" s="324" t="s">
        <v>279</v>
      </c>
      <c r="D143" s="616">
        <v>14154</v>
      </c>
      <c r="E143" s="616">
        <v>4290</v>
      </c>
      <c r="F143" s="616">
        <v>4290</v>
      </c>
      <c r="G143" s="616">
        <v>1287</v>
      </c>
      <c r="H143" s="616">
        <v>429</v>
      </c>
      <c r="I143" s="616">
        <v>429</v>
      </c>
      <c r="J143" s="616">
        <v>429</v>
      </c>
      <c r="M143" s="646"/>
      <c r="N143" s="646"/>
    </row>
    <row r="144" spans="1:14" x14ac:dyDescent="0.2">
      <c r="A144" s="694">
        <v>134</v>
      </c>
      <c r="B144" s="648" t="s">
        <v>280</v>
      </c>
      <c r="C144" s="4" t="s">
        <v>281</v>
      </c>
      <c r="D144" s="616">
        <v>0</v>
      </c>
      <c r="E144" s="616">
        <v>0</v>
      </c>
      <c r="F144" s="616">
        <v>0</v>
      </c>
      <c r="G144" s="616">
        <v>0</v>
      </c>
      <c r="H144" s="616">
        <v>0</v>
      </c>
      <c r="I144" s="616">
        <v>0</v>
      </c>
      <c r="J144" s="616">
        <v>0</v>
      </c>
      <c r="M144" s="646"/>
      <c r="N144" s="646"/>
    </row>
    <row r="145" spans="1:16" x14ac:dyDescent="0.2">
      <c r="A145" s="694">
        <v>135</v>
      </c>
      <c r="B145" s="645" t="s">
        <v>282</v>
      </c>
      <c r="C145" s="43" t="s">
        <v>283</v>
      </c>
      <c r="D145" s="616">
        <v>0</v>
      </c>
      <c r="E145" s="616">
        <v>0</v>
      </c>
      <c r="F145" s="616">
        <v>0</v>
      </c>
      <c r="G145" s="616">
        <v>0</v>
      </c>
      <c r="H145" s="616">
        <v>0</v>
      </c>
      <c r="I145" s="616">
        <v>0</v>
      </c>
      <c r="J145" s="616">
        <v>0</v>
      </c>
      <c r="M145" s="646"/>
      <c r="N145" s="646"/>
    </row>
    <row r="146" spans="1:16" x14ac:dyDescent="0.2">
      <c r="A146" s="694">
        <v>136</v>
      </c>
      <c r="B146" s="648" t="s">
        <v>284</v>
      </c>
      <c r="C146" s="4" t="s">
        <v>285</v>
      </c>
      <c r="D146" s="616">
        <v>0</v>
      </c>
      <c r="E146" s="616">
        <v>0</v>
      </c>
      <c r="F146" s="616">
        <v>0</v>
      </c>
      <c r="G146" s="616">
        <v>0</v>
      </c>
      <c r="H146" s="616">
        <v>0</v>
      </c>
      <c r="I146" s="616">
        <v>0</v>
      </c>
      <c r="J146" s="616">
        <v>0</v>
      </c>
      <c r="M146" s="646"/>
      <c r="N146" s="646"/>
    </row>
    <row r="147" spans="1:16" x14ac:dyDescent="0.2">
      <c r="A147" s="694">
        <v>137</v>
      </c>
      <c r="B147" s="52" t="s">
        <v>387</v>
      </c>
      <c r="C147" s="53" t="s">
        <v>388</v>
      </c>
      <c r="D147" s="616">
        <v>0</v>
      </c>
      <c r="E147" s="616">
        <v>0</v>
      </c>
      <c r="F147" s="616">
        <v>0</v>
      </c>
      <c r="G147" s="616"/>
      <c r="H147" s="616">
        <v>0</v>
      </c>
      <c r="I147" s="616">
        <v>0</v>
      </c>
      <c r="J147" s="616">
        <v>0</v>
      </c>
      <c r="M147" s="646"/>
      <c r="N147" s="646"/>
    </row>
    <row r="148" spans="1:16" x14ac:dyDescent="0.2">
      <c r="A148" s="694">
        <v>138</v>
      </c>
      <c r="B148" s="54" t="s">
        <v>389</v>
      </c>
      <c r="C148" s="55" t="s">
        <v>390</v>
      </c>
      <c r="D148" s="616">
        <v>0</v>
      </c>
      <c r="E148" s="616">
        <v>0</v>
      </c>
      <c r="F148" s="616">
        <v>0</v>
      </c>
      <c r="G148" s="616"/>
      <c r="H148" s="616">
        <v>0</v>
      </c>
      <c r="I148" s="616">
        <v>0</v>
      </c>
      <c r="J148" s="616">
        <v>0</v>
      </c>
      <c r="M148" s="646"/>
      <c r="N148" s="646"/>
    </row>
    <row r="149" spans="1:16" x14ac:dyDescent="0.2">
      <c r="A149" s="694">
        <v>139</v>
      </c>
      <c r="B149" s="56" t="s">
        <v>391</v>
      </c>
      <c r="C149" s="57" t="s">
        <v>392</v>
      </c>
      <c r="D149" s="616">
        <v>0</v>
      </c>
      <c r="E149" s="616">
        <v>0</v>
      </c>
      <c r="F149" s="616">
        <v>0</v>
      </c>
      <c r="G149" s="616"/>
      <c r="H149" s="616">
        <v>0</v>
      </c>
      <c r="I149" s="616">
        <v>0</v>
      </c>
      <c r="J149" s="616">
        <v>0</v>
      </c>
      <c r="M149" s="646"/>
      <c r="N149" s="646"/>
    </row>
    <row r="150" spans="1:16" x14ac:dyDescent="0.2">
      <c r="A150" s="694">
        <v>140</v>
      </c>
      <c r="B150" s="694" t="s">
        <v>393</v>
      </c>
      <c r="C150" s="61" t="s">
        <v>394</v>
      </c>
      <c r="D150" s="616">
        <v>0</v>
      </c>
      <c r="E150" s="616">
        <v>0</v>
      </c>
      <c r="F150" s="616">
        <v>0</v>
      </c>
      <c r="G150" s="616"/>
      <c r="H150" s="616">
        <v>0</v>
      </c>
      <c r="I150" s="616">
        <v>0</v>
      </c>
      <c r="J150" s="616">
        <v>0</v>
      </c>
      <c r="M150" s="646"/>
      <c r="N150" s="646"/>
    </row>
    <row r="151" spans="1:16" ht="12" customHeight="1" x14ac:dyDescent="0.2"/>
    <row r="153" spans="1:16" ht="48.75" customHeight="1" x14ac:dyDescent="0.2">
      <c r="A153" s="1091" t="s">
        <v>384</v>
      </c>
      <c r="B153" s="1091"/>
      <c r="C153" s="1091"/>
      <c r="D153" s="1091"/>
      <c r="E153" s="1091"/>
      <c r="F153" s="1091"/>
      <c r="G153" s="1091"/>
      <c r="H153" s="1091"/>
      <c r="I153" s="1091"/>
      <c r="J153" s="1091"/>
      <c r="K153" s="656"/>
      <c r="L153" s="656"/>
      <c r="M153" s="656"/>
      <c r="N153" s="656"/>
      <c r="O153" s="656"/>
      <c r="P153" s="656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113" t="s">
        <v>291</v>
      </c>
      <c r="D1" s="1113"/>
      <c r="E1" s="1113"/>
      <c r="F1" s="1113"/>
      <c r="G1" s="1113"/>
      <c r="H1" s="1113"/>
      <c r="I1" s="1113"/>
      <c r="J1" s="1113"/>
      <c r="K1" s="1113"/>
      <c r="L1" s="1113"/>
    </row>
    <row r="3" spans="1:16" x14ac:dyDescent="0.2">
      <c r="A3" s="1110" t="s">
        <v>0</v>
      </c>
      <c r="B3" s="1110" t="s">
        <v>1</v>
      </c>
      <c r="C3" s="1114" t="s">
        <v>292</v>
      </c>
      <c r="D3" s="1110" t="s">
        <v>337</v>
      </c>
      <c r="E3" s="1110" t="s">
        <v>293</v>
      </c>
      <c r="F3" s="1110"/>
      <c r="G3" s="1115" t="s">
        <v>294</v>
      </c>
      <c r="H3" s="1116"/>
      <c r="I3" s="1116"/>
      <c r="J3" s="1116"/>
      <c r="K3" s="1116"/>
      <c r="L3" s="1117"/>
    </row>
    <row r="4" spans="1:16" ht="12.75" customHeight="1" x14ac:dyDescent="0.2">
      <c r="A4" s="1110"/>
      <c r="B4" s="1110"/>
      <c r="C4" s="1114"/>
      <c r="D4" s="1110"/>
      <c r="E4" s="1110"/>
      <c r="F4" s="1110"/>
      <c r="G4" s="1118" t="s">
        <v>295</v>
      </c>
      <c r="H4" s="1119"/>
      <c r="I4" s="1120"/>
      <c r="J4" s="1118" t="s">
        <v>296</v>
      </c>
      <c r="K4" s="1119"/>
      <c r="L4" s="1120"/>
    </row>
    <row r="5" spans="1:16" ht="12.75" customHeight="1" x14ac:dyDescent="0.2">
      <c r="A5" s="1110"/>
      <c r="B5" s="1110"/>
      <c r="C5" s="1114"/>
      <c r="D5" s="1110"/>
      <c r="E5" s="1110" t="s">
        <v>335</v>
      </c>
      <c r="F5" s="1110" t="s">
        <v>336</v>
      </c>
      <c r="G5" s="1111" t="s">
        <v>338</v>
      </c>
      <c r="H5" s="1110" t="s">
        <v>335</v>
      </c>
      <c r="I5" s="1110" t="s">
        <v>336</v>
      </c>
      <c r="J5" s="1111" t="s">
        <v>338</v>
      </c>
      <c r="K5" s="1110" t="s">
        <v>335</v>
      </c>
      <c r="L5" s="1110" t="s">
        <v>336</v>
      </c>
    </row>
    <row r="6" spans="1:16" ht="39.75" customHeight="1" x14ac:dyDescent="0.2">
      <c r="A6" s="1110"/>
      <c r="B6" s="1110"/>
      <c r="C6" s="1114"/>
      <c r="D6" s="1110"/>
      <c r="E6" s="1110"/>
      <c r="F6" s="1110"/>
      <c r="G6" s="1112"/>
      <c r="H6" s="1110"/>
      <c r="I6" s="1110"/>
      <c r="J6" s="1112"/>
      <c r="K6" s="1110"/>
      <c r="L6" s="1110"/>
    </row>
    <row r="7" spans="1:16" s="39" customFormat="1" ht="11.25" x14ac:dyDescent="0.2">
      <c r="A7" s="35">
        <v>1</v>
      </c>
      <c r="B7" s="36">
        <v>2</v>
      </c>
      <c r="C7" s="37">
        <v>3</v>
      </c>
      <c r="D7" s="35">
        <v>4</v>
      </c>
      <c r="E7" s="35">
        <v>5</v>
      </c>
      <c r="F7" s="35">
        <v>6</v>
      </c>
      <c r="G7" s="35">
        <v>7</v>
      </c>
      <c r="H7" s="38">
        <v>8</v>
      </c>
      <c r="I7" s="38">
        <v>9</v>
      </c>
      <c r="J7" s="38">
        <v>10</v>
      </c>
      <c r="K7" s="38">
        <v>11</v>
      </c>
      <c r="L7" s="38">
        <v>12</v>
      </c>
    </row>
    <row r="8" spans="1:16" s="39" customFormat="1" ht="19.5" customHeight="1" x14ac:dyDescent="0.2">
      <c r="A8" s="1109" t="s">
        <v>308</v>
      </c>
      <c r="B8" s="1109"/>
      <c r="C8" s="1109"/>
      <c r="D8" s="41">
        <f>E8+F8</f>
        <v>234970</v>
      </c>
      <c r="E8" s="41">
        <f>SUM(E9:E28)</f>
        <v>187978</v>
      </c>
      <c r="F8" s="41">
        <f>SUM(F9:F28)</f>
        <v>46992</v>
      </c>
      <c r="G8" s="41">
        <f>H8+I8</f>
        <v>181343</v>
      </c>
      <c r="H8" s="40">
        <f>SUM(H9:H28)</f>
        <v>145075</v>
      </c>
      <c r="I8" s="40">
        <f>SUM(I9:I28)</f>
        <v>36268</v>
      </c>
      <c r="J8" s="40">
        <f>K8+L8</f>
        <v>53627</v>
      </c>
      <c r="K8" s="40">
        <f t="shared" ref="K8:L8" si="0">SUM(K9:K28)</f>
        <v>42903</v>
      </c>
      <c r="L8" s="40">
        <f t="shared" si="0"/>
        <v>10724</v>
      </c>
    </row>
    <row r="9" spans="1:16" x14ac:dyDescent="0.2">
      <c r="A9" s="8">
        <v>1</v>
      </c>
      <c r="B9" s="34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34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34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34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34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34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34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34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34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34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34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34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34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34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34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34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34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34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34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34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H19" sqref="H19"/>
    </sheetView>
  </sheetViews>
  <sheetFormatPr defaultRowHeight="12.75" x14ac:dyDescent="0.2"/>
  <cols>
    <col min="1" max="1" width="6.5703125" style="14" customWidth="1"/>
    <col min="2" max="2" width="11.85546875" style="14" customWidth="1"/>
    <col min="3" max="3" width="42.85546875" style="14" customWidth="1"/>
    <col min="4" max="4" width="40.7109375" style="14" customWidth="1"/>
    <col min="5" max="6" width="9.140625" style="14" customWidth="1"/>
    <col min="7" max="16384" width="9.140625" style="14"/>
  </cols>
  <sheetData>
    <row r="1" spans="1:6" ht="42.75" customHeight="1" x14ac:dyDescent="0.2">
      <c r="A1" s="1124" t="s">
        <v>334</v>
      </c>
      <c r="B1" s="1124"/>
      <c r="C1" s="1124"/>
      <c r="D1" s="1124"/>
    </row>
    <row r="2" spans="1:6" x14ac:dyDescent="0.2">
      <c r="A2" s="15"/>
      <c r="B2" s="15"/>
      <c r="C2" s="16"/>
      <c r="D2" s="16"/>
    </row>
    <row r="3" spans="1:6" ht="12.75" customHeight="1" x14ac:dyDescent="0.25">
      <c r="A3" s="17"/>
      <c r="B3" s="17"/>
      <c r="C3" s="18"/>
      <c r="D3" s="19" t="s">
        <v>326</v>
      </c>
    </row>
    <row r="4" spans="1:6" s="20" customFormat="1" ht="38.25" customHeight="1" x14ac:dyDescent="0.2">
      <c r="A4" s="1125" t="s">
        <v>0</v>
      </c>
      <c r="B4" s="1093" t="s">
        <v>1</v>
      </c>
      <c r="C4" s="1125" t="s">
        <v>2</v>
      </c>
      <c r="D4" s="637" t="s">
        <v>327</v>
      </c>
      <c r="F4" s="21"/>
    </row>
    <row r="5" spans="1:6" s="20" customFormat="1" ht="20.25" customHeight="1" x14ac:dyDescent="0.2">
      <c r="A5" s="1126"/>
      <c r="B5" s="1094"/>
      <c r="C5" s="1126"/>
      <c r="D5" s="22" t="s">
        <v>328</v>
      </c>
    </row>
    <row r="6" spans="1:6" s="20" customFormat="1" ht="12" customHeight="1" x14ac:dyDescent="0.2">
      <c r="A6" s="1126"/>
      <c r="B6" s="1094"/>
      <c r="C6" s="1126"/>
      <c r="D6" s="1125" t="s">
        <v>329</v>
      </c>
    </row>
    <row r="7" spans="1:6" s="20" customFormat="1" ht="35.25" customHeight="1" x14ac:dyDescent="0.2">
      <c r="A7" s="1127"/>
      <c r="B7" s="1128"/>
      <c r="C7" s="1127"/>
      <c r="D7" s="1127"/>
    </row>
    <row r="8" spans="1:6" s="26" customFormat="1" ht="11.25" x14ac:dyDescent="0.2">
      <c r="A8" s="23">
        <v>1</v>
      </c>
      <c r="B8" s="24">
        <v>2</v>
      </c>
      <c r="C8" s="657">
        <v>3</v>
      </c>
      <c r="D8" s="25">
        <v>4</v>
      </c>
    </row>
    <row r="9" spans="1:6" s="26" customFormat="1" ht="15" customHeight="1" x14ac:dyDescent="0.2">
      <c r="A9" s="1121" t="s">
        <v>308</v>
      </c>
      <c r="B9" s="1122"/>
      <c r="C9" s="1123"/>
      <c r="D9" s="42">
        <f>SUM(D10:D16)</f>
        <v>211651</v>
      </c>
      <c r="E9" s="27"/>
      <c r="F9" s="27"/>
    </row>
    <row r="10" spans="1:6" s="30" customFormat="1" ht="15" x14ac:dyDescent="0.2">
      <c r="A10" s="28">
        <v>1</v>
      </c>
      <c r="B10" s="28" t="s">
        <v>50</v>
      </c>
      <c r="C10" s="658" t="s">
        <v>51</v>
      </c>
      <c r="D10" s="29">
        <v>15142</v>
      </c>
      <c r="E10" s="27"/>
    </row>
    <row r="11" spans="1:6" s="30" customFormat="1" ht="15" x14ac:dyDescent="0.2">
      <c r="A11" s="28">
        <v>2</v>
      </c>
      <c r="B11" s="659" t="s">
        <v>66</v>
      </c>
      <c r="C11" s="660" t="s">
        <v>67</v>
      </c>
      <c r="D11" s="29">
        <v>22597</v>
      </c>
      <c r="E11" s="27"/>
    </row>
    <row r="12" spans="1:6" s="30" customFormat="1" ht="15" x14ac:dyDescent="0.2">
      <c r="A12" s="28">
        <v>3</v>
      </c>
      <c r="B12" s="31" t="s">
        <v>68</v>
      </c>
      <c r="C12" s="658" t="s">
        <v>69</v>
      </c>
      <c r="D12" s="29">
        <v>25138</v>
      </c>
      <c r="E12" s="27"/>
    </row>
    <row r="13" spans="1:6" s="30" customFormat="1" ht="15" x14ac:dyDescent="0.2">
      <c r="A13" s="28">
        <v>4</v>
      </c>
      <c r="B13" s="28" t="s">
        <v>99</v>
      </c>
      <c r="C13" s="661" t="s">
        <v>330</v>
      </c>
      <c r="D13" s="29">
        <v>21443</v>
      </c>
      <c r="E13" s="27"/>
    </row>
    <row r="14" spans="1:6" s="30" customFormat="1" ht="15" x14ac:dyDescent="0.2">
      <c r="A14" s="28">
        <v>5</v>
      </c>
      <c r="B14" s="28" t="s">
        <v>260</v>
      </c>
      <c r="C14" s="658" t="s">
        <v>331</v>
      </c>
      <c r="D14" s="29">
        <v>49902</v>
      </c>
      <c r="E14" s="27"/>
    </row>
    <row r="15" spans="1:6" ht="15" x14ac:dyDescent="0.2">
      <c r="A15" s="28">
        <v>6</v>
      </c>
      <c r="B15" s="28" t="s">
        <v>16</v>
      </c>
      <c r="C15" s="658" t="s">
        <v>17</v>
      </c>
      <c r="D15" s="29">
        <v>2099</v>
      </c>
      <c r="E15" s="27"/>
    </row>
    <row r="16" spans="1:6" ht="15" x14ac:dyDescent="0.2">
      <c r="A16" s="28">
        <v>7</v>
      </c>
      <c r="B16" s="28" t="s">
        <v>169</v>
      </c>
      <c r="C16" s="32" t="s">
        <v>170</v>
      </c>
      <c r="D16" s="29">
        <v>75330</v>
      </c>
      <c r="E16" s="27"/>
    </row>
    <row r="18" spans="2:2" ht="15" x14ac:dyDescent="0.2">
      <c r="B18" s="3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A77" workbookViewId="0">
      <selection activeCell="E90" sqref="E90"/>
    </sheetView>
  </sheetViews>
  <sheetFormatPr defaultRowHeight="18.75" x14ac:dyDescent="0.3"/>
  <cols>
    <col min="1" max="1" width="4.85546875" style="85" customWidth="1"/>
    <col min="2" max="2" width="7.85546875" style="85" customWidth="1"/>
    <col min="3" max="3" width="35.42578125" style="85" customWidth="1"/>
    <col min="4" max="6" width="10.28515625" style="85" customWidth="1"/>
    <col min="7" max="16384" width="9.140625" style="85"/>
  </cols>
  <sheetData>
    <row r="1" spans="1:6" ht="11.25" customHeight="1" x14ac:dyDescent="0.3"/>
    <row r="2" spans="1:6" ht="31.5" customHeight="1" x14ac:dyDescent="0.3">
      <c r="A2" s="1131" t="s">
        <v>447</v>
      </c>
      <c r="B2" s="1131"/>
      <c r="C2" s="1131"/>
      <c r="D2" s="1131"/>
      <c r="E2" s="1131"/>
      <c r="F2" s="1131"/>
    </row>
    <row r="3" spans="1:6" ht="13.5" customHeight="1" x14ac:dyDescent="0.3">
      <c r="A3" s="86"/>
      <c r="B3" s="86"/>
      <c r="C3" s="86"/>
      <c r="D3" s="86"/>
      <c r="E3" s="86"/>
      <c r="F3" s="86"/>
    </row>
    <row r="4" spans="1:6" ht="33.75" customHeight="1" x14ac:dyDescent="0.3">
      <c r="A4" s="1129" t="s">
        <v>0</v>
      </c>
      <c r="B4" s="1129" t="s">
        <v>302</v>
      </c>
      <c r="C4" s="1132" t="s">
        <v>448</v>
      </c>
      <c r="D4" s="1129" t="s">
        <v>449</v>
      </c>
      <c r="E4" s="1129" t="s">
        <v>450</v>
      </c>
      <c r="F4" s="1129"/>
    </row>
    <row r="5" spans="1:6" ht="45" x14ac:dyDescent="0.3">
      <c r="A5" s="1129"/>
      <c r="B5" s="1129"/>
      <c r="C5" s="1132"/>
      <c r="D5" s="1129"/>
      <c r="E5" s="87" t="s">
        <v>451</v>
      </c>
      <c r="F5" s="87" t="s">
        <v>452</v>
      </c>
    </row>
    <row r="6" spans="1:6" ht="15" customHeight="1" x14ac:dyDescent="0.3">
      <c r="A6" s="88">
        <v>1</v>
      </c>
      <c r="B6" s="88">
        <v>2</v>
      </c>
      <c r="C6" s="88">
        <v>3</v>
      </c>
      <c r="D6" s="89">
        <v>4</v>
      </c>
      <c r="E6" s="89">
        <v>5</v>
      </c>
      <c r="F6" s="89">
        <v>6</v>
      </c>
    </row>
    <row r="7" spans="1:6" x14ac:dyDescent="0.3">
      <c r="A7" s="87">
        <v>1</v>
      </c>
      <c r="B7" s="90" t="s">
        <v>46</v>
      </c>
      <c r="C7" s="91" t="s">
        <v>47</v>
      </c>
      <c r="D7" s="92">
        <v>22037</v>
      </c>
      <c r="E7" s="92">
        <v>0</v>
      </c>
      <c r="F7" s="92">
        <v>0</v>
      </c>
    </row>
    <row r="8" spans="1:6" x14ac:dyDescent="0.3">
      <c r="A8" s="87">
        <v>2</v>
      </c>
      <c r="B8" s="90" t="s">
        <v>115</v>
      </c>
      <c r="C8" s="91" t="s">
        <v>116</v>
      </c>
      <c r="D8" s="92">
        <v>19478</v>
      </c>
      <c r="E8" s="92">
        <v>0</v>
      </c>
      <c r="F8" s="92">
        <v>0</v>
      </c>
    </row>
    <row r="9" spans="1:6" x14ac:dyDescent="0.3">
      <c r="A9" s="87">
        <v>3</v>
      </c>
      <c r="B9" s="90" t="s">
        <v>187</v>
      </c>
      <c r="C9" s="91" t="s">
        <v>188</v>
      </c>
      <c r="D9" s="92">
        <v>9109</v>
      </c>
      <c r="E9" s="92">
        <v>0</v>
      </c>
      <c r="F9" s="92">
        <v>0</v>
      </c>
    </row>
    <row r="10" spans="1:6" x14ac:dyDescent="0.3">
      <c r="A10" s="87">
        <v>4</v>
      </c>
      <c r="B10" s="90" t="s">
        <v>16</v>
      </c>
      <c r="C10" s="91" t="s">
        <v>17</v>
      </c>
      <c r="D10" s="92">
        <v>9831</v>
      </c>
      <c r="E10" s="92">
        <v>0</v>
      </c>
      <c r="F10" s="92">
        <v>0</v>
      </c>
    </row>
    <row r="11" spans="1:6" x14ac:dyDescent="0.3">
      <c r="A11" s="87">
        <v>5</v>
      </c>
      <c r="B11" s="90" t="s">
        <v>93</v>
      </c>
      <c r="C11" s="91" t="s">
        <v>94</v>
      </c>
      <c r="D11" s="92">
        <v>16423</v>
      </c>
      <c r="E11" s="92">
        <v>0</v>
      </c>
      <c r="F11" s="92">
        <v>0</v>
      </c>
    </row>
    <row r="12" spans="1:6" x14ac:dyDescent="0.3">
      <c r="A12" s="87">
        <v>6</v>
      </c>
      <c r="B12" s="90" t="s">
        <v>48</v>
      </c>
      <c r="C12" s="91" t="s">
        <v>49</v>
      </c>
      <c r="D12" s="92">
        <v>28713</v>
      </c>
      <c r="E12" s="92">
        <v>0</v>
      </c>
      <c r="F12" s="92">
        <v>0</v>
      </c>
    </row>
    <row r="13" spans="1:6" x14ac:dyDescent="0.3">
      <c r="A13" s="87">
        <v>7</v>
      </c>
      <c r="B13" s="90" t="s">
        <v>101</v>
      </c>
      <c r="C13" s="91" t="s">
        <v>102</v>
      </c>
      <c r="D13" s="92">
        <v>13698</v>
      </c>
      <c r="E13" s="92">
        <v>0</v>
      </c>
      <c r="F13" s="92">
        <v>0</v>
      </c>
    </row>
    <row r="14" spans="1:6" x14ac:dyDescent="0.3">
      <c r="A14" s="87">
        <v>8</v>
      </c>
      <c r="B14" s="90" t="s">
        <v>18</v>
      </c>
      <c r="C14" s="91" t="s">
        <v>19</v>
      </c>
      <c r="D14" s="92">
        <v>9907</v>
      </c>
      <c r="E14" s="92">
        <v>0</v>
      </c>
      <c r="F14" s="92">
        <v>0</v>
      </c>
    </row>
    <row r="15" spans="1:6" x14ac:dyDescent="0.3">
      <c r="A15" s="87">
        <v>9</v>
      </c>
      <c r="B15" s="90" t="s">
        <v>103</v>
      </c>
      <c r="C15" s="91" t="s">
        <v>104</v>
      </c>
      <c r="D15" s="92">
        <v>46056</v>
      </c>
      <c r="E15" s="92">
        <v>0</v>
      </c>
      <c r="F15" s="92">
        <v>0</v>
      </c>
    </row>
    <row r="16" spans="1:6" x14ac:dyDescent="0.3">
      <c r="A16" s="87">
        <v>10</v>
      </c>
      <c r="B16" s="90" t="s">
        <v>189</v>
      </c>
      <c r="C16" s="91" t="s">
        <v>190</v>
      </c>
      <c r="D16" s="92">
        <v>9265</v>
      </c>
      <c r="E16" s="92">
        <v>0</v>
      </c>
      <c r="F16" s="92">
        <v>0</v>
      </c>
    </row>
    <row r="17" spans="1:6" x14ac:dyDescent="0.3">
      <c r="A17" s="87">
        <v>11</v>
      </c>
      <c r="B17" s="90" t="s">
        <v>50</v>
      </c>
      <c r="C17" s="91" t="s">
        <v>51</v>
      </c>
      <c r="D17" s="92">
        <v>52768</v>
      </c>
      <c r="E17" s="92">
        <v>0</v>
      </c>
      <c r="F17" s="92">
        <v>0</v>
      </c>
    </row>
    <row r="18" spans="1:6" x14ac:dyDescent="0.3">
      <c r="A18" s="87">
        <v>12</v>
      </c>
      <c r="B18" s="90" t="s">
        <v>105</v>
      </c>
      <c r="C18" s="91" t="s">
        <v>106</v>
      </c>
      <c r="D18" s="92">
        <v>10243</v>
      </c>
      <c r="E18" s="92">
        <v>0</v>
      </c>
      <c r="F18" s="92">
        <v>0</v>
      </c>
    </row>
    <row r="19" spans="1:6" x14ac:dyDescent="0.3">
      <c r="A19" s="87">
        <v>13</v>
      </c>
      <c r="B19" s="90" t="s">
        <v>20</v>
      </c>
      <c r="C19" s="91" t="s">
        <v>21</v>
      </c>
      <c r="D19" s="92">
        <v>30350</v>
      </c>
      <c r="E19" s="92">
        <v>0</v>
      </c>
      <c r="F19" s="92">
        <v>0</v>
      </c>
    </row>
    <row r="20" spans="1:6" x14ac:dyDescent="0.3">
      <c r="A20" s="87">
        <v>14</v>
      </c>
      <c r="B20" s="90" t="s">
        <v>215</v>
      </c>
      <c r="C20" s="91" t="s">
        <v>216</v>
      </c>
      <c r="D20" s="92">
        <v>11283</v>
      </c>
      <c r="E20" s="92">
        <v>0</v>
      </c>
      <c r="F20" s="92">
        <v>0</v>
      </c>
    </row>
    <row r="21" spans="1:6" x14ac:dyDescent="0.3">
      <c r="A21" s="87">
        <v>15</v>
      </c>
      <c r="B21" s="90" t="s">
        <v>191</v>
      </c>
      <c r="C21" s="91" t="s">
        <v>192</v>
      </c>
      <c r="D21" s="92">
        <v>26058</v>
      </c>
      <c r="E21" s="92">
        <v>0</v>
      </c>
      <c r="F21" s="92">
        <v>0</v>
      </c>
    </row>
    <row r="22" spans="1:6" x14ac:dyDescent="0.3">
      <c r="A22" s="87">
        <v>16</v>
      </c>
      <c r="B22" s="90" t="s">
        <v>195</v>
      </c>
      <c r="C22" s="91" t="s">
        <v>196</v>
      </c>
      <c r="D22" s="92">
        <v>13546</v>
      </c>
      <c r="E22" s="92">
        <v>0</v>
      </c>
      <c r="F22" s="92">
        <v>0</v>
      </c>
    </row>
    <row r="23" spans="1:6" x14ac:dyDescent="0.3">
      <c r="A23" s="87">
        <v>17</v>
      </c>
      <c r="B23" s="90" t="s">
        <v>22</v>
      </c>
      <c r="C23" s="91" t="s">
        <v>23</v>
      </c>
      <c r="D23" s="92">
        <v>10766</v>
      </c>
      <c r="E23" s="92">
        <v>0</v>
      </c>
      <c r="F23" s="92">
        <v>0</v>
      </c>
    </row>
    <row r="24" spans="1:6" x14ac:dyDescent="0.3">
      <c r="A24" s="87">
        <v>18</v>
      </c>
      <c r="B24" s="90" t="s">
        <v>52</v>
      </c>
      <c r="C24" s="91" t="s">
        <v>53</v>
      </c>
      <c r="D24" s="92">
        <v>9154</v>
      </c>
      <c r="E24" s="92">
        <v>0</v>
      </c>
      <c r="F24" s="92">
        <v>0</v>
      </c>
    </row>
    <row r="25" spans="1:6" x14ac:dyDescent="0.3">
      <c r="A25" s="87">
        <v>19</v>
      </c>
      <c r="B25" s="90" t="s">
        <v>85</v>
      </c>
      <c r="C25" s="91" t="s">
        <v>86</v>
      </c>
      <c r="D25" s="92">
        <v>16609</v>
      </c>
      <c r="E25" s="92">
        <v>0</v>
      </c>
      <c r="F25" s="92">
        <v>0</v>
      </c>
    </row>
    <row r="26" spans="1:6" x14ac:dyDescent="0.3">
      <c r="A26" s="87">
        <v>20</v>
      </c>
      <c r="B26" s="90" t="s">
        <v>109</v>
      </c>
      <c r="C26" s="91" t="s">
        <v>110</v>
      </c>
      <c r="D26" s="92">
        <v>19322</v>
      </c>
      <c r="E26" s="92">
        <v>0</v>
      </c>
      <c r="F26" s="92">
        <v>0</v>
      </c>
    </row>
    <row r="27" spans="1:6" x14ac:dyDescent="0.3">
      <c r="A27" s="87">
        <v>21</v>
      </c>
      <c r="B27" s="90" t="s">
        <v>207</v>
      </c>
      <c r="C27" s="91" t="s">
        <v>208</v>
      </c>
      <c r="D27" s="92">
        <v>14945</v>
      </c>
      <c r="E27" s="92">
        <v>0</v>
      </c>
      <c r="F27" s="92">
        <v>0</v>
      </c>
    </row>
    <row r="28" spans="1:6" x14ac:dyDescent="0.3">
      <c r="A28" s="87">
        <v>22</v>
      </c>
      <c r="B28" s="90" t="s">
        <v>28</v>
      </c>
      <c r="C28" s="91" t="s">
        <v>29</v>
      </c>
      <c r="D28" s="92">
        <v>30229</v>
      </c>
      <c r="E28" s="92">
        <v>0</v>
      </c>
      <c r="F28" s="92">
        <v>0</v>
      </c>
    </row>
    <row r="29" spans="1:6" x14ac:dyDescent="0.3">
      <c r="A29" s="87">
        <v>23</v>
      </c>
      <c r="B29" s="90" t="s">
        <v>111</v>
      </c>
      <c r="C29" s="91" t="s">
        <v>112</v>
      </c>
      <c r="D29" s="92">
        <v>6500</v>
      </c>
      <c r="E29" s="92">
        <v>0</v>
      </c>
      <c r="F29" s="92">
        <v>0</v>
      </c>
    </row>
    <row r="30" spans="1:6" x14ac:dyDescent="0.3">
      <c r="A30" s="87">
        <v>24</v>
      </c>
      <c r="B30" s="90" t="s">
        <v>81</v>
      </c>
      <c r="C30" s="91" t="s">
        <v>82</v>
      </c>
      <c r="D30" s="92">
        <v>12761</v>
      </c>
      <c r="E30" s="92">
        <v>0</v>
      </c>
      <c r="F30" s="92">
        <v>0</v>
      </c>
    </row>
    <row r="31" spans="1:6" x14ac:dyDescent="0.3">
      <c r="A31" s="87">
        <v>25</v>
      </c>
      <c r="B31" s="90" t="s">
        <v>54</v>
      </c>
      <c r="C31" s="91" t="s">
        <v>55</v>
      </c>
      <c r="D31" s="92">
        <v>7064</v>
      </c>
      <c r="E31" s="92">
        <v>0</v>
      </c>
      <c r="F31" s="92">
        <v>0</v>
      </c>
    </row>
    <row r="32" spans="1:6" x14ac:dyDescent="0.3">
      <c r="A32" s="87">
        <v>26</v>
      </c>
      <c r="B32" s="90" t="s">
        <v>197</v>
      </c>
      <c r="C32" s="91" t="s">
        <v>198</v>
      </c>
      <c r="D32" s="92">
        <v>30914</v>
      </c>
      <c r="E32" s="92">
        <v>0</v>
      </c>
      <c r="F32" s="92">
        <v>0</v>
      </c>
    </row>
    <row r="33" spans="1:6" x14ac:dyDescent="0.3">
      <c r="A33" s="87">
        <v>27</v>
      </c>
      <c r="B33" s="90" t="s">
        <v>107</v>
      </c>
      <c r="C33" s="91" t="s">
        <v>108</v>
      </c>
      <c r="D33" s="92">
        <v>16031</v>
      </c>
      <c r="E33" s="92">
        <v>0</v>
      </c>
      <c r="F33" s="92">
        <v>0</v>
      </c>
    </row>
    <row r="34" spans="1:6" x14ac:dyDescent="0.3">
      <c r="A34" s="87">
        <v>28</v>
      </c>
      <c r="B34" s="90" t="s">
        <v>83</v>
      </c>
      <c r="C34" s="91" t="s">
        <v>84</v>
      </c>
      <c r="D34" s="92">
        <v>43474</v>
      </c>
      <c r="E34" s="92">
        <v>0</v>
      </c>
      <c r="F34" s="92">
        <v>0</v>
      </c>
    </row>
    <row r="35" spans="1:6" x14ac:dyDescent="0.3">
      <c r="A35" s="87">
        <v>29</v>
      </c>
      <c r="B35" s="90" t="s">
        <v>30</v>
      </c>
      <c r="C35" s="91" t="s">
        <v>31</v>
      </c>
      <c r="D35" s="92">
        <v>12547</v>
      </c>
      <c r="E35" s="92">
        <v>0</v>
      </c>
      <c r="F35" s="92">
        <v>0</v>
      </c>
    </row>
    <row r="36" spans="1:6" x14ac:dyDescent="0.3">
      <c r="A36" s="87">
        <v>30</v>
      </c>
      <c r="B36" s="90" t="s">
        <v>32</v>
      </c>
      <c r="C36" s="91" t="s">
        <v>33</v>
      </c>
      <c r="D36" s="92">
        <v>10923</v>
      </c>
      <c r="E36" s="92">
        <v>0</v>
      </c>
      <c r="F36" s="92">
        <v>0</v>
      </c>
    </row>
    <row r="37" spans="1:6" x14ac:dyDescent="0.3">
      <c r="A37" s="87">
        <v>31</v>
      </c>
      <c r="B37" s="90" t="s">
        <v>199</v>
      </c>
      <c r="C37" s="91" t="s">
        <v>200</v>
      </c>
      <c r="D37" s="92">
        <v>24373</v>
      </c>
      <c r="E37" s="92">
        <v>0</v>
      </c>
      <c r="F37" s="92">
        <v>0</v>
      </c>
    </row>
    <row r="38" spans="1:6" x14ac:dyDescent="0.3">
      <c r="A38" s="87">
        <v>32</v>
      </c>
      <c r="B38" s="90" t="s">
        <v>201</v>
      </c>
      <c r="C38" s="91" t="s">
        <v>202</v>
      </c>
      <c r="D38" s="92">
        <v>8452</v>
      </c>
      <c r="E38" s="92">
        <v>0</v>
      </c>
      <c r="F38" s="92">
        <v>0</v>
      </c>
    </row>
    <row r="39" spans="1:6" x14ac:dyDescent="0.3">
      <c r="A39" s="87">
        <v>33</v>
      </c>
      <c r="B39" s="90" t="s">
        <v>34</v>
      </c>
      <c r="C39" s="91" t="s">
        <v>35</v>
      </c>
      <c r="D39" s="92">
        <v>14009</v>
      </c>
      <c r="E39" s="92">
        <v>0</v>
      </c>
      <c r="F39" s="92">
        <v>0</v>
      </c>
    </row>
    <row r="40" spans="1:6" x14ac:dyDescent="0.3">
      <c r="A40" s="87">
        <v>34</v>
      </c>
      <c r="B40" s="90" t="s">
        <v>89</v>
      </c>
      <c r="C40" s="91" t="s">
        <v>90</v>
      </c>
      <c r="D40" s="92">
        <v>15083</v>
      </c>
      <c r="E40" s="92">
        <v>0</v>
      </c>
      <c r="F40" s="92">
        <v>0</v>
      </c>
    </row>
    <row r="41" spans="1:6" x14ac:dyDescent="0.3">
      <c r="A41" s="87">
        <v>35</v>
      </c>
      <c r="B41" s="90" t="s">
        <v>203</v>
      </c>
      <c r="C41" s="91" t="s">
        <v>204</v>
      </c>
      <c r="D41" s="92">
        <v>13021</v>
      </c>
      <c r="E41" s="92">
        <v>0</v>
      </c>
      <c r="F41" s="92">
        <v>0</v>
      </c>
    </row>
    <row r="42" spans="1:6" x14ac:dyDescent="0.3">
      <c r="A42" s="87">
        <v>36</v>
      </c>
      <c r="B42" s="90" t="s">
        <v>77</v>
      </c>
      <c r="C42" s="91" t="s">
        <v>78</v>
      </c>
      <c r="D42" s="92">
        <v>42831</v>
      </c>
      <c r="E42" s="92">
        <v>0</v>
      </c>
      <c r="F42" s="92">
        <v>0</v>
      </c>
    </row>
    <row r="43" spans="1:6" x14ac:dyDescent="0.3">
      <c r="A43" s="87">
        <v>37</v>
      </c>
      <c r="B43" s="90" t="s">
        <v>87</v>
      </c>
      <c r="C43" s="91" t="s">
        <v>88</v>
      </c>
      <c r="D43" s="92">
        <v>43485</v>
      </c>
      <c r="E43" s="92">
        <v>0</v>
      </c>
      <c r="F43" s="92">
        <v>0</v>
      </c>
    </row>
    <row r="44" spans="1:6" x14ac:dyDescent="0.3">
      <c r="A44" s="87">
        <v>38</v>
      </c>
      <c r="B44" s="90" t="s">
        <v>193</v>
      </c>
      <c r="C44" s="91" t="s">
        <v>194</v>
      </c>
      <c r="D44" s="92">
        <v>10964</v>
      </c>
      <c r="E44" s="92">
        <v>0</v>
      </c>
      <c r="F44" s="92">
        <v>0</v>
      </c>
    </row>
    <row r="45" spans="1:6" x14ac:dyDescent="0.3">
      <c r="A45" s="87">
        <v>39</v>
      </c>
      <c r="B45" s="90" t="s">
        <v>36</v>
      </c>
      <c r="C45" s="91" t="s">
        <v>37</v>
      </c>
      <c r="D45" s="92">
        <v>11439</v>
      </c>
      <c r="E45" s="92">
        <v>0</v>
      </c>
      <c r="F45" s="92">
        <v>0</v>
      </c>
    </row>
    <row r="46" spans="1:6" x14ac:dyDescent="0.3">
      <c r="A46" s="87">
        <v>40</v>
      </c>
      <c r="B46" s="90" t="s">
        <v>113</v>
      </c>
      <c r="C46" s="91" t="s">
        <v>114</v>
      </c>
      <c r="D46" s="92">
        <v>12943</v>
      </c>
      <c r="E46" s="92">
        <v>0</v>
      </c>
      <c r="F46" s="92">
        <v>0</v>
      </c>
    </row>
    <row r="47" spans="1:6" x14ac:dyDescent="0.3">
      <c r="A47" s="87">
        <v>41</v>
      </c>
      <c r="B47" s="90" t="s">
        <v>209</v>
      </c>
      <c r="C47" s="91" t="s">
        <v>210</v>
      </c>
      <c r="D47" s="92">
        <v>9849</v>
      </c>
      <c r="E47" s="92">
        <v>0</v>
      </c>
      <c r="F47" s="92">
        <v>0</v>
      </c>
    </row>
    <row r="48" spans="1:6" x14ac:dyDescent="0.3">
      <c r="A48" s="87">
        <v>42</v>
      </c>
      <c r="B48" s="90" t="s">
        <v>205</v>
      </c>
      <c r="C48" s="91" t="s">
        <v>206</v>
      </c>
      <c r="D48" s="92">
        <v>12697</v>
      </c>
      <c r="E48" s="92">
        <v>0</v>
      </c>
      <c r="F48" s="92">
        <v>0</v>
      </c>
    </row>
    <row r="49" spans="1:6" x14ac:dyDescent="0.3">
      <c r="A49" s="87">
        <v>43</v>
      </c>
      <c r="B49" s="90" t="s">
        <v>91</v>
      </c>
      <c r="C49" s="91" t="s">
        <v>92</v>
      </c>
      <c r="D49" s="92">
        <v>9285</v>
      </c>
      <c r="E49" s="92">
        <v>0</v>
      </c>
      <c r="F49" s="92">
        <v>0</v>
      </c>
    </row>
    <row r="50" spans="1:6" x14ac:dyDescent="0.3">
      <c r="A50" s="87">
        <v>44</v>
      </c>
      <c r="B50" s="90" t="s">
        <v>24</v>
      </c>
      <c r="C50" s="91" t="s">
        <v>25</v>
      </c>
      <c r="D50" s="92">
        <v>11710</v>
      </c>
      <c r="E50" s="92">
        <v>0</v>
      </c>
      <c r="F50" s="92">
        <v>0</v>
      </c>
    </row>
    <row r="51" spans="1:6" x14ac:dyDescent="0.3">
      <c r="A51" s="87">
        <v>45</v>
      </c>
      <c r="B51" s="90" t="s">
        <v>117</v>
      </c>
      <c r="C51" s="91" t="s">
        <v>118</v>
      </c>
      <c r="D51" s="92">
        <v>67932</v>
      </c>
      <c r="E51" s="92">
        <v>0</v>
      </c>
      <c r="F51" s="92">
        <v>0</v>
      </c>
    </row>
    <row r="52" spans="1:6" x14ac:dyDescent="0.3">
      <c r="A52" s="87">
        <v>46</v>
      </c>
      <c r="B52" s="90" t="s">
        <v>56</v>
      </c>
      <c r="C52" s="91" t="s">
        <v>57</v>
      </c>
      <c r="D52" s="92">
        <v>36623</v>
      </c>
      <c r="E52" s="92">
        <v>0</v>
      </c>
      <c r="F52" s="92">
        <v>0</v>
      </c>
    </row>
    <row r="53" spans="1:6" x14ac:dyDescent="0.3">
      <c r="A53" s="87">
        <v>47</v>
      </c>
      <c r="B53" s="90" t="s">
        <v>95</v>
      </c>
      <c r="C53" s="91" t="s">
        <v>96</v>
      </c>
      <c r="D53" s="92">
        <v>7507</v>
      </c>
      <c r="E53" s="92">
        <v>0</v>
      </c>
      <c r="F53" s="92">
        <v>0</v>
      </c>
    </row>
    <row r="54" spans="1:6" x14ac:dyDescent="0.3">
      <c r="A54" s="87">
        <v>48</v>
      </c>
      <c r="B54" s="90" t="s">
        <v>44</v>
      </c>
      <c r="C54" s="91" t="s">
        <v>45</v>
      </c>
      <c r="D54" s="92">
        <v>14845</v>
      </c>
      <c r="E54" s="92">
        <v>0</v>
      </c>
      <c r="F54" s="92">
        <v>0</v>
      </c>
    </row>
    <row r="55" spans="1:6" x14ac:dyDescent="0.3">
      <c r="A55" s="87">
        <v>49</v>
      </c>
      <c r="B55" s="90" t="s">
        <v>211</v>
      </c>
      <c r="C55" s="91" t="s">
        <v>212</v>
      </c>
      <c r="D55" s="92">
        <v>14165</v>
      </c>
      <c r="E55" s="92">
        <v>0</v>
      </c>
      <c r="F55" s="92">
        <v>0</v>
      </c>
    </row>
    <row r="56" spans="1:6" x14ac:dyDescent="0.3">
      <c r="A56" s="87">
        <v>50</v>
      </c>
      <c r="B56" s="90" t="s">
        <v>213</v>
      </c>
      <c r="C56" s="91" t="s">
        <v>214</v>
      </c>
      <c r="D56" s="92">
        <v>24801</v>
      </c>
      <c r="E56" s="92">
        <v>0</v>
      </c>
      <c r="F56" s="92">
        <v>0</v>
      </c>
    </row>
    <row r="57" spans="1:6" x14ac:dyDescent="0.3">
      <c r="A57" s="87">
        <v>51</v>
      </c>
      <c r="B57" s="90" t="s">
        <v>119</v>
      </c>
      <c r="C57" s="91" t="s">
        <v>120</v>
      </c>
      <c r="D57" s="92">
        <v>10682</v>
      </c>
      <c r="E57" s="92">
        <v>0</v>
      </c>
      <c r="F57" s="92">
        <v>0</v>
      </c>
    </row>
    <row r="58" spans="1:6" x14ac:dyDescent="0.3">
      <c r="A58" s="87">
        <v>52</v>
      </c>
      <c r="B58" s="90" t="s">
        <v>38</v>
      </c>
      <c r="C58" s="91" t="s">
        <v>39</v>
      </c>
      <c r="D58" s="92">
        <v>22452</v>
      </c>
      <c r="E58" s="92">
        <v>0</v>
      </c>
      <c r="F58" s="92">
        <v>0</v>
      </c>
    </row>
    <row r="59" spans="1:6" x14ac:dyDescent="0.3">
      <c r="A59" s="87">
        <v>53</v>
      </c>
      <c r="B59" s="90" t="s">
        <v>60</v>
      </c>
      <c r="C59" s="91" t="s">
        <v>61</v>
      </c>
      <c r="D59" s="92">
        <v>7147</v>
      </c>
      <c r="E59" s="92">
        <v>0</v>
      </c>
      <c r="F59" s="92">
        <v>0</v>
      </c>
    </row>
    <row r="60" spans="1:6" x14ac:dyDescent="0.3">
      <c r="A60" s="87">
        <v>54</v>
      </c>
      <c r="B60" s="90" t="s">
        <v>26</v>
      </c>
      <c r="C60" s="91" t="s">
        <v>27</v>
      </c>
      <c r="D60" s="92">
        <v>83428</v>
      </c>
      <c r="E60" s="92">
        <v>0</v>
      </c>
      <c r="F60" s="92">
        <v>0</v>
      </c>
    </row>
    <row r="61" spans="1:6" x14ac:dyDescent="0.3">
      <c r="A61" s="87">
        <v>55</v>
      </c>
      <c r="B61" s="90" t="s">
        <v>99</v>
      </c>
      <c r="C61" s="91" t="s">
        <v>100</v>
      </c>
      <c r="D61" s="92">
        <v>55624</v>
      </c>
      <c r="E61" s="92">
        <v>0</v>
      </c>
      <c r="F61" s="92">
        <v>0</v>
      </c>
    </row>
    <row r="62" spans="1:6" x14ac:dyDescent="0.3">
      <c r="A62" s="87">
        <v>56</v>
      </c>
      <c r="B62" s="90" t="s">
        <v>58</v>
      </c>
      <c r="C62" s="91" t="s">
        <v>59</v>
      </c>
      <c r="D62" s="92">
        <v>31451</v>
      </c>
      <c r="E62" s="92">
        <v>0</v>
      </c>
      <c r="F62" s="92">
        <v>0</v>
      </c>
    </row>
    <row r="63" spans="1:6" x14ac:dyDescent="0.3">
      <c r="A63" s="87">
        <v>57</v>
      </c>
      <c r="B63" s="90" t="s">
        <v>97</v>
      </c>
      <c r="C63" s="91" t="s">
        <v>453</v>
      </c>
      <c r="D63" s="92">
        <v>3370</v>
      </c>
      <c r="E63" s="92">
        <v>0</v>
      </c>
      <c r="F63" s="92">
        <v>0</v>
      </c>
    </row>
    <row r="64" spans="1:6" x14ac:dyDescent="0.3">
      <c r="A64" s="87">
        <v>58</v>
      </c>
      <c r="B64" s="90" t="s">
        <v>79</v>
      </c>
      <c r="C64" s="91" t="s">
        <v>80</v>
      </c>
      <c r="D64" s="92">
        <v>66502</v>
      </c>
      <c r="E64" s="92">
        <v>0</v>
      </c>
      <c r="F64" s="92">
        <v>0</v>
      </c>
    </row>
    <row r="65" spans="1:6" x14ac:dyDescent="0.3">
      <c r="A65" s="87">
        <v>59</v>
      </c>
      <c r="B65" s="90" t="s">
        <v>68</v>
      </c>
      <c r="C65" s="91" t="s">
        <v>454</v>
      </c>
      <c r="D65" s="92">
        <v>31219</v>
      </c>
      <c r="E65" s="92">
        <v>218</v>
      </c>
      <c r="F65" s="92">
        <v>0</v>
      </c>
    </row>
    <row r="66" spans="1:6" x14ac:dyDescent="0.3">
      <c r="A66" s="87">
        <v>60</v>
      </c>
      <c r="B66" s="90" t="s">
        <v>66</v>
      </c>
      <c r="C66" s="91" t="s">
        <v>67</v>
      </c>
      <c r="D66" s="92">
        <v>86856</v>
      </c>
      <c r="E66" s="92">
        <v>21338</v>
      </c>
      <c r="F66" s="92">
        <v>0</v>
      </c>
    </row>
    <row r="67" spans="1:6" x14ac:dyDescent="0.3">
      <c r="A67" s="87">
        <v>61</v>
      </c>
      <c r="B67" s="90" t="s">
        <v>70</v>
      </c>
      <c r="C67" s="91" t="s">
        <v>71</v>
      </c>
      <c r="D67" s="92">
        <v>28032</v>
      </c>
      <c r="E67" s="92">
        <v>14380</v>
      </c>
      <c r="F67" s="92">
        <v>0</v>
      </c>
    </row>
    <row r="68" spans="1:6" x14ac:dyDescent="0.3">
      <c r="A68" s="87">
        <v>62</v>
      </c>
      <c r="B68" s="90" t="s">
        <v>72</v>
      </c>
      <c r="C68" s="91" t="s">
        <v>73</v>
      </c>
      <c r="D68" s="92">
        <v>11000</v>
      </c>
      <c r="E68" s="92">
        <v>0</v>
      </c>
      <c r="F68" s="92">
        <v>0</v>
      </c>
    </row>
    <row r="69" spans="1:6" x14ac:dyDescent="0.3">
      <c r="A69" s="87">
        <v>63</v>
      </c>
      <c r="B69" s="90" t="s">
        <v>75</v>
      </c>
      <c r="C69" s="91" t="s">
        <v>455</v>
      </c>
      <c r="D69" s="92">
        <v>3441</v>
      </c>
      <c r="E69" s="92">
        <v>0</v>
      </c>
      <c r="F69" s="92">
        <v>0</v>
      </c>
    </row>
    <row r="70" spans="1:6" x14ac:dyDescent="0.3">
      <c r="A70" s="87">
        <v>64</v>
      </c>
      <c r="B70" s="90" t="s">
        <v>141</v>
      </c>
      <c r="C70" s="91" t="s">
        <v>456</v>
      </c>
      <c r="D70" s="92">
        <v>27110</v>
      </c>
      <c r="E70" s="92">
        <v>0</v>
      </c>
      <c r="F70" s="92">
        <v>0</v>
      </c>
    </row>
    <row r="71" spans="1:6" x14ac:dyDescent="0.3">
      <c r="A71" s="87">
        <v>65</v>
      </c>
      <c r="B71" s="90" t="s">
        <v>143</v>
      </c>
      <c r="C71" s="91" t="s">
        <v>144</v>
      </c>
      <c r="D71" s="92">
        <v>17023</v>
      </c>
      <c r="E71" s="92">
        <v>0</v>
      </c>
      <c r="F71" s="92">
        <v>0</v>
      </c>
    </row>
    <row r="72" spans="1:6" x14ac:dyDescent="0.3">
      <c r="A72" s="87">
        <v>66</v>
      </c>
      <c r="B72" s="90" t="s">
        <v>161</v>
      </c>
      <c r="C72" s="91" t="s">
        <v>162</v>
      </c>
      <c r="D72" s="92">
        <v>40658</v>
      </c>
      <c r="E72" s="92">
        <v>9113</v>
      </c>
      <c r="F72" s="92">
        <v>0</v>
      </c>
    </row>
    <row r="73" spans="1:6" x14ac:dyDescent="0.3">
      <c r="A73" s="87">
        <v>67</v>
      </c>
      <c r="B73" s="90" t="s">
        <v>145</v>
      </c>
      <c r="C73" s="91" t="s">
        <v>457</v>
      </c>
      <c r="D73" s="92">
        <v>37640</v>
      </c>
      <c r="E73" s="92">
        <v>0</v>
      </c>
      <c r="F73" s="92">
        <v>0</v>
      </c>
    </row>
    <row r="74" spans="1:6" x14ac:dyDescent="0.3">
      <c r="A74" s="87">
        <v>68</v>
      </c>
      <c r="B74" s="90" t="s">
        <v>167</v>
      </c>
      <c r="C74" s="91" t="s">
        <v>168</v>
      </c>
      <c r="D74" s="92">
        <v>8587</v>
      </c>
      <c r="E74" s="92">
        <v>0</v>
      </c>
      <c r="F74" s="92">
        <v>0</v>
      </c>
    </row>
    <row r="75" spans="1:6" x14ac:dyDescent="0.3">
      <c r="A75" s="87">
        <v>69</v>
      </c>
      <c r="B75" s="90" t="s">
        <v>165</v>
      </c>
      <c r="C75" s="91" t="s">
        <v>166</v>
      </c>
      <c r="D75" s="92">
        <v>68416</v>
      </c>
      <c r="E75" s="92">
        <v>24851</v>
      </c>
      <c r="F75" s="92">
        <v>13965</v>
      </c>
    </row>
    <row r="76" spans="1:6" x14ac:dyDescent="0.3">
      <c r="A76" s="87">
        <v>70</v>
      </c>
      <c r="B76" s="90" t="s">
        <v>169</v>
      </c>
      <c r="C76" s="91" t="s">
        <v>170</v>
      </c>
      <c r="D76" s="92">
        <v>47484</v>
      </c>
      <c r="E76" s="92">
        <v>0</v>
      </c>
      <c r="F76" s="92">
        <v>0</v>
      </c>
    </row>
    <row r="77" spans="1:6" x14ac:dyDescent="0.3">
      <c r="A77" s="87">
        <v>71</v>
      </c>
      <c r="B77" s="90" t="s">
        <v>173</v>
      </c>
      <c r="C77" s="91" t="s">
        <v>301</v>
      </c>
      <c r="D77" s="92">
        <v>39227</v>
      </c>
      <c r="E77" s="92">
        <v>0</v>
      </c>
      <c r="F77" s="92">
        <v>0</v>
      </c>
    </row>
    <row r="78" spans="1:6" x14ac:dyDescent="0.3">
      <c r="A78" s="87">
        <v>72</v>
      </c>
      <c r="B78" s="90" t="s">
        <v>163</v>
      </c>
      <c r="C78" s="91" t="s">
        <v>458</v>
      </c>
      <c r="D78" s="92">
        <v>71792</v>
      </c>
      <c r="E78" s="92">
        <v>20018</v>
      </c>
      <c r="F78" s="92">
        <v>0</v>
      </c>
    </row>
    <row r="79" spans="1:6" x14ac:dyDescent="0.3">
      <c r="A79" s="87">
        <v>73</v>
      </c>
      <c r="B79" s="90" t="s">
        <v>171</v>
      </c>
      <c r="C79" s="91" t="s">
        <v>172</v>
      </c>
      <c r="D79" s="92">
        <v>28322</v>
      </c>
      <c r="E79" s="92">
        <v>0</v>
      </c>
      <c r="F79" s="92">
        <v>0</v>
      </c>
    </row>
    <row r="80" spans="1:6" x14ac:dyDescent="0.3">
      <c r="A80" s="87">
        <v>74</v>
      </c>
      <c r="B80" s="90" t="s">
        <v>127</v>
      </c>
      <c r="C80" s="91" t="s">
        <v>128</v>
      </c>
      <c r="D80" s="92">
        <v>9655</v>
      </c>
      <c r="E80" s="92">
        <v>0</v>
      </c>
      <c r="F80" s="92">
        <v>0</v>
      </c>
    </row>
    <row r="81" spans="1:12" x14ac:dyDescent="0.3">
      <c r="A81" s="87">
        <v>75</v>
      </c>
      <c r="B81" s="90" t="s">
        <v>129</v>
      </c>
      <c r="C81" s="91" t="s">
        <v>459</v>
      </c>
      <c r="D81" s="92">
        <v>7667</v>
      </c>
      <c r="E81" s="92">
        <v>0</v>
      </c>
      <c r="F81" s="92">
        <v>0</v>
      </c>
    </row>
    <row r="82" spans="1:12" x14ac:dyDescent="0.3">
      <c r="A82" s="87">
        <v>76</v>
      </c>
      <c r="B82" s="90" t="s">
        <v>131</v>
      </c>
      <c r="C82" s="91" t="s">
        <v>460</v>
      </c>
      <c r="D82" s="92">
        <v>26783</v>
      </c>
      <c r="E82" s="92">
        <v>13883</v>
      </c>
      <c r="F82" s="92">
        <v>0</v>
      </c>
    </row>
    <row r="83" spans="1:12" x14ac:dyDescent="0.3">
      <c r="A83" s="87">
        <v>77</v>
      </c>
      <c r="B83" s="90" t="s">
        <v>133</v>
      </c>
      <c r="C83" s="91" t="s">
        <v>299</v>
      </c>
      <c r="D83" s="92">
        <v>31693</v>
      </c>
      <c r="E83" s="92">
        <v>17898</v>
      </c>
      <c r="F83" s="92">
        <v>0</v>
      </c>
    </row>
    <row r="84" spans="1:12" x14ac:dyDescent="0.3">
      <c r="A84" s="87">
        <v>78</v>
      </c>
      <c r="B84" s="90" t="s">
        <v>135</v>
      </c>
      <c r="C84" s="91" t="s">
        <v>461</v>
      </c>
      <c r="D84" s="92">
        <v>5738</v>
      </c>
      <c r="E84" s="92">
        <v>0</v>
      </c>
      <c r="F84" s="92">
        <v>0</v>
      </c>
    </row>
    <row r="85" spans="1:12" ht="22.5" x14ac:dyDescent="0.3">
      <c r="A85" s="87">
        <v>79</v>
      </c>
      <c r="B85" s="90" t="s">
        <v>139</v>
      </c>
      <c r="C85" s="91" t="s">
        <v>462</v>
      </c>
      <c r="D85" s="92">
        <v>9725</v>
      </c>
      <c r="E85" s="92">
        <v>0</v>
      </c>
      <c r="F85" s="92">
        <v>0</v>
      </c>
    </row>
    <row r="86" spans="1:12" ht="22.5" x14ac:dyDescent="0.3">
      <c r="A86" s="87">
        <v>80</v>
      </c>
      <c r="B86" s="90" t="s">
        <v>149</v>
      </c>
      <c r="C86" s="91" t="s">
        <v>463</v>
      </c>
      <c r="D86" s="92">
        <v>23051</v>
      </c>
      <c r="E86" s="92">
        <v>0</v>
      </c>
      <c r="F86" s="92">
        <v>0</v>
      </c>
    </row>
    <row r="87" spans="1:12" x14ac:dyDescent="0.3">
      <c r="A87" s="87">
        <v>81</v>
      </c>
      <c r="B87" s="90" t="s">
        <v>183</v>
      </c>
      <c r="C87" s="91" t="s">
        <v>464</v>
      </c>
      <c r="D87" s="92">
        <v>2787</v>
      </c>
      <c r="E87" s="92">
        <v>0</v>
      </c>
      <c r="F87" s="92">
        <v>0</v>
      </c>
    </row>
    <row r="88" spans="1:12" x14ac:dyDescent="0.3">
      <c r="A88" s="87">
        <v>82</v>
      </c>
      <c r="B88" s="90" t="s">
        <v>185</v>
      </c>
      <c r="C88" s="91" t="s">
        <v>465</v>
      </c>
      <c r="D88" s="92">
        <v>7628</v>
      </c>
      <c r="E88" s="92">
        <v>0</v>
      </c>
      <c r="F88" s="92">
        <v>0</v>
      </c>
    </row>
    <row r="89" spans="1:12" x14ac:dyDescent="0.3">
      <c r="A89" s="1129">
        <v>83</v>
      </c>
      <c r="B89" s="1130" t="s">
        <v>178</v>
      </c>
      <c r="C89" s="91" t="s">
        <v>466</v>
      </c>
      <c r="D89" s="92">
        <v>15883</v>
      </c>
      <c r="E89" s="92">
        <v>0</v>
      </c>
      <c r="F89" s="92">
        <v>12411</v>
      </c>
    </row>
    <row r="90" spans="1:12" ht="22.5" x14ac:dyDescent="0.3">
      <c r="A90" s="1129"/>
      <c r="B90" s="1130"/>
      <c r="C90" s="91" t="s">
        <v>467</v>
      </c>
      <c r="D90" s="92">
        <v>3472</v>
      </c>
      <c r="E90" s="92">
        <v>0</v>
      </c>
      <c r="F90" s="92">
        <v>0</v>
      </c>
    </row>
    <row r="91" spans="1:12" ht="33.75" x14ac:dyDescent="0.3">
      <c r="A91" s="1129"/>
      <c r="B91" s="1130"/>
      <c r="C91" s="91" t="s">
        <v>509</v>
      </c>
      <c r="D91" s="92">
        <v>12411</v>
      </c>
      <c r="E91" s="92">
        <v>0</v>
      </c>
      <c r="F91" s="92">
        <v>12411</v>
      </c>
    </row>
    <row r="92" spans="1:12" x14ac:dyDescent="0.3">
      <c r="A92" s="87">
        <v>84</v>
      </c>
      <c r="B92" s="90" t="s">
        <v>264</v>
      </c>
      <c r="C92" s="91" t="s">
        <v>265</v>
      </c>
      <c r="D92" s="92">
        <v>27409</v>
      </c>
      <c r="E92" s="92">
        <v>23013</v>
      </c>
      <c r="F92" s="92">
        <v>0</v>
      </c>
    </row>
    <row r="93" spans="1:12" x14ac:dyDescent="0.3">
      <c r="A93" s="87">
        <v>85</v>
      </c>
      <c r="B93" s="90" t="s">
        <v>278</v>
      </c>
      <c r="C93" s="91" t="s">
        <v>279</v>
      </c>
      <c r="D93" s="92">
        <v>78083</v>
      </c>
      <c r="E93" s="92">
        <v>24500</v>
      </c>
      <c r="F93" s="92">
        <v>0</v>
      </c>
      <c r="J93" s="463"/>
      <c r="K93" s="463"/>
      <c r="L93" s="463"/>
    </row>
    <row r="94" spans="1:12" x14ac:dyDescent="0.3">
      <c r="A94" s="87">
        <v>86</v>
      </c>
      <c r="B94" s="90" t="s">
        <v>276</v>
      </c>
      <c r="C94" s="91" t="s">
        <v>277</v>
      </c>
      <c r="D94" s="92">
        <v>51248</v>
      </c>
      <c r="E94" s="92">
        <v>0</v>
      </c>
      <c r="F94" s="92">
        <v>0</v>
      </c>
    </row>
    <row r="95" spans="1:12" x14ac:dyDescent="0.3">
      <c r="A95" s="87">
        <v>87</v>
      </c>
      <c r="B95" s="90" t="s">
        <v>280</v>
      </c>
      <c r="C95" s="91" t="s">
        <v>468</v>
      </c>
      <c r="D95" s="92">
        <v>4000</v>
      </c>
      <c r="E95" s="92">
        <v>0</v>
      </c>
      <c r="F95" s="92">
        <v>0</v>
      </c>
    </row>
    <row r="96" spans="1:12" x14ac:dyDescent="0.3">
      <c r="A96" s="87">
        <v>88</v>
      </c>
      <c r="B96" s="90" t="s">
        <v>262</v>
      </c>
      <c r="C96" s="91" t="s">
        <v>263</v>
      </c>
      <c r="D96" s="92">
        <v>700</v>
      </c>
      <c r="E96" s="92">
        <v>0</v>
      </c>
      <c r="F96" s="92">
        <v>0</v>
      </c>
    </row>
    <row r="97" spans="1:6" x14ac:dyDescent="0.3">
      <c r="A97" s="87"/>
      <c r="B97" s="87"/>
      <c r="C97" s="91" t="s">
        <v>14</v>
      </c>
      <c r="D97" s="92">
        <v>9204</v>
      </c>
      <c r="E97" s="92">
        <v>0</v>
      </c>
      <c r="F97" s="92">
        <v>0</v>
      </c>
    </row>
    <row r="98" spans="1:6" x14ac:dyDescent="0.3">
      <c r="A98" s="87"/>
      <c r="B98" s="87"/>
      <c r="C98" s="494" t="s">
        <v>469</v>
      </c>
      <c r="D98" s="495">
        <f>SUM(D7:D97)-D89</f>
        <v>2114735</v>
      </c>
      <c r="E98" s="495">
        <f>SUM(E7:E97)-E89</f>
        <v>169212</v>
      </c>
      <c r="F98" s="495">
        <f>SUM(F7:F97)-F89</f>
        <v>26376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6"/>
  <sheetViews>
    <sheetView zoomScale="95" zoomScaleNormal="9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H129" sqref="H129"/>
    </sheetView>
  </sheetViews>
  <sheetFormatPr defaultRowHeight="15" x14ac:dyDescent="0.25"/>
  <cols>
    <col min="1" max="1" width="6" style="780" customWidth="1"/>
    <col min="2" max="2" width="8" style="780" customWidth="1"/>
    <col min="3" max="3" width="26.28515625" style="780" customWidth="1"/>
    <col min="4" max="6" width="9.140625" style="780"/>
    <col min="7" max="8" width="10.42578125" style="780" customWidth="1"/>
    <col min="9" max="9" width="9.140625" style="780"/>
    <col min="10" max="10" width="10" style="780" customWidth="1"/>
    <col min="11" max="11" width="10.7109375" style="780" customWidth="1"/>
    <col min="12" max="16384" width="9.140625" style="780"/>
  </cols>
  <sheetData>
    <row r="2" spans="1:12" ht="15.75" x14ac:dyDescent="0.25">
      <c r="A2" s="779" t="s">
        <v>470</v>
      </c>
    </row>
    <row r="4" spans="1:12" ht="15" customHeight="1" x14ac:dyDescent="0.25">
      <c r="A4" s="1139" t="s">
        <v>0</v>
      </c>
      <c r="B4" s="1139" t="s">
        <v>302</v>
      </c>
      <c r="C4" s="1139" t="s">
        <v>471</v>
      </c>
      <c r="D4" s="1139" t="s">
        <v>472</v>
      </c>
      <c r="E4" s="1134" t="s">
        <v>293</v>
      </c>
      <c r="F4" s="1135"/>
      <c r="G4" s="1135"/>
      <c r="H4" s="1135"/>
      <c r="I4" s="1135"/>
      <c r="J4" s="1135"/>
      <c r="K4" s="1135"/>
      <c r="L4" s="1136"/>
    </row>
    <row r="5" spans="1:12" ht="63.75" customHeight="1" x14ac:dyDescent="0.25">
      <c r="A5" s="1139"/>
      <c r="B5" s="1139"/>
      <c r="C5" s="1139"/>
      <c r="D5" s="1139"/>
      <c r="E5" s="1133" t="s">
        <v>473</v>
      </c>
      <c r="F5" s="1133" t="s">
        <v>474</v>
      </c>
      <c r="G5" s="1133" t="s">
        <v>475</v>
      </c>
      <c r="H5" s="1133" t="s">
        <v>476</v>
      </c>
      <c r="I5" s="1134" t="s">
        <v>477</v>
      </c>
      <c r="J5" s="1135"/>
      <c r="K5" s="1135"/>
      <c r="L5" s="1136"/>
    </row>
    <row r="6" spans="1:12" x14ac:dyDescent="0.25">
      <c r="A6" s="1139"/>
      <c r="B6" s="1139"/>
      <c r="C6" s="1139"/>
      <c r="D6" s="1139"/>
      <c r="E6" s="1133"/>
      <c r="F6" s="1133"/>
      <c r="G6" s="1133"/>
      <c r="H6" s="1133"/>
      <c r="I6" s="1133" t="s">
        <v>6</v>
      </c>
      <c r="J6" s="1134" t="s">
        <v>293</v>
      </c>
      <c r="K6" s="1135"/>
      <c r="L6" s="1136"/>
    </row>
    <row r="7" spans="1:12" ht="29.25" customHeight="1" x14ac:dyDescent="0.25">
      <c r="A7" s="1139"/>
      <c r="B7" s="1139"/>
      <c r="C7" s="1139"/>
      <c r="D7" s="1139"/>
      <c r="E7" s="1133"/>
      <c r="F7" s="1133"/>
      <c r="G7" s="1133"/>
      <c r="H7" s="1133"/>
      <c r="I7" s="1133"/>
      <c r="J7" s="1133" t="s">
        <v>478</v>
      </c>
      <c r="K7" s="1134" t="s">
        <v>346</v>
      </c>
      <c r="L7" s="1136"/>
    </row>
    <row r="8" spans="1:12" ht="47.25" customHeight="1" x14ac:dyDescent="0.25">
      <c r="A8" s="1139"/>
      <c r="B8" s="1139"/>
      <c r="C8" s="1139"/>
      <c r="D8" s="1139"/>
      <c r="E8" s="1133"/>
      <c r="F8" s="1133"/>
      <c r="G8" s="1133"/>
      <c r="H8" s="1133"/>
      <c r="I8" s="1133"/>
      <c r="J8" s="1133"/>
      <c r="K8" s="781" t="s">
        <v>297</v>
      </c>
      <c r="L8" s="781" t="s">
        <v>815</v>
      </c>
    </row>
    <row r="9" spans="1:12" x14ac:dyDescent="0.25">
      <c r="A9" s="782">
        <v>1</v>
      </c>
      <c r="B9" s="782">
        <v>2</v>
      </c>
      <c r="C9" s="782">
        <v>3</v>
      </c>
      <c r="D9" s="782">
        <v>4</v>
      </c>
      <c r="E9" s="783">
        <v>5</v>
      </c>
      <c r="F9" s="782">
        <v>6</v>
      </c>
      <c r="G9" s="782">
        <v>7</v>
      </c>
      <c r="H9" s="782">
        <v>8</v>
      </c>
      <c r="I9" s="782">
        <v>9</v>
      </c>
      <c r="J9" s="783">
        <v>10</v>
      </c>
      <c r="K9" s="782">
        <v>11</v>
      </c>
      <c r="L9" s="782">
        <v>12</v>
      </c>
    </row>
    <row r="10" spans="1:12" x14ac:dyDescent="0.25">
      <c r="A10" s="784">
        <v>1</v>
      </c>
      <c r="B10" s="784">
        <v>25004</v>
      </c>
      <c r="C10" s="785" t="s">
        <v>17</v>
      </c>
      <c r="D10" s="778">
        <f>E10+F10+G10+H10+I10</f>
        <v>31774</v>
      </c>
      <c r="E10" s="778">
        <v>0</v>
      </c>
      <c r="F10" s="778">
        <v>0</v>
      </c>
      <c r="G10" s="778">
        <v>0</v>
      </c>
      <c r="H10" s="778">
        <v>0</v>
      </c>
      <c r="I10" s="778">
        <f t="shared" ref="I10:I31" si="0">J10+K10</f>
        <v>31774</v>
      </c>
      <c r="J10" s="778">
        <v>8205</v>
      </c>
      <c r="K10" s="778">
        <v>23569</v>
      </c>
      <c r="L10" s="778">
        <v>12</v>
      </c>
    </row>
    <row r="11" spans="1:12" x14ac:dyDescent="0.25">
      <c r="A11" s="784">
        <v>2</v>
      </c>
      <c r="B11" s="784">
        <v>22103</v>
      </c>
      <c r="C11" s="785" t="s">
        <v>19</v>
      </c>
      <c r="D11" s="778">
        <f t="shared" ref="D11:D74" si="1">E11+F11+G11+H11+I11</f>
        <v>32004</v>
      </c>
      <c r="E11" s="778">
        <v>0</v>
      </c>
      <c r="F11" s="778">
        <v>0</v>
      </c>
      <c r="G11" s="778">
        <v>0</v>
      </c>
      <c r="H11" s="778">
        <v>0</v>
      </c>
      <c r="I11" s="778">
        <f t="shared" si="0"/>
        <v>32004</v>
      </c>
      <c r="J11" s="778">
        <v>9269</v>
      </c>
      <c r="K11" s="778">
        <v>22735</v>
      </c>
      <c r="L11" s="778">
        <v>121</v>
      </c>
    </row>
    <row r="12" spans="1:12" x14ac:dyDescent="0.25">
      <c r="A12" s="784">
        <v>3</v>
      </c>
      <c r="B12" s="784">
        <v>25001</v>
      </c>
      <c r="C12" s="785" t="s">
        <v>21</v>
      </c>
      <c r="D12" s="778">
        <f t="shared" si="1"/>
        <v>101819</v>
      </c>
      <c r="E12" s="778">
        <v>0</v>
      </c>
      <c r="F12" s="778">
        <v>3749</v>
      </c>
      <c r="G12" s="778">
        <v>0</v>
      </c>
      <c r="H12" s="778">
        <v>0</v>
      </c>
      <c r="I12" s="778">
        <f t="shared" si="0"/>
        <v>98070</v>
      </c>
      <c r="J12" s="778">
        <v>34847</v>
      </c>
      <c r="K12" s="778">
        <v>63223</v>
      </c>
      <c r="L12" s="778">
        <v>2</v>
      </c>
    </row>
    <row r="13" spans="1:12" ht="27" customHeight="1" x14ac:dyDescent="0.25">
      <c r="A13" s="784">
        <v>4</v>
      </c>
      <c r="B13" s="784">
        <v>21668</v>
      </c>
      <c r="C13" s="785" t="s">
        <v>479</v>
      </c>
      <c r="D13" s="778">
        <f t="shared" si="1"/>
        <v>0</v>
      </c>
      <c r="E13" s="778">
        <v>0</v>
      </c>
      <c r="F13" s="778">
        <v>0</v>
      </c>
      <c r="G13" s="778">
        <v>0</v>
      </c>
      <c r="H13" s="778">
        <v>0</v>
      </c>
      <c r="I13" s="778">
        <f t="shared" si="0"/>
        <v>0</v>
      </c>
      <c r="J13" s="778">
        <v>0</v>
      </c>
      <c r="K13" s="778">
        <v>0</v>
      </c>
      <c r="L13" s="778">
        <v>0</v>
      </c>
    </row>
    <row r="14" spans="1:12" x14ac:dyDescent="0.25">
      <c r="A14" s="784">
        <v>5</v>
      </c>
      <c r="B14" s="784">
        <v>25005</v>
      </c>
      <c r="C14" s="785" t="s">
        <v>23</v>
      </c>
      <c r="D14" s="778">
        <f t="shared" si="1"/>
        <v>34766</v>
      </c>
      <c r="E14" s="778">
        <v>0</v>
      </c>
      <c r="F14" s="778">
        <v>0</v>
      </c>
      <c r="G14" s="778">
        <v>0</v>
      </c>
      <c r="H14" s="778">
        <v>0</v>
      </c>
      <c r="I14" s="778">
        <f t="shared" si="0"/>
        <v>34766</v>
      </c>
      <c r="J14" s="778">
        <v>8884</v>
      </c>
      <c r="K14" s="778">
        <v>25882</v>
      </c>
      <c r="L14" s="778">
        <v>0</v>
      </c>
    </row>
    <row r="15" spans="1:12" ht="25.5" customHeight="1" x14ac:dyDescent="0.25">
      <c r="A15" s="784">
        <v>6</v>
      </c>
      <c r="B15" s="784">
        <v>22102</v>
      </c>
      <c r="C15" s="785" t="s">
        <v>25</v>
      </c>
      <c r="D15" s="778">
        <f t="shared" si="1"/>
        <v>37842</v>
      </c>
      <c r="E15" s="778">
        <v>0</v>
      </c>
      <c r="F15" s="778">
        <v>0</v>
      </c>
      <c r="G15" s="778">
        <v>0</v>
      </c>
      <c r="H15" s="778">
        <v>0</v>
      </c>
      <c r="I15" s="778">
        <f t="shared" si="0"/>
        <v>37842</v>
      </c>
      <c r="J15" s="778">
        <v>9883</v>
      </c>
      <c r="K15" s="778">
        <v>27959</v>
      </c>
      <c r="L15" s="778">
        <v>16</v>
      </c>
    </row>
    <row r="16" spans="1:12" x14ac:dyDescent="0.25">
      <c r="A16" s="784">
        <v>7</v>
      </c>
      <c r="B16" s="784">
        <v>21201</v>
      </c>
      <c r="C16" s="785" t="s">
        <v>27</v>
      </c>
      <c r="D16" s="778">
        <f t="shared" si="1"/>
        <v>275466</v>
      </c>
      <c r="E16" s="778">
        <v>0</v>
      </c>
      <c r="F16" s="778">
        <v>6396</v>
      </c>
      <c r="G16" s="778">
        <v>0</v>
      </c>
      <c r="H16" s="778">
        <v>0</v>
      </c>
      <c r="I16" s="778">
        <f t="shared" si="0"/>
        <v>269070</v>
      </c>
      <c r="J16" s="778">
        <f>71878-670</f>
        <v>71208</v>
      </c>
      <c r="K16" s="778">
        <v>197862</v>
      </c>
      <c r="L16" s="778">
        <v>2775</v>
      </c>
    </row>
    <row r="17" spans="1:12" x14ac:dyDescent="0.25">
      <c r="A17" s="784">
        <v>8</v>
      </c>
      <c r="B17" s="784">
        <v>27001</v>
      </c>
      <c r="C17" s="785" t="s">
        <v>29</v>
      </c>
      <c r="D17" s="778">
        <f t="shared" si="1"/>
        <v>97690</v>
      </c>
      <c r="E17" s="778">
        <v>0</v>
      </c>
      <c r="F17" s="778">
        <v>0</v>
      </c>
      <c r="G17" s="778">
        <v>0</v>
      </c>
      <c r="H17" s="778">
        <v>0</v>
      </c>
      <c r="I17" s="778">
        <f t="shared" si="0"/>
        <v>97690</v>
      </c>
      <c r="J17" s="778">
        <v>32676</v>
      </c>
      <c r="K17" s="778">
        <v>65014</v>
      </c>
      <c r="L17" s="778">
        <v>673</v>
      </c>
    </row>
    <row r="18" spans="1:12" x14ac:dyDescent="0.25">
      <c r="A18" s="784">
        <v>9</v>
      </c>
      <c r="B18" s="784">
        <v>21206</v>
      </c>
      <c r="C18" s="785" t="s">
        <v>31</v>
      </c>
      <c r="D18" s="778">
        <f t="shared" si="1"/>
        <v>40544</v>
      </c>
      <c r="E18" s="778">
        <v>0</v>
      </c>
      <c r="F18" s="778">
        <v>0</v>
      </c>
      <c r="G18" s="778">
        <v>0</v>
      </c>
      <c r="H18" s="778">
        <v>0</v>
      </c>
      <c r="I18" s="778">
        <f t="shared" si="0"/>
        <v>40544</v>
      </c>
      <c r="J18" s="778">
        <v>11013</v>
      </c>
      <c r="K18" s="778">
        <v>29531</v>
      </c>
      <c r="L18" s="778">
        <v>124</v>
      </c>
    </row>
    <row r="19" spans="1:12" x14ac:dyDescent="0.25">
      <c r="A19" s="784">
        <v>10</v>
      </c>
      <c r="B19" s="784">
        <v>25003</v>
      </c>
      <c r="C19" s="785" t="s">
        <v>33</v>
      </c>
      <c r="D19" s="778">
        <f t="shared" si="1"/>
        <v>35290</v>
      </c>
      <c r="E19" s="778">
        <v>0</v>
      </c>
      <c r="F19" s="778">
        <v>0</v>
      </c>
      <c r="G19" s="778">
        <v>0</v>
      </c>
      <c r="H19" s="778">
        <v>0</v>
      </c>
      <c r="I19" s="778">
        <f t="shared" si="0"/>
        <v>35290</v>
      </c>
      <c r="J19" s="778">
        <v>9621</v>
      </c>
      <c r="K19" s="778">
        <v>25669</v>
      </c>
      <c r="L19" s="778">
        <v>84</v>
      </c>
    </row>
    <row r="20" spans="1:12" x14ac:dyDescent="0.25">
      <c r="A20" s="784">
        <v>11</v>
      </c>
      <c r="B20" s="784">
        <v>21205</v>
      </c>
      <c r="C20" s="785" t="s">
        <v>35</v>
      </c>
      <c r="D20" s="778">
        <f t="shared" si="1"/>
        <v>45243</v>
      </c>
      <c r="E20" s="778">
        <v>0</v>
      </c>
      <c r="F20" s="778">
        <v>0</v>
      </c>
      <c r="G20" s="778">
        <v>0</v>
      </c>
      <c r="H20" s="778">
        <v>0</v>
      </c>
      <c r="I20" s="778">
        <f t="shared" si="0"/>
        <v>45243</v>
      </c>
      <c r="J20" s="778">
        <v>12249</v>
      </c>
      <c r="K20" s="778">
        <v>32994</v>
      </c>
      <c r="L20" s="778">
        <v>62</v>
      </c>
    </row>
    <row r="21" spans="1:12" x14ac:dyDescent="0.25">
      <c r="A21" s="784">
        <v>12</v>
      </c>
      <c r="B21" s="784">
        <v>25002</v>
      </c>
      <c r="C21" s="785" t="s">
        <v>37</v>
      </c>
      <c r="D21" s="778">
        <f t="shared" si="1"/>
        <v>36971</v>
      </c>
      <c r="E21" s="778">
        <v>0</v>
      </c>
      <c r="F21" s="778">
        <v>0</v>
      </c>
      <c r="G21" s="778">
        <v>0</v>
      </c>
      <c r="H21" s="778">
        <v>0</v>
      </c>
      <c r="I21" s="778">
        <f t="shared" si="0"/>
        <v>36971</v>
      </c>
      <c r="J21" s="778">
        <v>8576</v>
      </c>
      <c r="K21" s="778">
        <v>28395</v>
      </c>
      <c r="L21" s="778">
        <v>2</v>
      </c>
    </row>
    <row r="22" spans="1:12" x14ac:dyDescent="0.25">
      <c r="A22" s="784">
        <v>13</v>
      </c>
      <c r="B22" s="784">
        <v>22104</v>
      </c>
      <c r="C22" s="785" t="s">
        <v>39</v>
      </c>
      <c r="D22" s="778">
        <f t="shared" si="1"/>
        <v>72553</v>
      </c>
      <c r="E22" s="778">
        <v>0</v>
      </c>
      <c r="F22" s="778">
        <v>0</v>
      </c>
      <c r="G22" s="778">
        <v>0</v>
      </c>
      <c r="H22" s="778">
        <v>0</v>
      </c>
      <c r="I22" s="778">
        <f t="shared" si="0"/>
        <v>72553</v>
      </c>
      <c r="J22" s="778">
        <v>26158</v>
      </c>
      <c r="K22" s="778">
        <v>46395</v>
      </c>
      <c r="L22" s="778">
        <v>486</v>
      </c>
    </row>
    <row r="23" spans="1:12" x14ac:dyDescent="0.25">
      <c r="A23" s="784">
        <v>14</v>
      </c>
      <c r="B23" s="784">
        <v>21501</v>
      </c>
      <c r="C23" s="785" t="s">
        <v>45</v>
      </c>
      <c r="D23" s="778">
        <f t="shared" si="1"/>
        <v>47999</v>
      </c>
      <c r="E23" s="778">
        <v>0</v>
      </c>
      <c r="F23" s="778">
        <v>0</v>
      </c>
      <c r="G23" s="778">
        <v>0</v>
      </c>
      <c r="H23" s="778">
        <v>0</v>
      </c>
      <c r="I23" s="778">
        <f t="shared" si="0"/>
        <v>47999</v>
      </c>
      <c r="J23" s="778">
        <v>10911</v>
      </c>
      <c r="K23" s="778">
        <v>37088</v>
      </c>
      <c r="L23" s="778">
        <v>2</v>
      </c>
    </row>
    <row r="24" spans="1:12" x14ac:dyDescent="0.25">
      <c r="A24" s="784">
        <v>15</v>
      </c>
      <c r="B24" s="784">
        <v>24001</v>
      </c>
      <c r="C24" s="785" t="s">
        <v>47</v>
      </c>
      <c r="D24" s="778">
        <f t="shared" si="1"/>
        <v>71295</v>
      </c>
      <c r="E24" s="778">
        <v>0</v>
      </c>
      <c r="F24" s="778">
        <v>0</v>
      </c>
      <c r="G24" s="778">
        <v>0</v>
      </c>
      <c r="H24" s="778">
        <v>0</v>
      </c>
      <c r="I24" s="778">
        <f t="shared" si="0"/>
        <v>71295</v>
      </c>
      <c r="J24" s="778">
        <v>10039</v>
      </c>
      <c r="K24" s="778">
        <v>61256</v>
      </c>
      <c r="L24" s="778">
        <v>2</v>
      </c>
    </row>
    <row r="25" spans="1:12" x14ac:dyDescent="0.25">
      <c r="A25" s="784">
        <v>16</v>
      </c>
      <c r="B25" s="784">
        <v>22001</v>
      </c>
      <c r="C25" s="785" t="s">
        <v>49</v>
      </c>
      <c r="D25" s="778">
        <f t="shared" si="1"/>
        <v>92878</v>
      </c>
      <c r="E25" s="778">
        <v>0</v>
      </c>
      <c r="F25" s="778">
        <v>0</v>
      </c>
      <c r="G25" s="778">
        <v>0</v>
      </c>
      <c r="H25" s="778">
        <v>0</v>
      </c>
      <c r="I25" s="778">
        <f t="shared" si="0"/>
        <v>92878</v>
      </c>
      <c r="J25" s="778">
        <v>29498</v>
      </c>
      <c r="K25" s="778">
        <v>63380</v>
      </c>
      <c r="L25" s="778">
        <v>0</v>
      </c>
    </row>
    <row r="26" spans="1:12" x14ac:dyDescent="0.25">
      <c r="A26" s="784">
        <v>17</v>
      </c>
      <c r="B26" s="784">
        <v>24005</v>
      </c>
      <c r="C26" s="785" t="s">
        <v>51</v>
      </c>
      <c r="D26" s="778">
        <f t="shared" si="1"/>
        <v>176113</v>
      </c>
      <c r="E26" s="778">
        <v>0</v>
      </c>
      <c r="F26" s="778">
        <v>5525</v>
      </c>
      <c r="G26" s="778">
        <v>0</v>
      </c>
      <c r="H26" s="778">
        <v>0</v>
      </c>
      <c r="I26" s="778">
        <f t="shared" si="0"/>
        <v>170588</v>
      </c>
      <c r="J26" s="778">
        <v>52240</v>
      </c>
      <c r="K26" s="778">
        <v>118348</v>
      </c>
      <c r="L26" s="778">
        <v>705</v>
      </c>
    </row>
    <row r="27" spans="1:12" x14ac:dyDescent="0.25">
      <c r="A27" s="784">
        <v>18</v>
      </c>
      <c r="B27" s="784">
        <v>24002</v>
      </c>
      <c r="C27" s="785" t="s">
        <v>53</v>
      </c>
      <c r="D27" s="778">
        <f t="shared" si="1"/>
        <v>29624</v>
      </c>
      <c r="E27" s="778">
        <v>0</v>
      </c>
      <c r="F27" s="778">
        <v>0</v>
      </c>
      <c r="G27" s="778">
        <v>0</v>
      </c>
      <c r="H27" s="778">
        <v>0</v>
      </c>
      <c r="I27" s="778">
        <f t="shared" si="0"/>
        <v>29624</v>
      </c>
      <c r="J27" s="778">
        <v>11727</v>
      </c>
      <c r="K27" s="778">
        <v>17897</v>
      </c>
      <c r="L27" s="778">
        <v>98</v>
      </c>
    </row>
    <row r="28" spans="1:12" x14ac:dyDescent="0.25">
      <c r="A28" s="784">
        <v>19</v>
      </c>
      <c r="B28" s="784">
        <v>22012</v>
      </c>
      <c r="C28" s="785" t="s">
        <v>55</v>
      </c>
      <c r="D28" s="778">
        <f t="shared" si="1"/>
        <v>22831</v>
      </c>
      <c r="E28" s="778">
        <v>0</v>
      </c>
      <c r="F28" s="778">
        <v>0</v>
      </c>
      <c r="G28" s="778">
        <v>0</v>
      </c>
      <c r="H28" s="778">
        <v>0</v>
      </c>
      <c r="I28" s="778">
        <f t="shared" si="0"/>
        <v>22831</v>
      </c>
      <c r="J28" s="778">
        <v>5022</v>
      </c>
      <c r="K28" s="778">
        <v>17809</v>
      </c>
      <c r="L28" s="778">
        <v>50</v>
      </c>
    </row>
    <row r="29" spans="1:12" x14ac:dyDescent="0.25">
      <c r="A29" s="784">
        <v>20</v>
      </c>
      <c r="B29" s="784">
        <v>21901</v>
      </c>
      <c r="C29" s="785" t="s">
        <v>57</v>
      </c>
      <c r="D29" s="778">
        <f t="shared" si="1"/>
        <v>118269</v>
      </c>
      <c r="E29" s="778">
        <v>0</v>
      </c>
      <c r="F29" s="778">
        <v>0</v>
      </c>
      <c r="G29" s="778">
        <v>0</v>
      </c>
      <c r="H29" s="778">
        <v>0</v>
      </c>
      <c r="I29" s="778">
        <f t="shared" si="0"/>
        <v>118269</v>
      </c>
      <c r="J29" s="778">
        <v>49512</v>
      </c>
      <c r="K29" s="778">
        <v>68757</v>
      </c>
      <c r="L29" s="778">
        <v>128</v>
      </c>
    </row>
    <row r="30" spans="1:12" x14ac:dyDescent="0.25">
      <c r="A30" s="784">
        <v>21</v>
      </c>
      <c r="B30" s="784">
        <v>21502</v>
      </c>
      <c r="C30" s="785" t="s">
        <v>59</v>
      </c>
      <c r="D30" s="778">
        <f t="shared" si="1"/>
        <v>105217</v>
      </c>
      <c r="E30" s="778">
        <v>0</v>
      </c>
      <c r="F30" s="778">
        <v>3499</v>
      </c>
      <c r="G30" s="778">
        <v>0</v>
      </c>
      <c r="H30" s="778">
        <v>0</v>
      </c>
      <c r="I30" s="778">
        <f t="shared" si="0"/>
        <v>101718</v>
      </c>
      <c r="J30" s="778">
        <v>33573</v>
      </c>
      <c r="K30" s="778">
        <v>68145</v>
      </c>
      <c r="L30" s="778">
        <v>176</v>
      </c>
    </row>
    <row r="31" spans="1:12" ht="24" x14ac:dyDescent="0.25">
      <c r="A31" s="784">
        <v>22</v>
      </c>
      <c r="B31" s="784">
        <v>24006</v>
      </c>
      <c r="C31" s="785" t="s">
        <v>480</v>
      </c>
      <c r="D31" s="778">
        <f t="shared" si="1"/>
        <v>23662</v>
      </c>
      <c r="E31" s="778">
        <v>0</v>
      </c>
      <c r="F31" s="778">
        <v>0</v>
      </c>
      <c r="G31" s="778">
        <v>0</v>
      </c>
      <c r="H31" s="778">
        <v>0</v>
      </c>
      <c r="I31" s="778">
        <f t="shared" si="0"/>
        <v>23662</v>
      </c>
      <c r="J31" s="778">
        <v>8082</v>
      </c>
      <c r="K31" s="778">
        <v>15580</v>
      </c>
      <c r="L31" s="778">
        <v>740</v>
      </c>
    </row>
    <row r="32" spans="1:12" x14ac:dyDescent="0.25">
      <c r="A32" s="784">
        <v>23</v>
      </c>
      <c r="B32" s="784">
        <v>21601</v>
      </c>
      <c r="C32" s="785" t="s">
        <v>481</v>
      </c>
      <c r="D32" s="778">
        <f t="shared" si="1"/>
        <v>288881</v>
      </c>
      <c r="E32" s="778">
        <v>0</v>
      </c>
      <c r="F32" s="778">
        <v>11479</v>
      </c>
      <c r="G32" s="778">
        <v>0</v>
      </c>
      <c r="H32" s="778">
        <v>4540</v>
      </c>
      <c r="I32" s="778">
        <f>J32+K32</f>
        <v>272862</v>
      </c>
      <c r="J32" s="778">
        <v>68558</v>
      </c>
      <c r="K32" s="778">
        <v>204304</v>
      </c>
      <c r="L32" s="778">
        <v>1026</v>
      </c>
    </row>
    <row r="33" spans="1:12" x14ac:dyDescent="0.25">
      <c r="A33" s="784">
        <v>24</v>
      </c>
      <c r="B33" s="784">
        <v>21602</v>
      </c>
      <c r="C33" s="785" t="s">
        <v>482</v>
      </c>
      <c r="D33" s="778">
        <f t="shared" si="1"/>
        <v>78340</v>
      </c>
      <c r="E33" s="778">
        <v>0</v>
      </c>
      <c r="F33" s="778">
        <v>0</v>
      </c>
      <c r="G33" s="778">
        <v>0</v>
      </c>
      <c r="H33" s="778">
        <v>0</v>
      </c>
      <c r="I33" s="778">
        <f t="shared" ref="I33:I96" si="2">J33+K33</f>
        <v>78340</v>
      </c>
      <c r="J33" s="778">
        <v>19039</v>
      </c>
      <c r="K33" s="778">
        <v>59301</v>
      </c>
      <c r="L33" s="778">
        <v>549</v>
      </c>
    </row>
    <row r="34" spans="1:12" x14ac:dyDescent="0.25">
      <c r="A34" s="784">
        <v>25</v>
      </c>
      <c r="B34" s="784">
        <v>21616</v>
      </c>
      <c r="C34" s="785" t="s">
        <v>483</v>
      </c>
      <c r="D34" s="778">
        <f t="shared" si="1"/>
        <v>75068</v>
      </c>
      <c r="E34" s="778">
        <v>0</v>
      </c>
      <c r="F34" s="778">
        <v>0</v>
      </c>
      <c r="G34" s="778">
        <v>0</v>
      </c>
      <c r="H34" s="778">
        <v>3595</v>
      </c>
      <c r="I34" s="778">
        <f t="shared" si="2"/>
        <v>71473</v>
      </c>
      <c r="J34" s="778">
        <v>8675</v>
      </c>
      <c r="K34" s="778">
        <v>62798</v>
      </c>
      <c r="L34" s="778">
        <v>285</v>
      </c>
    </row>
    <row r="35" spans="1:12" x14ac:dyDescent="0.25">
      <c r="A35" s="784">
        <v>26</v>
      </c>
      <c r="B35" s="784">
        <v>21636</v>
      </c>
      <c r="C35" s="785" t="s">
        <v>73</v>
      </c>
      <c r="D35" s="778">
        <f t="shared" si="1"/>
        <v>65442</v>
      </c>
      <c r="E35" s="778">
        <v>0</v>
      </c>
      <c r="F35" s="778">
        <v>0</v>
      </c>
      <c r="G35" s="778">
        <v>65442</v>
      </c>
      <c r="H35" s="778">
        <v>0</v>
      </c>
      <c r="I35" s="778">
        <f t="shared" si="2"/>
        <v>0</v>
      </c>
      <c r="J35" s="778">
        <v>0</v>
      </c>
      <c r="K35" s="778">
        <v>0</v>
      </c>
      <c r="L35" s="778">
        <v>0</v>
      </c>
    </row>
    <row r="36" spans="1:12" ht="24" x14ac:dyDescent="0.25">
      <c r="A36" s="784">
        <v>27</v>
      </c>
      <c r="B36" s="784">
        <v>21604</v>
      </c>
      <c r="C36" s="785" t="s">
        <v>484</v>
      </c>
      <c r="D36" s="778">
        <f t="shared" si="1"/>
        <v>12215</v>
      </c>
      <c r="E36" s="778">
        <v>0</v>
      </c>
      <c r="F36" s="778">
        <v>0</v>
      </c>
      <c r="G36" s="778">
        <v>0</v>
      </c>
      <c r="H36" s="778">
        <v>0</v>
      </c>
      <c r="I36" s="778">
        <f t="shared" si="2"/>
        <v>12215</v>
      </c>
      <c r="J36" s="778">
        <v>4800</v>
      </c>
      <c r="K36" s="778">
        <v>7415</v>
      </c>
      <c r="L36" s="778">
        <v>140</v>
      </c>
    </row>
    <row r="37" spans="1:12" x14ac:dyDescent="0.25">
      <c r="A37" s="784">
        <v>28</v>
      </c>
      <c r="B37" s="784">
        <v>21111</v>
      </c>
      <c r="C37" s="785" t="s">
        <v>78</v>
      </c>
      <c r="D37" s="778">
        <f t="shared" si="1"/>
        <v>143949</v>
      </c>
      <c r="E37" s="778">
        <v>0</v>
      </c>
      <c r="F37" s="778">
        <v>5521</v>
      </c>
      <c r="G37" s="778">
        <v>0</v>
      </c>
      <c r="H37" s="778">
        <v>0</v>
      </c>
      <c r="I37" s="778">
        <f t="shared" si="2"/>
        <v>138428</v>
      </c>
      <c r="J37" s="778">
        <f>45717-3190</f>
        <v>42527</v>
      </c>
      <c r="K37" s="778">
        <v>95901</v>
      </c>
      <c r="L37" s="778">
        <v>194</v>
      </c>
    </row>
    <row r="38" spans="1:12" x14ac:dyDescent="0.25">
      <c r="A38" s="784">
        <v>29</v>
      </c>
      <c r="B38" s="784">
        <v>21424</v>
      </c>
      <c r="C38" s="785" t="s">
        <v>80</v>
      </c>
      <c r="D38" s="778">
        <f t="shared" si="1"/>
        <v>209940</v>
      </c>
      <c r="E38" s="778">
        <v>0</v>
      </c>
      <c r="F38" s="778">
        <v>3353</v>
      </c>
      <c r="G38" s="778">
        <v>0</v>
      </c>
      <c r="H38" s="778">
        <v>0</v>
      </c>
      <c r="I38" s="778">
        <f t="shared" si="2"/>
        <v>206587</v>
      </c>
      <c r="J38" s="778">
        <v>72680</v>
      </c>
      <c r="K38" s="778">
        <v>133907</v>
      </c>
      <c r="L38" s="778">
        <v>123</v>
      </c>
    </row>
    <row r="39" spans="1:12" x14ac:dyDescent="0.25">
      <c r="A39" s="784">
        <v>30</v>
      </c>
      <c r="B39" s="784">
        <v>21105</v>
      </c>
      <c r="C39" s="785" t="s">
        <v>82</v>
      </c>
      <c r="D39" s="778">
        <f t="shared" si="1"/>
        <v>41252</v>
      </c>
      <c r="E39" s="778">
        <v>0</v>
      </c>
      <c r="F39" s="778">
        <v>0</v>
      </c>
      <c r="G39" s="778">
        <v>0</v>
      </c>
      <c r="H39" s="778">
        <v>0</v>
      </c>
      <c r="I39" s="778">
        <f t="shared" si="2"/>
        <v>41252</v>
      </c>
      <c r="J39" s="778">
        <v>10869</v>
      </c>
      <c r="K39" s="778">
        <v>30383</v>
      </c>
      <c r="L39" s="778">
        <v>372</v>
      </c>
    </row>
    <row r="40" spans="1:12" x14ac:dyDescent="0.25">
      <c r="A40" s="784">
        <v>31</v>
      </c>
      <c r="B40" s="784">
        <v>29001</v>
      </c>
      <c r="C40" s="785" t="s">
        <v>84</v>
      </c>
      <c r="D40" s="778">
        <f t="shared" si="1"/>
        <v>139657</v>
      </c>
      <c r="E40" s="778">
        <v>0</v>
      </c>
      <c r="F40" s="778">
        <v>0</v>
      </c>
      <c r="G40" s="778">
        <v>0</v>
      </c>
      <c r="H40" s="778">
        <v>0</v>
      </c>
      <c r="I40" s="778">
        <f t="shared" si="2"/>
        <v>139657</v>
      </c>
      <c r="J40" s="778">
        <v>44870</v>
      </c>
      <c r="K40" s="778">
        <v>94787</v>
      </c>
      <c r="L40" s="778">
        <v>712</v>
      </c>
    </row>
    <row r="41" spans="1:12" x14ac:dyDescent="0.25">
      <c r="A41" s="784">
        <v>32</v>
      </c>
      <c r="B41" s="784">
        <v>21605</v>
      </c>
      <c r="C41" s="785" t="s">
        <v>86</v>
      </c>
      <c r="D41" s="778">
        <f t="shared" si="1"/>
        <v>53687</v>
      </c>
      <c r="E41" s="778">
        <v>0</v>
      </c>
      <c r="F41" s="778">
        <v>0</v>
      </c>
      <c r="G41" s="778">
        <v>0</v>
      </c>
      <c r="H41" s="778">
        <v>0</v>
      </c>
      <c r="I41" s="778">
        <f t="shared" si="2"/>
        <v>53687</v>
      </c>
      <c r="J41" s="778">
        <v>18513</v>
      </c>
      <c r="K41" s="778">
        <v>35174</v>
      </c>
      <c r="L41" s="778">
        <v>73</v>
      </c>
    </row>
    <row r="42" spans="1:12" x14ac:dyDescent="0.25">
      <c r="A42" s="784">
        <v>33</v>
      </c>
      <c r="B42" s="784">
        <v>21104</v>
      </c>
      <c r="C42" s="785" t="s">
        <v>88</v>
      </c>
      <c r="D42" s="778">
        <f t="shared" si="1"/>
        <v>139780</v>
      </c>
      <c r="E42" s="778">
        <v>0</v>
      </c>
      <c r="F42" s="778">
        <v>0</v>
      </c>
      <c r="G42" s="778">
        <v>0</v>
      </c>
      <c r="H42" s="778">
        <v>0</v>
      </c>
      <c r="I42" s="778">
        <f t="shared" si="2"/>
        <v>139780</v>
      </c>
      <c r="J42" s="778">
        <v>34050</v>
      </c>
      <c r="K42" s="778">
        <v>105730</v>
      </c>
      <c r="L42" s="778">
        <v>107</v>
      </c>
    </row>
    <row r="43" spans="1:12" x14ac:dyDescent="0.25">
      <c r="A43" s="784">
        <v>34</v>
      </c>
      <c r="B43" s="784">
        <v>21102</v>
      </c>
      <c r="C43" s="785" t="s">
        <v>90</v>
      </c>
      <c r="D43" s="778">
        <f t="shared" si="1"/>
        <v>48747</v>
      </c>
      <c r="E43" s="778">
        <v>0</v>
      </c>
      <c r="F43" s="778">
        <v>0</v>
      </c>
      <c r="G43" s="778">
        <v>0</v>
      </c>
      <c r="H43" s="778">
        <v>0</v>
      </c>
      <c r="I43" s="778">
        <f t="shared" si="2"/>
        <v>48747</v>
      </c>
      <c r="J43" s="778">
        <v>14620</v>
      </c>
      <c r="K43" s="778">
        <v>34127</v>
      </c>
      <c r="L43" s="778">
        <v>0</v>
      </c>
    </row>
    <row r="44" spans="1:12" x14ac:dyDescent="0.25">
      <c r="A44" s="784">
        <v>35</v>
      </c>
      <c r="B44" s="784">
        <v>21606</v>
      </c>
      <c r="C44" s="785" t="s">
        <v>92</v>
      </c>
      <c r="D44" s="778">
        <f t="shared" si="1"/>
        <v>29989</v>
      </c>
      <c r="E44" s="778">
        <v>0</v>
      </c>
      <c r="F44" s="778">
        <v>0</v>
      </c>
      <c r="G44" s="778">
        <v>0</v>
      </c>
      <c r="H44" s="778">
        <v>0</v>
      </c>
      <c r="I44" s="778">
        <f t="shared" si="2"/>
        <v>29989</v>
      </c>
      <c r="J44" s="778">
        <v>10399</v>
      </c>
      <c r="K44" s="778">
        <v>19590</v>
      </c>
      <c r="L44" s="778">
        <v>7</v>
      </c>
    </row>
    <row r="45" spans="1:12" x14ac:dyDescent="0.25">
      <c r="A45" s="784">
        <v>36</v>
      </c>
      <c r="B45" s="784">
        <v>21607</v>
      </c>
      <c r="C45" s="785" t="s">
        <v>94</v>
      </c>
      <c r="D45" s="778">
        <f t="shared" si="1"/>
        <v>52917</v>
      </c>
      <c r="E45" s="778">
        <v>0</v>
      </c>
      <c r="F45" s="778">
        <v>0</v>
      </c>
      <c r="G45" s="778">
        <v>0</v>
      </c>
      <c r="H45" s="778">
        <v>0</v>
      </c>
      <c r="I45" s="778">
        <f t="shared" si="2"/>
        <v>52917</v>
      </c>
      <c r="J45" s="778">
        <v>16330</v>
      </c>
      <c r="K45" s="778">
        <v>36587</v>
      </c>
      <c r="L45" s="778">
        <v>32</v>
      </c>
    </row>
    <row r="46" spans="1:12" x14ac:dyDescent="0.25">
      <c r="A46" s="784">
        <v>37</v>
      </c>
      <c r="B46" s="784">
        <v>21405</v>
      </c>
      <c r="C46" s="785" t="s">
        <v>96</v>
      </c>
      <c r="D46" s="778">
        <f t="shared" si="1"/>
        <v>24234</v>
      </c>
      <c r="E46" s="778">
        <v>0</v>
      </c>
      <c r="F46" s="778">
        <v>0</v>
      </c>
      <c r="G46" s="778">
        <v>0</v>
      </c>
      <c r="H46" s="778">
        <v>0</v>
      </c>
      <c r="I46" s="778">
        <f t="shared" si="2"/>
        <v>24234</v>
      </c>
      <c r="J46" s="778">
        <v>7648</v>
      </c>
      <c r="K46" s="778">
        <v>16586</v>
      </c>
      <c r="L46" s="778">
        <v>14</v>
      </c>
    </row>
    <row r="47" spans="1:12" x14ac:dyDescent="0.25">
      <c r="A47" s="784">
        <v>38</v>
      </c>
      <c r="B47" s="784">
        <v>21401</v>
      </c>
      <c r="C47" s="785" t="s">
        <v>485</v>
      </c>
      <c r="D47" s="778">
        <f t="shared" si="1"/>
        <v>20454</v>
      </c>
      <c r="E47" s="778">
        <v>0</v>
      </c>
      <c r="F47" s="778">
        <v>0</v>
      </c>
      <c r="G47" s="778">
        <v>0</v>
      </c>
      <c r="H47" s="778">
        <v>0</v>
      </c>
      <c r="I47" s="778">
        <f t="shared" si="2"/>
        <v>20454</v>
      </c>
      <c r="J47" s="778">
        <v>2764</v>
      </c>
      <c r="K47" s="778">
        <v>17690</v>
      </c>
      <c r="L47" s="778">
        <v>0</v>
      </c>
    </row>
    <row r="48" spans="1:12" x14ac:dyDescent="0.25">
      <c r="A48" s="784">
        <v>39</v>
      </c>
      <c r="B48" s="784">
        <v>21303</v>
      </c>
      <c r="C48" s="785" t="s">
        <v>100</v>
      </c>
      <c r="D48" s="778">
        <f t="shared" si="1"/>
        <v>186689</v>
      </c>
      <c r="E48" s="778">
        <v>0</v>
      </c>
      <c r="F48" s="778">
        <v>6855</v>
      </c>
      <c r="G48" s="778">
        <v>0</v>
      </c>
      <c r="H48" s="778">
        <v>0</v>
      </c>
      <c r="I48" s="778">
        <f t="shared" si="2"/>
        <v>179834</v>
      </c>
      <c r="J48" s="778">
        <v>56770</v>
      </c>
      <c r="K48" s="778">
        <v>123064</v>
      </c>
      <c r="L48" s="778">
        <v>1070</v>
      </c>
    </row>
    <row r="49" spans="1:12" x14ac:dyDescent="0.25">
      <c r="A49" s="784">
        <v>40</v>
      </c>
      <c r="B49" s="784">
        <v>28004</v>
      </c>
      <c r="C49" s="785" t="s">
        <v>102</v>
      </c>
      <c r="D49" s="778">
        <f t="shared" si="1"/>
        <v>44251</v>
      </c>
      <c r="E49" s="778">
        <v>0</v>
      </c>
      <c r="F49" s="778">
        <v>0</v>
      </c>
      <c r="G49" s="778">
        <v>0</v>
      </c>
      <c r="H49" s="778">
        <v>0</v>
      </c>
      <c r="I49" s="778">
        <f t="shared" si="2"/>
        <v>44251</v>
      </c>
      <c r="J49" s="778">
        <v>10397</v>
      </c>
      <c r="K49" s="778">
        <v>33854</v>
      </c>
      <c r="L49" s="778">
        <v>2</v>
      </c>
    </row>
    <row r="50" spans="1:12" x14ac:dyDescent="0.25">
      <c r="A50" s="784">
        <v>41</v>
      </c>
      <c r="B50" s="784">
        <v>23002</v>
      </c>
      <c r="C50" s="785" t="s">
        <v>104</v>
      </c>
      <c r="D50" s="778">
        <f t="shared" si="1"/>
        <v>151381</v>
      </c>
      <c r="E50" s="778">
        <v>0</v>
      </c>
      <c r="F50" s="778">
        <v>2540</v>
      </c>
      <c r="G50" s="778">
        <v>0</v>
      </c>
      <c r="H50" s="778">
        <v>0</v>
      </c>
      <c r="I50" s="778">
        <f t="shared" si="2"/>
        <v>148841</v>
      </c>
      <c r="J50" s="778">
        <v>33899</v>
      </c>
      <c r="K50" s="778">
        <v>114942</v>
      </c>
      <c r="L50" s="778">
        <v>1324</v>
      </c>
    </row>
    <row r="51" spans="1:12" x14ac:dyDescent="0.25">
      <c r="A51" s="784">
        <v>42</v>
      </c>
      <c r="B51" s="784">
        <v>23005</v>
      </c>
      <c r="C51" s="785" t="s">
        <v>106</v>
      </c>
      <c r="D51" s="778">
        <f t="shared" si="1"/>
        <v>33091</v>
      </c>
      <c r="E51" s="778">
        <v>0</v>
      </c>
      <c r="F51" s="778">
        <v>0</v>
      </c>
      <c r="G51" s="778">
        <v>0</v>
      </c>
      <c r="H51" s="778">
        <v>0</v>
      </c>
      <c r="I51" s="778">
        <f t="shared" si="2"/>
        <v>33091</v>
      </c>
      <c r="J51" s="778">
        <v>8707</v>
      </c>
      <c r="K51" s="778">
        <v>24384</v>
      </c>
      <c r="L51" s="778">
        <v>7</v>
      </c>
    </row>
    <row r="52" spans="1:12" x14ac:dyDescent="0.25">
      <c r="A52" s="784">
        <v>43</v>
      </c>
      <c r="B52" s="784">
        <v>28002</v>
      </c>
      <c r="C52" s="785" t="s">
        <v>108</v>
      </c>
      <c r="D52" s="778">
        <f t="shared" si="1"/>
        <v>51746</v>
      </c>
      <c r="E52" s="778">
        <v>0</v>
      </c>
      <c r="F52" s="778">
        <v>0</v>
      </c>
      <c r="G52" s="778">
        <v>0</v>
      </c>
      <c r="H52" s="778">
        <v>0</v>
      </c>
      <c r="I52" s="778">
        <f t="shared" si="2"/>
        <v>51746</v>
      </c>
      <c r="J52" s="778">
        <v>13378</v>
      </c>
      <c r="K52" s="778">
        <v>38368</v>
      </c>
      <c r="L52" s="778">
        <v>27</v>
      </c>
    </row>
    <row r="53" spans="1:12" x14ac:dyDescent="0.25">
      <c r="A53" s="784">
        <v>44</v>
      </c>
      <c r="B53" s="784">
        <v>21002</v>
      </c>
      <c r="C53" s="785" t="s">
        <v>110</v>
      </c>
      <c r="D53" s="778">
        <f t="shared" si="1"/>
        <v>62442</v>
      </c>
      <c r="E53" s="778">
        <v>0</v>
      </c>
      <c r="F53" s="778">
        <v>0</v>
      </c>
      <c r="G53" s="778">
        <v>0</v>
      </c>
      <c r="H53" s="778">
        <v>0</v>
      </c>
      <c r="I53" s="778">
        <f t="shared" si="2"/>
        <v>62442</v>
      </c>
      <c r="J53" s="778">
        <v>16341</v>
      </c>
      <c r="K53" s="778">
        <v>46101</v>
      </c>
      <c r="L53" s="778">
        <v>25</v>
      </c>
    </row>
    <row r="54" spans="1:12" x14ac:dyDescent="0.25">
      <c r="A54" s="784">
        <v>45</v>
      </c>
      <c r="B54" s="784">
        <v>23006</v>
      </c>
      <c r="C54" s="785" t="s">
        <v>112</v>
      </c>
      <c r="D54" s="778">
        <f t="shared" si="1"/>
        <v>20985</v>
      </c>
      <c r="E54" s="778">
        <v>0</v>
      </c>
      <c r="F54" s="778">
        <v>0</v>
      </c>
      <c r="G54" s="778">
        <v>0</v>
      </c>
      <c r="H54" s="778">
        <v>0</v>
      </c>
      <c r="I54" s="778">
        <f t="shared" si="2"/>
        <v>20985</v>
      </c>
      <c r="J54" s="778">
        <v>7053</v>
      </c>
      <c r="K54" s="778">
        <v>13932</v>
      </c>
      <c r="L54" s="778">
        <v>5</v>
      </c>
    </row>
    <row r="55" spans="1:12" x14ac:dyDescent="0.25">
      <c r="A55" s="784">
        <v>46</v>
      </c>
      <c r="B55" s="784">
        <v>21001</v>
      </c>
      <c r="C55" s="785" t="s">
        <v>114</v>
      </c>
      <c r="D55" s="778">
        <f t="shared" si="1"/>
        <v>41692</v>
      </c>
      <c r="E55" s="778">
        <v>0</v>
      </c>
      <c r="F55" s="778">
        <v>0</v>
      </c>
      <c r="G55" s="778">
        <v>0</v>
      </c>
      <c r="H55" s="778">
        <v>0</v>
      </c>
      <c r="I55" s="778">
        <f t="shared" si="2"/>
        <v>41692</v>
      </c>
      <c r="J55" s="778">
        <v>12739</v>
      </c>
      <c r="K55" s="778">
        <v>28953</v>
      </c>
      <c r="L55" s="778">
        <v>7</v>
      </c>
    </row>
    <row r="56" spans="1:12" x14ac:dyDescent="0.25">
      <c r="A56" s="784">
        <v>47</v>
      </c>
      <c r="B56" s="784">
        <v>21003</v>
      </c>
      <c r="C56" s="785" t="s">
        <v>116</v>
      </c>
      <c r="D56" s="778">
        <f t="shared" si="1"/>
        <v>63434</v>
      </c>
      <c r="E56" s="778">
        <v>0</v>
      </c>
      <c r="F56" s="778">
        <v>0</v>
      </c>
      <c r="G56" s="778">
        <v>0</v>
      </c>
      <c r="H56" s="778">
        <v>0</v>
      </c>
      <c r="I56" s="778">
        <f t="shared" si="2"/>
        <v>63434</v>
      </c>
      <c r="J56" s="778">
        <f>18787+500</f>
        <v>19287</v>
      </c>
      <c r="K56" s="778">
        <v>44147</v>
      </c>
      <c r="L56" s="778">
        <v>52</v>
      </c>
    </row>
    <row r="57" spans="1:12" x14ac:dyDescent="0.25">
      <c r="A57" s="784">
        <v>48</v>
      </c>
      <c r="B57" s="784">
        <v>21701</v>
      </c>
      <c r="C57" s="785" t="s">
        <v>118</v>
      </c>
      <c r="D57" s="778">
        <f t="shared" si="1"/>
        <v>219602</v>
      </c>
      <c r="E57" s="778">
        <v>0</v>
      </c>
      <c r="F57" s="778">
        <v>0</v>
      </c>
      <c r="G57" s="778">
        <v>0</v>
      </c>
      <c r="H57" s="778">
        <v>0</v>
      </c>
      <c r="I57" s="778">
        <f t="shared" si="2"/>
        <v>219602</v>
      </c>
      <c r="J57" s="778">
        <v>50494</v>
      </c>
      <c r="K57" s="778">
        <v>169108</v>
      </c>
      <c r="L57" s="778">
        <v>1157</v>
      </c>
    </row>
    <row r="58" spans="1:12" x14ac:dyDescent="0.25">
      <c r="A58" s="784">
        <v>49</v>
      </c>
      <c r="B58" s="784">
        <v>21706</v>
      </c>
      <c r="C58" s="785" t="s">
        <v>120</v>
      </c>
      <c r="D58" s="778">
        <f t="shared" si="1"/>
        <v>34377</v>
      </c>
      <c r="E58" s="778">
        <v>0</v>
      </c>
      <c r="F58" s="778">
        <v>0</v>
      </c>
      <c r="G58" s="778">
        <v>0</v>
      </c>
      <c r="H58" s="778">
        <v>0</v>
      </c>
      <c r="I58" s="778">
        <f t="shared" si="2"/>
        <v>34377</v>
      </c>
      <c r="J58" s="778">
        <v>8989</v>
      </c>
      <c r="K58" s="778">
        <v>25388</v>
      </c>
      <c r="L58" s="778">
        <v>2</v>
      </c>
    </row>
    <row r="59" spans="1:12" x14ac:dyDescent="0.25">
      <c r="A59" s="784">
        <v>50</v>
      </c>
      <c r="B59" s="784">
        <v>21749</v>
      </c>
      <c r="C59" s="785" t="s">
        <v>486</v>
      </c>
      <c r="D59" s="778">
        <f t="shared" si="1"/>
        <v>50</v>
      </c>
      <c r="E59" s="778">
        <v>0</v>
      </c>
      <c r="F59" s="778">
        <v>0</v>
      </c>
      <c r="G59" s="778">
        <v>50</v>
      </c>
      <c r="H59" s="778">
        <v>0</v>
      </c>
      <c r="I59" s="778">
        <f t="shared" si="2"/>
        <v>0</v>
      </c>
      <c r="J59" s="778">
        <v>0</v>
      </c>
      <c r="K59" s="778">
        <v>0</v>
      </c>
      <c r="L59" s="778">
        <v>0</v>
      </c>
    </row>
    <row r="60" spans="1:12" x14ac:dyDescent="0.25">
      <c r="A60" s="784">
        <v>51</v>
      </c>
      <c r="B60" s="784">
        <v>21110</v>
      </c>
      <c r="C60" s="785" t="s">
        <v>487</v>
      </c>
      <c r="D60" s="778">
        <f t="shared" si="1"/>
        <v>61003</v>
      </c>
      <c r="E60" s="778">
        <v>0</v>
      </c>
      <c r="F60" s="778">
        <v>0</v>
      </c>
      <c r="G60" s="778">
        <v>0</v>
      </c>
      <c r="H60" s="778">
        <v>0</v>
      </c>
      <c r="I60" s="778">
        <f t="shared" si="2"/>
        <v>61003</v>
      </c>
      <c r="J60" s="778">
        <v>11995</v>
      </c>
      <c r="K60" s="778">
        <v>49008</v>
      </c>
      <c r="L60" s="778">
        <v>246</v>
      </c>
    </row>
    <row r="61" spans="1:12" x14ac:dyDescent="0.25">
      <c r="A61" s="784">
        <v>52</v>
      </c>
      <c r="B61" s="784">
        <v>21100</v>
      </c>
      <c r="C61" s="785" t="s">
        <v>488</v>
      </c>
      <c r="D61" s="778">
        <f t="shared" si="1"/>
        <v>48287</v>
      </c>
      <c r="E61" s="778">
        <v>0</v>
      </c>
      <c r="F61" s="778">
        <v>0</v>
      </c>
      <c r="G61" s="778">
        <v>0</v>
      </c>
      <c r="H61" s="778">
        <v>0</v>
      </c>
      <c r="I61" s="778">
        <f t="shared" si="2"/>
        <v>48287</v>
      </c>
      <c r="J61" s="778">
        <v>10937</v>
      </c>
      <c r="K61" s="778">
        <v>37350</v>
      </c>
      <c r="L61" s="778">
        <v>14</v>
      </c>
    </row>
    <row r="62" spans="1:12" x14ac:dyDescent="0.25">
      <c r="A62" s="784">
        <v>53</v>
      </c>
      <c r="B62" s="784">
        <v>27000</v>
      </c>
      <c r="C62" s="785" t="s">
        <v>489</v>
      </c>
      <c r="D62" s="778">
        <f t="shared" si="1"/>
        <v>72840</v>
      </c>
      <c r="E62" s="778">
        <v>0</v>
      </c>
      <c r="F62" s="778">
        <v>0</v>
      </c>
      <c r="G62" s="778">
        <v>0</v>
      </c>
      <c r="H62" s="778">
        <v>3970</v>
      </c>
      <c r="I62" s="778">
        <f t="shared" si="2"/>
        <v>68870</v>
      </c>
      <c r="J62" s="778">
        <v>17719</v>
      </c>
      <c r="K62" s="778">
        <v>51151</v>
      </c>
      <c r="L62" s="778">
        <v>468</v>
      </c>
    </row>
    <row r="63" spans="1:12" x14ac:dyDescent="0.25">
      <c r="A63" s="784">
        <v>54</v>
      </c>
      <c r="B63" s="784">
        <v>21120</v>
      </c>
      <c r="C63" s="785" t="s">
        <v>490</v>
      </c>
      <c r="D63" s="778">
        <f t="shared" si="1"/>
        <v>91630</v>
      </c>
      <c r="E63" s="778">
        <v>0</v>
      </c>
      <c r="F63" s="778">
        <v>0</v>
      </c>
      <c r="G63" s="778">
        <v>0</v>
      </c>
      <c r="H63" s="778">
        <v>4474</v>
      </c>
      <c r="I63" s="778">
        <f t="shared" si="2"/>
        <v>87156</v>
      </c>
      <c r="J63" s="778">
        <v>19023</v>
      </c>
      <c r="K63" s="778">
        <v>68133</v>
      </c>
      <c r="L63" s="778">
        <v>144</v>
      </c>
    </row>
    <row r="64" spans="1:12" x14ac:dyDescent="0.25">
      <c r="A64" s="784">
        <v>55</v>
      </c>
      <c r="B64" s="784">
        <v>21130</v>
      </c>
      <c r="C64" s="785" t="s">
        <v>491</v>
      </c>
      <c r="D64" s="778">
        <f t="shared" si="1"/>
        <v>35142</v>
      </c>
      <c r="E64" s="778">
        <v>0</v>
      </c>
      <c r="F64" s="778">
        <v>0</v>
      </c>
      <c r="G64" s="778">
        <v>0</v>
      </c>
      <c r="H64" s="778">
        <v>0</v>
      </c>
      <c r="I64" s="778">
        <f t="shared" si="2"/>
        <v>35142</v>
      </c>
      <c r="J64" s="778">
        <v>9821</v>
      </c>
      <c r="K64" s="778">
        <v>25321</v>
      </c>
      <c r="L64" s="778">
        <v>411</v>
      </c>
    </row>
    <row r="65" spans="1:12" x14ac:dyDescent="0.25">
      <c r="A65" s="784">
        <v>56</v>
      </c>
      <c r="B65" s="784">
        <v>21140</v>
      </c>
      <c r="C65" s="785" t="s">
        <v>492</v>
      </c>
      <c r="D65" s="778">
        <f t="shared" si="1"/>
        <v>25073</v>
      </c>
      <c r="E65" s="778">
        <v>0</v>
      </c>
      <c r="F65" s="778">
        <v>0</v>
      </c>
      <c r="G65" s="778">
        <f>24483+590</f>
        <v>25073</v>
      </c>
      <c r="H65" s="778">
        <v>0</v>
      </c>
      <c r="I65" s="778">
        <f t="shared" si="2"/>
        <v>0</v>
      </c>
      <c r="J65" s="778">
        <v>0</v>
      </c>
      <c r="K65" s="778">
        <v>0</v>
      </c>
      <c r="L65" s="778">
        <v>0</v>
      </c>
    </row>
    <row r="66" spans="1:12" x14ac:dyDescent="0.25">
      <c r="A66" s="784">
        <v>57</v>
      </c>
      <c r="B66" s="784">
        <v>21150</v>
      </c>
      <c r="C66" s="785" t="s">
        <v>493</v>
      </c>
      <c r="D66" s="778">
        <f t="shared" si="1"/>
        <v>37194</v>
      </c>
      <c r="E66" s="778">
        <v>0</v>
      </c>
      <c r="F66" s="778">
        <v>0</v>
      </c>
      <c r="G66" s="778">
        <v>37194</v>
      </c>
      <c r="H66" s="778">
        <v>0</v>
      </c>
      <c r="I66" s="778">
        <f t="shared" si="2"/>
        <v>0</v>
      </c>
      <c r="J66" s="778">
        <v>0</v>
      </c>
      <c r="K66" s="778">
        <v>0</v>
      </c>
      <c r="L66" s="778">
        <v>0</v>
      </c>
    </row>
    <row r="67" spans="1:12" ht="24" x14ac:dyDescent="0.25">
      <c r="A67" s="784">
        <v>58</v>
      </c>
      <c r="B67" s="784">
        <v>29100</v>
      </c>
      <c r="C67" s="785" t="s">
        <v>494</v>
      </c>
      <c r="D67" s="778">
        <f t="shared" si="1"/>
        <v>124825</v>
      </c>
      <c r="E67" s="778">
        <v>5879</v>
      </c>
      <c r="F67" s="778">
        <v>0</v>
      </c>
      <c r="G67" s="778">
        <v>0</v>
      </c>
      <c r="H67" s="778">
        <v>0</v>
      </c>
      <c r="I67" s="778">
        <f t="shared" si="2"/>
        <v>118946</v>
      </c>
      <c r="J67" s="778">
        <v>29222</v>
      </c>
      <c r="K67" s="778">
        <v>89724</v>
      </c>
      <c r="L67" s="778">
        <v>440</v>
      </c>
    </row>
    <row r="68" spans="1:12" ht="24" x14ac:dyDescent="0.25">
      <c r="A68" s="784">
        <v>59</v>
      </c>
      <c r="B68" s="784">
        <v>29300</v>
      </c>
      <c r="C68" s="785" t="s">
        <v>495</v>
      </c>
      <c r="D68" s="778">
        <f t="shared" si="1"/>
        <v>65526</v>
      </c>
      <c r="E68" s="778">
        <v>0</v>
      </c>
      <c r="F68" s="778">
        <v>0</v>
      </c>
      <c r="G68" s="778">
        <v>0</v>
      </c>
      <c r="H68" s="778">
        <v>0</v>
      </c>
      <c r="I68" s="778">
        <f t="shared" si="2"/>
        <v>65526</v>
      </c>
      <c r="J68" s="778">
        <v>18017</v>
      </c>
      <c r="K68" s="778">
        <v>47509</v>
      </c>
      <c r="L68" s="778">
        <v>737</v>
      </c>
    </row>
    <row r="69" spans="1:12" ht="24" x14ac:dyDescent="0.25">
      <c r="A69" s="784">
        <v>60</v>
      </c>
      <c r="B69" s="784">
        <v>29700</v>
      </c>
      <c r="C69" s="785" t="s">
        <v>496</v>
      </c>
      <c r="D69" s="778">
        <f t="shared" si="1"/>
        <v>164371</v>
      </c>
      <c r="E69" s="778">
        <v>8643</v>
      </c>
      <c r="F69" s="778">
        <v>0</v>
      </c>
      <c r="G69" s="778">
        <v>0</v>
      </c>
      <c r="H69" s="778">
        <v>0</v>
      </c>
      <c r="I69" s="778">
        <f t="shared" si="2"/>
        <v>155728</v>
      </c>
      <c r="J69" s="778">
        <f>42888+500</f>
        <v>43388</v>
      </c>
      <c r="K69" s="778">
        <v>112340</v>
      </c>
      <c r="L69" s="778">
        <v>34</v>
      </c>
    </row>
    <row r="70" spans="1:12" x14ac:dyDescent="0.25">
      <c r="A70" s="784">
        <v>61</v>
      </c>
      <c r="B70" s="784">
        <v>21040</v>
      </c>
      <c r="C70" s="785" t="s">
        <v>497</v>
      </c>
      <c r="D70" s="778">
        <f t="shared" si="1"/>
        <v>17292</v>
      </c>
      <c r="E70" s="778">
        <v>0</v>
      </c>
      <c r="F70" s="778">
        <v>0</v>
      </c>
      <c r="G70" s="778">
        <v>17292</v>
      </c>
      <c r="H70" s="778">
        <v>0</v>
      </c>
      <c r="I70" s="778">
        <f t="shared" si="2"/>
        <v>0</v>
      </c>
      <c r="J70" s="778">
        <v>0</v>
      </c>
      <c r="K70" s="778">
        <v>0</v>
      </c>
      <c r="L70" s="778">
        <v>0</v>
      </c>
    </row>
    <row r="71" spans="1:12" x14ac:dyDescent="0.25">
      <c r="A71" s="784">
        <v>62</v>
      </c>
      <c r="B71" s="784">
        <v>21050</v>
      </c>
      <c r="C71" s="785" t="s">
        <v>498</v>
      </c>
      <c r="D71" s="778">
        <f t="shared" si="1"/>
        <v>21248</v>
      </c>
      <c r="E71" s="778">
        <v>0</v>
      </c>
      <c r="F71" s="778">
        <v>0</v>
      </c>
      <c r="G71" s="778">
        <f>20658+590</f>
        <v>21248</v>
      </c>
      <c r="H71" s="778">
        <v>0</v>
      </c>
      <c r="I71" s="778">
        <f t="shared" si="2"/>
        <v>0</v>
      </c>
      <c r="J71" s="778">
        <v>0</v>
      </c>
      <c r="K71" s="778">
        <v>0</v>
      </c>
      <c r="L71" s="778">
        <v>0</v>
      </c>
    </row>
    <row r="72" spans="1:12" x14ac:dyDescent="0.25">
      <c r="A72" s="784">
        <v>63</v>
      </c>
      <c r="B72" s="784">
        <v>21060</v>
      </c>
      <c r="C72" s="785" t="s">
        <v>499</v>
      </c>
      <c r="D72" s="778">
        <f t="shared" si="1"/>
        <v>24108</v>
      </c>
      <c r="E72" s="778">
        <v>0</v>
      </c>
      <c r="F72" s="778">
        <v>0</v>
      </c>
      <c r="G72" s="778">
        <v>24108</v>
      </c>
      <c r="H72" s="778">
        <v>0</v>
      </c>
      <c r="I72" s="778">
        <f t="shared" si="2"/>
        <v>0</v>
      </c>
      <c r="J72" s="778">
        <v>0</v>
      </c>
      <c r="K72" s="778">
        <v>0</v>
      </c>
      <c r="L72" s="778">
        <v>0</v>
      </c>
    </row>
    <row r="73" spans="1:12" x14ac:dyDescent="0.25">
      <c r="A73" s="784">
        <v>64</v>
      </c>
      <c r="B73" s="784">
        <v>21070</v>
      </c>
      <c r="C73" s="785" t="s">
        <v>500</v>
      </c>
      <c r="D73" s="778">
        <f t="shared" si="1"/>
        <v>20032</v>
      </c>
      <c r="E73" s="778">
        <v>0</v>
      </c>
      <c r="F73" s="778">
        <v>0</v>
      </c>
      <c r="G73" s="778">
        <f>19442+590</f>
        <v>20032</v>
      </c>
      <c r="H73" s="778">
        <v>0</v>
      </c>
      <c r="I73" s="778">
        <f t="shared" si="2"/>
        <v>0</v>
      </c>
      <c r="J73" s="778">
        <v>0</v>
      </c>
      <c r="K73" s="778">
        <v>0</v>
      </c>
      <c r="L73" s="778">
        <v>0</v>
      </c>
    </row>
    <row r="74" spans="1:12" x14ac:dyDescent="0.25">
      <c r="A74" s="784">
        <v>65</v>
      </c>
      <c r="B74" s="784">
        <v>21080</v>
      </c>
      <c r="C74" s="785" t="s">
        <v>501</v>
      </c>
      <c r="D74" s="778">
        <f t="shared" si="1"/>
        <v>29014</v>
      </c>
      <c r="E74" s="778">
        <v>0</v>
      </c>
      <c r="F74" s="778">
        <v>0</v>
      </c>
      <c r="G74" s="778">
        <v>29014</v>
      </c>
      <c r="H74" s="778">
        <v>0</v>
      </c>
      <c r="I74" s="778">
        <f t="shared" si="2"/>
        <v>0</v>
      </c>
      <c r="J74" s="778">
        <v>0</v>
      </c>
      <c r="K74" s="778">
        <v>0</v>
      </c>
      <c r="L74" s="778">
        <v>0</v>
      </c>
    </row>
    <row r="75" spans="1:12" x14ac:dyDescent="0.25">
      <c r="A75" s="784">
        <v>66</v>
      </c>
      <c r="B75" s="784">
        <v>21160</v>
      </c>
      <c r="C75" s="785" t="s">
        <v>502</v>
      </c>
      <c r="D75" s="778">
        <f t="shared" ref="D75:D123" si="3">E75+F75+G75+H75+I75</f>
        <v>20290</v>
      </c>
      <c r="E75" s="778">
        <v>0</v>
      </c>
      <c r="F75" s="778">
        <v>0</v>
      </c>
      <c r="G75" s="778">
        <v>20290</v>
      </c>
      <c r="H75" s="778">
        <v>0</v>
      </c>
      <c r="I75" s="778">
        <f t="shared" si="2"/>
        <v>0</v>
      </c>
      <c r="J75" s="778">
        <v>0</v>
      </c>
      <c r="K75" s="778">
        <v>0</v>
      </c>
      <c r="L75" s="778">
        <v>0</v>
      </c>
    </row>
    <row r="76" spans="1:12" x14ac:dyDescent="0.25">
      <c r="A76" s="784">
        <v>67</v>
      </c>
      <c r="B76" s="784">
        <v>21310</v>
      </c>
      <c r="C76" s="785" t="s">
        <v>503</v>
      </c>
      <c r="D76" s="778">
        <f t="shared" si="3"/>
        <v>18957</v>
      </c>
      <c r="E76" s="778">
        <v>0</v>
      </c>
      <c r="F76" s="778">
        <v>0</v>
      </c>
      <c r="G76" s="778">
        <f>18367+590</f>
        <v>18957</v>
      </c>
      <c r="H76" s="778">
        <v>0</v>
      </c>
      <c r="I76" s="778">
        <f t="shared" si="2"/>
        <v>0</v>
      </c>
      <c r="J76" s="778">
        <v>0</v>
      </c>
      <c r="K76" s="778">
        <v>0</v>
      </c>
      <c r="L76" s="778">
        <v>0</v>
      </c>
    </row>
    <row r="77" spans="1:12" ht="24" x14ac:dyDescent="0.25">
      <c r="A77" s="784">
        <v>68</v>
      </c>
      <c r="B77" s="784">
        <v>29400</v>
      </c>
      <c r="C77" s="785" t="s">
        <v>162</v>
      </c>
      <c r="D77" s="778">
        <f t="shared" si="3"/>
        <v>125041</v>
      </c>
      <c r="E77" s="778">
        <v>0</v>
      </c>
      <c r="F77" s="778">
        <v>0</v>
      </c>
      <c r="G77" s="778">
        <v>0</v>
      </c>
      <c r="H77" s="778">
        <v>1919</v>
      </c>
      <c r="I77" s="778">
        <f t="shared" si="2"/>
        <v>123122</v>
      </c>
      <c r="J77" s="778">
        <v>25720</v>
      </c>
      <c r="K77" s="778">
        <v>97402</v>
      </c>
      <c r="L77" s="778">
        <v>235</v>
      </c>
    </row>
    <row r="78" spans="1:12" x14ac:dyDescent="0.25">
      <c r="A78" s="784">
        <v>69</v>
      </c>
      <c r="B78" s="784">
        <v>23500</v>
      </c>
      <c r="C78" s="785" t="s">
        <v>504</v>
      </c>
      <c r="D78" s="778">
        <f t="shared" si="3"/>
        <v>220768</v>
      </c>
      <c r="E78" s="778">
        <v>0</v>
      </c>
      <c r="F78" s="778">
        <v>0</v>
      </c>
      <c r="G78" s="778">
        <v>0</v>
      </c>
      <c r="H78" s="778">
        <v>4215</v>
      </c>
      <c r="I78" s="778">
        <f t="shared" si="2"/>
        <v>216553</v>
      </c>
      <c r="J78" s="778">
        <v>69256</v>
      </c>
      <c r="K78" s="778">
        <v>147297</v>
      </c>
      <c r="L78" s="778">
        <v>110</v>
      </c>
    </row>
    <row r="79" spans="1:12" x14ac:dyDescent="0.25">
      <c r="A79" s="784">
        <v>70</v>
      </c>
      <c r="B79" s="784">
        <v>21800</v>
      </c>
      <c r="C79" s="785" t="s">
        <v>505</v>
      </c>
      <c r="D79" s="778">
        <f t="shared" si="3"/>
        <v>137612</v>
      </c>
      <c r="E79" s="778">
        <v>0</v>
      </c>
      <c r="F79" s="778">
        <v>2643</v>
      </c>
      <c r="G79" s="778">
        <v>0</v>
      </c>
      <c r="H79" s="778">
        <v>5232</v>
      </c>
      <c r="I79" s="778">
        <f t="shared" si="2"/>
        <v>129737</v>
      </c>
      <c r="J79" s="778">
        <v>32122</v>
      </c>
      <c r="K79" s="778">
        <v>97615</v>
      </c>
      <c r="L79" s="778">
        <v>335</v>
      </c>
    </row>
    <row r="80" spans="1:12" x14ac:dyDescent="0.25">
      <c r="A80" s="784">
        <v>71</v>
      </c>
      <c r="B80" s="784">
        <v>24200</v>
      </c>
      <c r="C80" s="785" t="s">
        <v>506</v>
      </c>
      <c r="D80" s="778">
        <f t="shared" si="3"/>
        <v>38155</v>
      </c>
      <c r="E80" s="778">
        <v>0</v>
      </c>
      <c r="F80" s="778">
        <v>0</v>
      </c>
      <c r="G80" s="778">
        <v>0</v>
      </c>
      <c r="H80" s="778">
        <v>0</v>
      </c>
      <c r="I80" s="778">
        <f t="shared" si="2"/>
        <v>38155</v>
      </c>
      <c r="J80" s="778">
        <v>12296</v>
      </c>
      <c r="K80" s="778">
        <v>25859</v>
      </c>
      <c r="L80" s="778">
        <v>301</v>
      </c>
    </row>
    <row r="81" spans="1:12" x14ac:dyDescent="0.25">
      <c r="A81" s="784">
        <v>72</v>
      </c>
      <c r="B81" s="784">
        <v>22300</v>
      </c>
      <c r="C81" s="785" t="s">
        <v>402</v>
      </c>
      <c r="D81" s="778">
        <f t="shared" si="3"/>
        <v>221864</v>
      </c>
      <c r="E81" s="778">
        <v>0</v>
      </c>
      <c r="F81" s="778">
        <v>7748</v>
      </c>
      <c r="G81" s="778">
        <v>0</v>
      </c>
      <c r="H81" s="778">
        <v>0</v>
      </c>
      <c r="I81" s="778">
        <f t="shared" si="2"/>
        <v>214116</v>
      </c>
      <c r="J81" s="778">
        <v>70582</v>
      </c>
      <c r="K81" s="778">
        <v>143534</v>
      </c>
      <c r="L81" s="778">
        <v>425</v>
      </c>
    </row>
    <row r="82" spans="1:12" x14ac:dyDescent="0.25">
      <c r="A82" s="784">
        <v>73</v>
      </c>
      <c r="B82" s="784">
        <v>21200</v>
      </c>
      <c r="C82" s="785" t="s">
        <v>507</v>
      </c>
      <c r="D82" s="778">
        <f t="shared" si="3"/>
        <v>56007</v>
      </c>
      <c r="E82" s="778">
        <v>0</v>
      </c>
      <c r="F82" s="778">
        <v>0</v>
      </c>
      <c r="G82" s="778">
        <v>0</v>
      </c>
      <c r="H82" s="778">
        <v>0</v>
      </c>
      <c r="I82" s="778">
        <f t="shared" si="2"/>
        <v>56007</v>
      </c>
      <c r="J82" s="778">
        <v>11466</v>
      </c>
      <c r="K82" s="778">
        <v>44541</v>
      </c>
      <c r="L82" s="778">
        <v>885</v>
      </c>
    </row>
    <row r="83" spans="1:12" x14ac:dyDescent="0.25">
      <c r="A83" s="784">
        <v>74</v>
      </c>
      <c r="B83" s="784">
        <v>28000</v>
      </c>
      <c r="C83" s="785" t="s">
        <v>508</v>
      </c>
      <c r="D83" s="778">
        <f t="shared" si="3"/>
        <v>158361</v>
      </c>
      <c r="E83" s="778">
        <v>0</v>
      </c>
      <c r="F83" s="778">
        <v>0</v>
      </c>
      <c r="G83" s="778">
        <v>0</v>
      </c>
      <c r="H83" s="778">
        <v>0</v>
      </c>
      <c r="I83" s="778">
        <f t="shared" si="2"/>
        <v>158361</v>
      </c>
      <c r="J83" s="778">
        <v>41996</v>
      </c>
      <c r="K83" s="778">
        <v>116365</v>
      </c>
      <c r="L83" s="778">
        <v>1161</v>
      </c>
    </row>
    <row r="84" spans="1:12" x14ac:dyDescent="0.25">
      <c r="A84" s="784">
        <v>75</v>
      </c>
      <c r="B84" s="784">
        <v>23200</v>
      </c>
      <c r="C84" s="785" t="s">
        <v>806</v>
      </c>
      <c r="D84" s="778">
        <f t="shared" si="3"/>
        <v>33171</v>
      </c>
      <c r="E84" s="778">
        <v>0</v>
      </c>
      <c r="F84" s="778">
        <v>0</v>
      </c>
      <c r="G84" s="778">
        <v>33171</v>
      </c>
      <c r="H84" s="778">
        <v>0</v>
      </c>
      <c r="I84" s="778">
        <f t="shared" si="2"/>
        <v>0</v>
      </c>
      <c r="J84" s="778">
        <v>0</v>
      </c>
      <c r="K84" s="778">
        <v>0</v>
      </c>
      <c r="L84" s="778">
        <v>0</v>
      </c>
    </row>
    <row r="85" spans="1:12" ht="24" x14ac:dyDescent="0.25">
      <c r="A85" s="1138">
        <v>76</v>
      </c>
      <c r="B85" s="1138">
        <v>22800</v>
      </c>
      <c r="C85" s="786" t="s">
        <v>466</v>
      </c>
      <c r="D85" s="778">
        <f t="shared" si="3"/>
        <v>40550</v>
      </c>
      <c r="E85" s="778">
        <v>0</v>
      </c>
      <c r="F85" s="778">
        <v>0</v>
      </c>
      <c r="G85" s="778">
        <v>29161</v>
      </c>
      <c r="H85" s="778">
        <v>0</v>
      </c>
      <c r="I85" s="778">
        <f t="shared" si="2"/>
        <v>11389</v>
      </c>
      <c r="J85" s="778">
        <v>2047</v>
      </c>
      <c r="K85" s="778">
        <v>9342</v>
      </c>
      <c r="L85" s="778">
        <v>176</v>
      </c>
    </row>
    <row r="86" spans="1:12" ht="36" x14ac:dyDescent="0.25">
      <c r="A86" s="1138"/>
      <c r="B86" s="1138"/>
      <c r="C86" s="785" t="s">
        <v>467</v>
      </c>
      <c r="D86" s="778">
        <f t="shared" si="3"/>
        <v>11389</v>
      </c>
      <c r="E86" s="778">
        <v>0</v>
      </c>
      <c r="F86" s="778">
        <v>0</v>
      </c>
      <c r="G86" s="778">
        <v>0</v>
      </c>
      <c r="H86" s="778">
        <v>0</v>
      </c>
      <c r="I86" s="778">
        <f t="shared" si="2"/>
        <v>11389</v>
      </c>
      <c r="J86" s="778">
        <v>2047</v>
      </c>
      <c r="K86" s="778">
        <v>9342</v>
      </c>
      <c r="L86" s="778">
        <v>176</v>
      </c>
    </row>
    <row r="87" spans="1:12" ht="24" x14ac:dyDescent="0.25">
      <c r="A87" s="1138"/>
      <c r="B87" s="1138"/>
      <c r="C87" s="785" t="s">
        <v>180</v>
      </c>
      <c r="D87" s="778">
        <f t="shared" si="3"/>
        <v>4470</v>
      </c>
      <c r="E87" s="778">
        <v>0</v>
      </c>
      <c r="F87" s="778">
        <v>0</v>
      </c>
      <c r="G87" s="778">
        <v>4470</v>
      </c>
      <c r="H87" s="778">
        <v>0</v>
      </c>
      <c r="I87" s="778">
        <f t="shared" si="2"/>
        <v>0</v>
      </c>
      <c r="J87" s="778">
        <v>0</v>
      </c>
      <c r="K87" s="778">
        <v>0</v>
      </c>
      <c r="L87" s="778">
        <v>0</v>
      </c>
    </row>
    <row r="88" spans="1:12" ht="48" x14ac:dyDescent="0.25">
      <c r="A88" s="1138"/>
      <c r="B88" s="1138"/>
      <c r="C88" s="785" t="s">
        <v>509</v>
      </c>
      <c r="D88" s="778">
        <f t="shared" si="3"/>
        <v>24691</v>
      </c>
      <c r="E88" s="778">
        <v>0</v>
      </c>
      <c r="F88" s="778">
        <v>0</v>
      </c>
      <c r="G88" s="778">
        <v>24691</v>
      </c>
      <c r="H88" s="778">
        <v>0</v>
      </c>
      <c r="I88" s="778">
        <f t="shared" si="2"/>
        <v>0</v>
      </c>
      <c r="J88" s="778">
        <v>0</v>
      </c>
      <c r="K88" s="778">
        <v>0</v>
      </c>
      <c r="L88" s="778">
        <v>0</v>
      </c>
    </row>
    <row r="89" spans="1:12" x14ac:dyDescent="0.25">
      <c r="A89" s="784">
        <v>77</v>
      </c>
      <c r="B89" s="784">
        <v>25000</v>
      </c>
      <c r="C89" s="785" t="s">
        <v>510</v>
      </c>
      <c r="D89" s="778">
        <f t="shared" si="3"/>
        <v>1341</v>
      </c>
      <c r="E89" s="778">
        <v>0</v>
      </c>
      <c r="F89" s="778">
        <v>0</v>
      </c>
      <c r="G89" s="778">
        <v>1341</v>
      </c>
      <c r="H89" s="778">
        <v>0</v>
      </c>
      <c r="I89" s="778">
        <f t="shared" si="2"/>
        <v>0</v>
      </c>
      <c r="J89" s="778">
        <v>0</v>
      </c>
      <c r="K89" s="778">
        <v>0</v>
      </c>
      <c r="L89" s="778">
        <v>0</v>
      </c>
    </row>
    <row r="90" spans="1:12" x14ac:dyDescent="0.25">
      <c r="A90" s="784">
        <v>78</v>
      </c>
      <c r="B90" s="784">
        <v>20171</v>
      </c>
      <c r="C90" s="785" t="s">
        <v>464</v>
      </c>
      <c r="D90" s="778">
        <f t="shared" si="3"/>
        <v>9228</v>
      </c>
      <c r="E90" s="778">
        <v>0</v>
      </c>
      <c r="F90" s="778">
        <v>0</v>
      </c>
      <c r="G90" s="778">
        <v>0</v>
      </c>
      <c r="H90" s="778">
        <v>0</v>
      </c>
      <c r="I90" s="778">
        <f t="shared" si="2"/>
        <v>9228</v>
      </c>
      <c r="J90" s="778">
        <v>2055</v>
      </c>
      <c r="K90" s="778">
        <v>7173</v>
      </c>
      <c r="L90" s="778">
        <v>9</v>
      </c>
    </row>
    <row r="91" spans="1:12" ht="24" x14ac:dyDescent="0.25">
      <c r="A91" s="784">
        <v>79</v>
      </c>
      <c r="B91" s="784">
        <v>22117</v>
      </c>
      <c r="C91" s="785" t="s">
        <v>511</v>
      </c>
      <c r="D91" s="778">
        <f t="shared" si="3"/>
        <v>37069</v>
      </c>
      <c r="E91" s="778">
        <v>0</v>
      </c>
      <c r="F91" s="778">
        <v>0</v>
      </c>
      <c r="G91" s="778">
        <v>0</v>
      </c>
      <c r="H91" s="778">
        <v>0</v>
      </c>
      <c r="I91" s="778">
        <f t="shared" si="2"/>
        <v>37069</v>
      </c>
      <c r="J91" s="778">
        <v>7804</v>
      </c>
      <c r="K91" s="778">
        <v>29265</v>
      </c>
      <c r="L91" s="778">
        <v>714</v>
      </c>
    </row>
    <row r="92" spans="1:12" x14ac:dyDescent="0.25">
      <c r="A92" s="784">
        <v>80</v>
      </c>
      <c r="B92" s="784">
        <v>22204</v>
      </c>
      <c r="C92" s="785" t="s">
        <v>188</v>
      </c>
      <c r="D92" s="778">
        <f t="shared" si="3"/>
        <v>29434</v>
      </c>
      <c r="E92" s="778">
        <v>0</v>
      </c>
      <c r="F92" s="778">
        <v>0</v>
      </c>
      <c r="G92" s="778">
        <v>0</v>
      </c>
      <c r="H92" s="778">
        <v>0</v>
      </c>
      <c r="I92" s="778">
        <f t="shared" si="2"/>
        <v>29434</v>
      </c>
      <c r="J92" s="778">
        <v>9575</v>
      </c>
      <c r="K92" s="778">
        <v>19859</v>
      </c>
      <c r="L92" s="778">
        <v>25</v>
      </c>
    </row>
    <row r="93" spans="1:12" x14ac:dyDescent="0.25">
      <c r="A93" s="784">
        <v>81</v>
      </c>
      <c r="B93" s="784">
        <v>26005</v>
      </c>
      <c r="C93" s="785" t="s">
        <v>190</v>
      </c>
      <c r="D93" s="778">
        <f t="shared" si="3"/>
        <v>29948</v>
      </c>
      <c r="E93" s="778">
        <v>0</v>
      </c>
      <c r="F93" s="778">
        <v>0</v>
      </c>
      <c r="G93" s="778">
        <v>0</v>
      </c>
      <c r="H93" s="778">
        <v>0</v>
      </c>
      <c r="I93" s="778">
        <f t="shared" si="2"/>
        <v>29948</v>
      </c>
      <c r="J93" s="778">
        <v>9301</v>
      </c>
      <c r="K93" s="778">
        <v>20647</v>
      </c>
      <c r="L93" s="778">
        <v>37</v>
      </c>
    </row>
    <row r="94" spans="1:12" x14ac:dyDescent="0.25">
      <c r="A94" s="784">
        <v>82</v>
      </c>
      <c r="B94" s="784">
        <v>22202</v>
      </c>
      <c r="C94" s="785" t="s">
        <v>192</v>
      </c>
      <c r="D94" s="778">
        <f t="shared" si="3"/>
        <v>84590</v>
      </c>
      <c r="E94" s="778">
        <v>0</v>
      </c>
      <c r="F94" s="778">
        <v>0</v>
      </c>
      <c r="G94" s="778">
        <v>0</v>
      </c>
      <c r="H94" s="778">
        <v>0</v>
      </c>
      <c r="I94" s="778">
        <f t="shared" si="2"/>
        <v>84590</v>
      </c>
      <c r="J94" s="778">
        <f>22492+500</f>
        <v>22992</v>
      </c>
      <c r="K94" s="778">
        <v>61598</v>
      </c>
      <c r="L94" s="778">
        <v>370</v>
      </c>
    </row>
    <row r="95" spans="1:12" ht="24" x14ac:dyDescent="0.25">
      <c r="A95" s="784">
        <v>83</v>
      </c>
      <c r="B95" s="784">
        <v>26002</v>
      </c>
      <c r="C95" s="785" t="s">
        <v>194</v>
      </c>
      <c r="D95" s="778">
        <f t="shared" si="3"/>
        <v>35436</v>
      </c>
      <c r="E95" s="778">
        <v>0</v>
      </c>
      <c r="F95" s="778">
        <v>0</v>
      </c>
      <c r="G95" s="778">
        <v>0</v>
      </c>
      <c r="H95" s="778">
        <v>0</v>
      </c>
      <c r="I95" s="778">
        <f t="shared" si="2"/>
        <v>35436</v>
      </c>
      <c r="J95" s="778">
        <v>9056</v>
      </c>
      <c r="K95" s="778">
        <v>26380</v>
      </c>
      <c r="L95" s="778">
        <v>0</v>
      </c>
    </row>
    <row r="96" spans="1:12" x14ac:dyDescent="0.25">
      <c r="A96" s="784">
        <v>84</v>
      </c>
      <c r="B96" s="784">
        <v>22002</v>
      </c>
      <c r="C96" s="785" t="s">
        <v>196</v>
      </c>
      <c r="D96" s="778">
        <f t="shared" si="3"/>
        <v>43751</v>
      </c>
      <c r="E96" s="778">
        <v>0</v>
      </c>
      <c r="F96" s="778">
        <v>0</v>
      </c>
      <c r="G96" s="778">
        <v>0</v>
      </c>
      <c r="H96" s="778">
        <v>0</v>
      </c>
      <c r="I96" s="778">
        <f t="shared" si="2"/>
        <v>43751</v>
      </c>
      <c r="J96" s="778">
        <v>12994</v>
      </c>
      <c r="K96" s="778">
        <v>30757</v>
      </c>
      <c r="L96" s="778">
        <v>260</v>
      </c>
    </row>
    <row r="97" spans="1:12" x14ac:dyDescent="0.25">
      <c r="A97" s="784">
        <v>85</v>
      </c>
      <c r="B97" s="784">
        <v>22201</v>
      </c>
      <c r="C97" s="785" t="s">
        <v>198</v>
      </c>
      <c r="D97" s="778">
        <f t="shared" si="3"/>
        <v>100017</v>
      </c>
      <c r="E97" s="778">
        <v>0</v>
      </c>
      <c r="F97" s="778">
        <v>0</v>
      </c>
      <c r="G97" s="778">
        <v>0</v>
      </c>
      <c r="H97" s="778">
        <v>0</v>
      </c>
      <c r="I97" s="778">
        <f t="shared" ref="I97:I123" si="4">J97+K97</f>
        <v>100017</v>
      </c>
      <c r="J97" s="778">
        <v>28778</v>
      </c>
      <c r="K97" s="778">
        <v>71239</v>
      </c>
      <c r="L97" s="778">
        <v>96</v>
      </c>
    </row>
    <row r="98" spans="1:12" x14ac:dyDescent="0.25">
      <c r="A98" s="784">
        <v>86</v>
      </c>
      <c r="B98" s="784">
        <v>22205</v>
      </c>
      <c r="C98" s="785" t="s">
        <v>200</v>
      </c>
      <c r="D98" s="778">
        <f t="shared" si="3"/>
        <v>78782</v>
      </c>
      <c r="E98" s="778">
        <v>0</v>
      </c>
      <c r="F98" s="778">
        <v>0</v>
      </c>
      <c r="G98" s="778">
        <v>0</v>
      </c>
      <c r="H98" s="778">
        <v>0</v>
      </c>
      <c r="I98" s="778">
        <f t="shared" si="4"/>
        <v>78782</v>
      </c>
      <c r="J98" s="778">
        <v>17804</v>
      </c>
      <c r="K98" s="778">
        <v>60978</v>
      </c>
      <c r="L98" s="778">
        <v>150</v>
      </c>
    </row>
    <row r="99" spans="1:12" x14ac:dyDescent="0.25">
      <c r="A99" s="784">
        <v>87</v>
      </c>
      <c r="B99" s="784">
        <v>26004</v>
      </c>
      <c r="C99" s="785" t="s">
        <v>202</v>
      </c>
      <c r="D99" s="778">
        <f t="shared" si="3"/>
        <v>27318</v>
      </c>
      <c r="E99" s="778">
        <v>0</v>
      </c>
      <c r="F99" s="778">
        <v>0</v>
      </c>
      <c r="G99" s="778">
        <v>0</v>
      </c>
      <c r="H99" s="778">
        <v>0</v>
      </c>
      <c r="I99" s="778">
        <f t="shared" si="4"/>
        <v>27318</v>
      </c>
      <c r="J99" s="778">
        <v>8242</v>
      </c>
      <c r="K99" s="778">
        <v>19076</v>
      </c>
      <c r="L99" s="778">
        <v>5</v>
      </c>
    </row>
    <row r="100" spans="1:12" x14ac:dyDescent="0.25">
      <c r="A100" s="784">
        <v>88</v>
      </c>
      <c r="B100" s="784">
        <v>22208</v>
      </c>
      <c r="C100" s="785" t="s">
        <v>204</v>
      </c>
      <c r="D100" s="778">
        <f t="shared" si="3"/>
        <v>42079</v>
      </c>
      <c r="E100" s="778">
        <v>0</v>
      </c>
      <c r="F100" s="778">
        <v>0</v>
      </c>
      <c r="G100" s="778">
        <v>0</v>
      </c>
      <c r="H100" s="778">
        <v>0</v>
      </c>
      <c r="I100" s="778">
        <f t="shared" si="4"/>
        <v>42079</v>
      </c>
      <c r="J100" s="778">
        <v>9013</v>
      </c>
      <c r="K100" s="778">
        <v>33066</v>
      </c>
      <c r="L100" s="778">
        <v>110</v>
      </c>
    </row>
    <row r="101" spans="1:12" x14ac:dyDescent="0.25">
      <c r="A101" s="784">
        <v>89</v>
      </c>
      <c r="B101" s="784">
        <v>26003</v>
      </c>
      <c r="C101" s="785" t="s">
        <v>206</v>
      </c>
      <c r="D101" s="778">
        <f t="shared" si="3"/>
        <v>41049</v>
      </c>
      <c r="E101" s="778">
        <v>0</v>
      </c>
      <c r="F101" s="778">
        <v>0</v>
      </c>
      <c r="G101" s="778">
        <v>0</v>
      </c>
      <c r="H101" s="778">
        <v>0</v>
      </c>
      <c r="I101" s="778">
        <f t="shared" si="4"/>
        <v>41049</v>
      </c>
      <c r="J101" s="778">
        <v>12119</v>
      </c>
      <c r="K101" s="778">
        <v>28930</v>
      </c>
      <c r="L101" s="778">
        <v>37</v>
      </c>
    </row>
    <row r="102" spans="1:12" x14ac:dyDescent="0.25">
      <c r="A102" s="784">
        <v>90</v>
      </c>
      <c r="B102" s="784">
        <v>26001</v>
      </c>
      <c r="C102" s="785" t="s">
        <v>208</v>
      </c>
      <c r="D102" s="778">
        <f t="shared" si="3"/>
        <v>50798</v>
      </c>
      <c r="E102" s="778">
        <v>0</v>
      </c>
      <c r="F102" s="778">
        <v>2468</v>
      </c>
      <c r="G102" s="778">
        <v>0</v>
      </c>
      <c r="H102" s="778">
        <v>0</v>
      </c>
      <c r="I102" s="778">
        <f t="shared" si="4"/>
        <v>48330</v>
      </c>
      <c r="J102" s="778">
        <v>10246</v>
      </c>
      <c r="K102" s="778">
        <v>38084</v>
      </c>
      <c r="L102" s="778">
        <v>148</v>
      </c>
    </row>
    <row r="103" spans="1:12" x14ac:dyDescent="0.25">
      <c r="A103" s="784">
        <v>91</v>
      </c>
      <c r="B103" s="784">
        <v>22203</v>
      </c>
      <c r="C103" s="785" t="s">
        <v>210</v>
      </c>
      <c r="D103" s="778">
        <f t="shared" si="3"/>
        <v>31836</v>
      </c>
      <c r="E103" s="778">
        <v>0</v>
      </c>
      <c r="F103" s="778">
        <v>0</v>
      </c>
      <c r="G103" s="778">
        <v>0</v>
      </c>
      <c r="H103" s="778">
        <v>0</v>
      </c>
      <c r="I103" s="778">
        <f t="shared" si="4"/>
        <v>31836</v>
      </c>
      <c r="J103" s="778">
        <v>9034</v>
      </c>
      <c r="K103" s="778">
        <v>22802</v>
      </c>
      <c r="L103" s="778">
        <v>181</v>
      </c>
    </row>
    <row r="104" spans="1:12" x14ac:dyDescent="0.25">
      <c r="A104" s="784">
        <v>92</v>
      </c>
      <c r="B104" s="784">
        <v>27002</v>
      </c>
      <c r="C104" s="785" t="s">
        <v>212</v>
      </c>
      <c r="D104" s="778">
        <f t="shared" si="3"/>
        <v>45767</v>
      </c>
      <c r="E104" s="778">
        <v>0</v>
      </c>
      <c r="F104" s="778">
        <v>0</v>
      </c>
      <c r="G104" s="778">
        <v>0</v>
      </c>
      <c r="H104" s="778">
        <v>0</v>
      </c>
      <c r="I104" s="778">
        <f t="shared" si="4"/>
        <v>45767</v>
      </c>
      <c r="J104" s="778">
        <v>11439</v>
      </c>
      <c r="K104" s="778">
        <v>34328</v>
      </c>
      <c r="L104" s="778">
        <v>420</v>
      </c>
    </row>
    <row r="105" spans="1:12" x14ac:dyDescent="0.25">
      <c r="A105" s="784">
        <v>93</v>
      </c>
      <c r="B105" s="784">
        <v>22000</v>
      </c>
      <c r="C105" s="785" t="s">
        <v>214</v>
      </c>
      <c r="D105" s="778">
        <f t="shared" si="3"/>
        <v>80150</v>
      </c>
      <c r="E105" s="778">
        <v>0</v>
      </c>
      <c r="F105" s="778">
        <v>0</v>
      </c>
      <c r="G105" s="778">
        <v>0</v>
      </c>
      <c r="H105" s="778">
        <v>0</v>
      </c>
      <c r="I105" s="778">
        <f t="shared" si="4"/>
        <v>80150</v>
      </c>
      <c r="J105" s="778">
        <v>21210</v>
      </c>
      <c r="K105" s="778">
        <v>58940</v>
      </c>
      <c r="L105" s="778">
        <v>43</v>
      </c>
    </row>
    <row r="106" spans="1:12" x14ac:dyDescent="0.25">
      <c r="A106" s="784">
        <v>94</v>
      </c>
      <c r="B106" s="784">
        <v>22003</v>
      </c>
      <c r="C106" s="785" t="s">
        <v>216</v>
      </c>
      <c r="D106" s="778">
        <f t="shared" si="3"/>
        <v>36460</v>
      </c>
      <c r="E106" s="778">
        <v>0</v>
      </c>
      <c r="F106" s="778">
        <v>0</v>
      </c>
      <c r="G106" s="778">
        <v>0</v>
      </c>
      <c r="H106" s="778">
        <v>0</v>
      </c>
      <c r="I106" s="778">
        <f t="shared" si="4"/>
        <v>36460</v>
      </c>
      <c r="J106" s="778">
        <v>9649</v>
      </c>
      <c r="K106" s="778">
        <v>26811</v>
      </c>
      <c r="L106" s="778">
        <v>39</v>
      </c>
    </row>
    <row r="107" spans="1:12" x14ac:dyDescent="0.25">
      <c r="A107" s="784">
        <v>95</v>
      </c>
      <c r="B107" s="784">
        <v>20251</v>
      </c>
      <c r="C107" s="785" t="s">
        <v>512</v>
      </c>
      <c r="D107" s="778">
        <f t="shared" si="3"/>
        <v>2387</v>
      </c>
      <c r="E107" s="778">
        <v>0</v>
      </c>
      <c r="F107" s="778">
        <v>0</v>
      </c>
      <c r="G107" s="778">
        <v>2387</v>
      </c>
      <c r="H107" s="778">
        <v>0</v>
      </c>
      <c r="I107" s="778">
        <f t="shared" si="4"/>
        <v>0</v>
      </c>
      <c r="J107" s="778">
        <v>0</v>
      </c>
      <c r="K107" s="778">
        <v>0</v>
      </c>
      <c r="L107" s="778">
        <v>0</v>
      </c>
    </row>
    <row r="108" spans="1:12" x14ac:dyDescent="0.25">
      <c r="A108" s="784">
        <v>96</v>
      </c>
      <c r="B108" s="784">
        <v>20260</v>
      </c>
      <c r="C108" s="785" t="s">
        <v>513</v>
      </c>
      <c r="D108" s="778">
        <f t="shared" si="3"/>
        <v>340</v>
      </c>
      <c r="E108" s="778">
        <v>0</v>
      </c>
      <c r="F108" s="778">
        <v>0</v>
      </c>
      <c r="G108" s="778">
        <v>340</v>
      </c>
      <c r="H108" s="778">
        <v>0</v>
      </c>
      <c r="I108" s="778">
        <f t="shared" si="4"/>
        <v>0</v>
      </c>
      <c r="J108" s="778">
        <v>0</v>
      </c>
      <c r="K108" s="778">
        <v>0</v>
      </c>
      <c r="L108" s="778">
        <v>0</v>
      </c>
    </row>
    <row r="109" spans="1:12" x14ac:dyDescent="0.25">
      <c r="A109" s="784">
        <v>97</v>
      </c>
      <c r="B109" s="784">
        <v>20235</v>
      </c>
      <c r="C109" s="785" t="s">
        <v>514</v>
      </c>
      <c r="D109" s="778">
        <f t="shared" si="3"/>
        <v>28</v>
      </c>
      <c r="E109" s="778">
        <v>0</v>
      </c>
      <c r="F109" s="778">
        <v>0</v>
      </c>
      <c r="G109" s="778">
        <v>28</v>
      </c>
      <c r="H109" s="778">
        <v>0</v>
      </c>
      <c r="I109" s="778">
        <f t="shared" si="4"/>
        <v>0</v>
      </c>
      <c r="J109" s="778">
        <v>0</v>
      </c>
      <c r="K109" s="778">
        <v>0</v>
      </c>
      <c r="L109" s="778">
        <v>0</v>
      </c>
    </row>
    <row r="110" spans="1:12" x14ac:dyDescent="0.25">
      <c r="A110" s="784">
        <v>98</v>
      </c>
      <c r="B110" s="784">
        <v>29140</v>
      </c>
      <c r="C110" s="785" t="s">
        <v>515</v>
      </c>
      <c r="D110" s="778">
        <f t="shared" si="3"/>
        <v>8698</v>
      </c>
      <c r="E110" s="778">
        <v>0</v>
      </c>
      <c r="F110" s="778">
        <v>0</v>
      </c>
      <c r="G110" s="778">
        <v>8698</v>
      </c>
      <c r="H110" s="778">
        <v>0</v>
      </c>
      <c r="I110" s="778">
        <f t="shared" si="4"/>
        <v>0</v>
      </c>
      <c r="J110" s="778">
        <v>0</v>
      </c>
      <c r="K110" s="778">
        <v>0</v>
      </c>
      <c r="L110" s="778">
        <v>0</v>
      </c>
    </row>
    <row r="111" spans="1:12" x14ac:dyDescent="0.25">
      <c r="A111" s="784">
        <v>99</v>
      </c>
      <c r="B111" s="784">
        <v>20157</v>
      </c>
      <c r="C111" s="785" t="s">
        <v>516</v>
      </c>
      <c r="D111" s="778">
        <f t="shared" si="3"/>
        <v>16</v>
      </c>
      <c r="E111" s="778">
        <v>0</v>
      </c>
      <c r="F111" s="778">
        <v>0</v>
      </c>
      <c r="G111" s="778">
        <v>16</v>
      </c>
      <c r="H111" s="778">
        <v>0</v>
      </c>
      <c r="I111" s="778">
        <f t="shared" si="4"/>
        <v>0</v>
      </c>
      <c r="J111" s="778">
        <v>0</v>
      </c>
      <c r="K111" s="778">
        <v>0</v>
      </c>
      <c r="L111" s="778">
        <v>0</v>
      </c>
    </row>
    <row r="112" spans="1:12" x14ac:dyDescent="0.25">
      <c r="A112" s="784">
        <v>100</v>
      </c>
      <c r="B112" s="784">
        <v>20172</v>
      </c>
      <c r="C112" s="785" t="s">
        <v>517</v>
      </c>
      <c r="D112" s="778">
        <f t="shared" si="3"/>
        <v>68</v>
      </c>
      <c r="E112" s="778">
        <v>0</v>
      </c>
      <c r="F112" s="778">
        <v>0</v>
      </c>
      <c r="G112" s="778">
        <v>68</v>
      </c>
      <c r="H112" s="778">
        <v>0</v>
      </c>
      <c r="I112" s="778">
        <f t="shared" si="4"/>
        <v>0</v>
      </c>
      <c r="J112" s="778">
        <v>0</v>
      </c>
      <c r="K112" s="778">
        <v>0</v>
      </c>
      <c r="L112" s="778">
        <v>0</v>
      </c>
    </row>
    <row r="113" spans="1:12" x14ac:dyDescent="0.25">
      <c r="A113" s="784">
        <v>101</v>
      </c>
      <c r="B113" s="784">
        <v>20165</v>
      </c>
      <c r="C113" s="785" t="s">
        <v>518</v>
      </c>
      <c r="D113" s="778">
        <f t="shared" si="3"/>
        <v>410</v>
      </c>
      <c r="E113" s="778">
        <v>0</v>
      </c>
      <c r="F113" s="778">
        <v>0</v>
      </c>
      <c r="G113" s="778">
        <v>410</v>
      </c>
      <c r="H113" s="778">
        <v>0</v>
      </c>
      <c r="I113" s="778">
        <f t="shared" si="4"/>
        <v>0</v>
      </c>
      <c r="J113" s="778">
        <v>0</v>
      </c>
      <c r="K113" s="778">
        <v>0</v>
      </c>
      <c r="L113" s="778">
        <v>0</v>
      </c>
    </row>
    <row r="114" spans="1:12" x14ac:dyDescent="0.25">
      <c r="A114" s="784">
        <v>102</v>
      </c>
      <c r="B114" s="784">
        <v>20161</v>
      </c>
      <c r="C114" s="785" t="s">
        <v>519</v>
      </c>
      <c r="D114" s="778">
        <f t="shared" si="3"/>
        <v>2882</v>
      </c>
      <c r="E114" s="778">
        <v>0</v>
      </c>
      <c r="F114" s="778">
        <v>0</v>
      </c>
      <c r="G114" s="778">
        <v>2882</v>
      </c>
      <c r="H114" s="778">
        <v>0</v>
      </c>
      <c r="I114" s="778">
        <f t="shared" si="4"/>
        <v>0</v>
      </c>
      <c r="J114" s="778">
        <v>0</v>
      </c>
      <c r="K114" s="778">
        <v>0</v>
      </c>
      <c r="L114" s="778">
        <v>0</v>
      </c>
    </row>
    <row r="115" spans="1:12" x14ac:dyDescent="0.25">
      <c r="A115" s="784">
        <v>103</v>
      </c>
      <c r="B115" s="784">
        <v>22120</v>
      </c>
      <c r="C115" s="785" t="s">
        <v>520</v>
      </c>
      <c r="D115" s="778">
        <f t="shared" si="3"/>
        <v>12</v>
      </c>
      <c r="E115" s="778">
        <v>0</v>
      </c>
      <c r="F115" s="778">
        <v>0</v>
      </c>
      <c r="G115" s="778">
        <v>12</v>
      </c>
      <c r="H115" s="778">
        <v>0</v>
      </c>
      <c r="I115" s="778">
        <f t="shared" si="4"/>
        <v>0</v>
      </c>
      <c r="J115" s="778">
        <v>0</v>
      </c>
      <c r="K115" s="778">
        <v>0</v>
      </c>
      <c r="L115" s="778">
        <v>0</v>
      </c>
    </row>
    <row r="116" spans="1:12" x14ac:dyDescent="0.25">
      <c r="A116" s="784">
        <v>104</v>
      </c>
      <c r="B116" s="784">
        <v>22113</v>
      </c>
      <c r="C116" s="785" t="s">
        <v>265</v>
      </c>
      <c r="D116" s="778">
        <f t="shared" si="3"/>
        <v>5957</v>
      </c>
      <c r="E116" s="778">
        <v>0</v>
      </c>
      <c r="F116" s="778">
        <v>0</v>
      </c>
      <c r="G116" s="778">
        <v>204</v>
      </c>
      <c r="H116" s="778">
        <v>5753</v>
      </c>
      <c r="I116" s="778">
        <f t="shared" si="4"/>
        <v>0</v>
      </c>
      <c r="J116" s="778">
        <v>0</v>
      </c>
      <c r="K116" s="778">
        <v>0</v>
      </c>
      <c r="L116" s="778">
        <v>0</v>
      </c>
    </row>
    <row r="117" spans="1:12" x14ac:dyDescent="0.25">
      <c r="A117" s="784">
        <v>105</v>
      </c>
      <c r="B117" s="784">
        <v>22112</v>
      </c>
      <c r="C117" s="785" t="s">
        <v>521</v>
      </c>
      <c r="D117" s="778">
        <f t="shared" si="3"/>
        <v>54613</v>
      </c>
      <c r="E117" s="778">
        <v>0</v>
      </c>
      <c r="F117" s="778">
        <v>0</v>
      </c>
      <c r="G117" s="778">
        <v>54613</v>
      </c>
      <c r="H117" s="778">
        <v>0</v>
      </c>
      <c r="I117" s="778">
        <f t="shared" si="4"/>
        <v>0</v>
      </c>
      <c r="J117" s="778">
        <v>0</v>
      </c>
      <c r="K117" s="778">
        <v>0</v>
      </c>
      <c r="L117" s="778">
        <v>0</v>
      </c>
    </row>
    <row r="118" spans="1:12" x14ac:dyDescent="0.25">
      <c r="A118" s="784">
        <v>106</v>
      </c>
      <c r="B118" s="784">
        <v>26000</v>
      </c>
      <c r="C118" s="785" t="s">
        <v>269</v>
      </c>
      <c r="D118" s="778">
        <f t="shared" si="3"/>
        <v>34462</v>
      </c>
      <c r="E118" s="778">
        <v>0</v>
      </c>
      <c r="F118" s="778">
        <v>0</v>
      </c>
      <c r="G118" s="778">
        <v>34462</v>
      </c>
      <c r="H118" s="778">
        <v>0</v>
      </c>
      <c r="I118" s="778">
        <f t="shared" si="4"/>
        <v>0</v>
      </c>
      <c r="J118" s="778">
        <v>0</v>
      </c>
      <c r="K118" s="778">
        <v>0</v>
      </c>
      <c r="L118" s="778">
        <v>0</v>
      </c>
    </row>
    <row r="119" spans="1:12" x14ac:dyDescent="0.25">
      <c r="A119" s="784">
        <v>107</v>
      </c>
      <c r="B119" s="784">
        <v>22720</v>
      </c>
      <c r="C119" s="785" t="s">
        <v>522</v>
      </c>
      <c r="D119" s="778">
        <f t="shared" si="3"/>
        <v>206370</v>
      </c>
      <c r="E119" s="778">
        <v>0</v>
      </c>
      <c r="F119" s="778">
        <v>5403</v>
      </c>
      <c r="G119" s="778">
        <v>0</v>
      </c>
      <c r="H119" s="778">
        <v>7663</v>
      </c>
      <c r="I119" s="778">
        <f t="shared" si="4"/>
        <v>193304</v>
      </c>
      <c r="J119" s="778">
        <v>42515</v>
      </c>
      <c r="K119" s="778">
        <v>150789</v>
      </c>
      <c r="L119" s="778">
        <v>879</v>
      </c>
    </row>
    <row r="120" spans="1:12" x14ac:dyDescent="0.25">
      <c r="A120" s="784">
        <v>108</v>
      </c>
      <c r="B120" s="784">
        <v>22400</v>
      </c>
      <c r="C120" s="785" t="s">
        <v>277</v>
      </c>
      <c r="D120" s="778">
        <f t="shared" si="3"/>
        <v>82283</v>
      </c>
      <c r="E120" s="778">
        <v>0</v>
      </c>
      <c r="F120" s="778">
        <v>0</v>
      </c>
      <c r="G120" s="778">
        <v>0</v>
      </c>
      <c r="H120" s="778">
        <v>0</v>
      </c>
      <c r="I120" s="778">
        <f t="shared" si="4"/>
        <v>82283</v>
      </c>
      <c r="J120" s="778">
        <v>28920</v>
      </c>
      <c r="K120" s="778">
        <v>53363</v>
      </c>
      <c r="L120" s="778">
        <v>43</v>
      </c>
    </row>
    <row r="121" spans="1:12" x14ac:dyDescent="0.25">
      <c r="A121" s="784">
        <v>109</v>
      </c>
      <c r="B121" s="784">
        <v>22121</v>
      </c>
      <c r="C121" s="785" t="s">
        <v>283</v>
      </c>
      <c r="D121" s="778">
        <f t="shared" si="3"/>
        <v>19686</v>
      </c>
      <c r="E121" s="778">
        <v>0</v>
      </c>
      <c r="F121" s="778">
        <v>0</v>
      </c>
      <c r="G121" s="778">
        <v>19686</v>
      </c>
      <c r="H121" s="778">
        <v>0</v>
      </c>
      <c r="I121" s="778">
        <f t="shared" si="4"/>
        <v>0</v>
      </c>
      <c r="J121" s="778">
        <v>0</v>
      </c>
      <c r="K121" s="778">
        <v>0</v>
      </c>
      <c r="L121" s="778">
        <v>0</v>
      </c>
    </row>
    <row r="122" spans="1:12" ht="24" x14ac:dyDescent="0.25">
      <c r="A122" s="787"/>
      <c r="B122" s="787"/>
      <c r="C122" s="785" t="s">
        <v>14</v>
      </c>
      <c r="D122" s="778">
        <f t="shared" si="3"/>
        <v>4013</v>
      </c>
      <c r="E122" s="778">
        <v>0</v>
      </c>
      <c r="F122" s="778">
        <v>0</v>
      </c>
      <c r="G122" s="778">
        <v>4013</v>
      </c>
      <c r="H122" s="778">
        <v>0</v>
      </c>
      <c r="I122" s="778"/>
      <c r="J122" s="778">
        <v>0</v>
      </c>
      <c r="K122" s="778">
        <v>0</v>
      </c>
      <c r="L122" s="778">
        <v>0</v>
      </c>
    </row>
    <row r="123" spans="1:12" x14ac:dyDescent="0.25">
      <c r="A123" s="784"/>
      <c r="B123" s="784"/>
      <c r="C123" s="785" t="s">
        <v>523</v>
      </c>
      <c r="D123" s="778">
        <f t="shared" si="3"/>
        <v>1165</v>
      </c>
      <c r="E123" s="778">
        <v>0</v>
      </c>
      <c r="F123" s="778">
        <v>0</v>
      </c>
      <c r="G123" s="778">
        <v>1165</v>
      </c>
      <c r="H123" s="778">
        <v>0</v>
      </c>
      <c r="I123" s="778">
        <f t="shared" si="4"/>
        <v>0</v>
      </c>
      <c r="J123" s="778">
        <v>0</v>
      </c>
      <c r="K123" s="778">
        <v>0</v>
      </c>
      <c r="L123" s="778">
        <v>0</v>
      </c>
    </row>
    <row r="124" spans="1:12" x14ac:dyDescent="0.25">
      <c r="A124" s="1137" t="s">
        <v>469</v>
      </c>
      <c r="B124" s="1137"/>
      <c r="C124" s="1137"/>
      <c r="D124" s="788">
        <f>SUM(D10:D123)-D85</f>
        <v>7000946</v>
      </c>
      <c r="E124" s="788">
        <f t="shared" ref="E124:L124" si="5">SUM(E10:E123)-E85</f>
        <v>14522</v>
      </c>
      <c r="F124" s="788">
        <f t="shared" si="5"/>
        <v>67179</v>
      </c>
      <c r="G124" s="788">
        <f t="shared" si="5"/>
        <v>471357</v>
      </c>
      <c r="H124" s="788">
        <f t="shared" si="5"/>
        <v>41361</v>
      </c>
      <c r="I124" s="788">
        <f t="shared" si="5"/>
        <v>6406527</v>
      </c>
      <c r="J124" s="788">
        <f t="shared" si="5"/>
        <v>1775942</v>
      </c>
      <c r="K124" s="788">
        <f t="shared" si="5"/>
        <v>4630585</v>
      </c>
      <c r="L124" s="788">
        <f t="shared" si="5"/>
        <v>23258</v>
      </c>
    </row>
    <row r="126" spans="1:12" x14ac:dyDescent="0.25">
      <c r="D126" s="801"/>
    </row>
  </sheetData>
  <mergeCells count="17">
    <mergeCell ref="A124:C124"/>
    <mergeCell ref="I6:I8"/>
    <mergeCell ref="J6:L6"/>
    <mergeCell ref="J7:J8"/>
    <mergeCell ref="K7:L7"/>
    <mergeCell ref="A85:A88"/>
    <mergeCell ref="B85:B88"/>
    <mergeCell ref="A4:A8"/>
    <mergeCell ref="B4:B8"/>
    <mergeCell ref="C4:C8"/>
    <mergeCell ref="D4:D8"/>
    <mergeCell ref="E4:L4"/>
    <mergeCell ref="E5:E8"/>
    <mergeCell ref="F5:F8"/>
    <mergeCell ref="G5:G8"/>
    <mergeCell ref="H5:H8"/>
    <mergeCell ref="I5:L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39"/>
  <sheetViews>
    <sheetView workbookViewId="0">
      <pane xSplit="3" ySplit="7" topLeftCell="D24" activePane="bottomRight" state="frozen"/>
      <selection pane="topRight" activeCell="D1" sqref="D1"/>
      <selection pane="bottomLeft" activeCell="A8" sqref="A8"/>
      <selection pane="bottomRight" activeCell="J15" sqref="J15"/>
    </sheetView>
  </sheetViews>
  <sheetFormatPr defaultRowHeight="15" x14ac:dyDescent="0.25"/>
  <cols>
    <col min="1" max="1" width="5.42578125" style="780" customWidth="1"/>
    <col min="2" max="2" width="7.140625" style="780" customWidth="1"/>
    <col min="3" max="3" width="22.5703125" style="780" customWidth="1"/>
    <col min="4" max="4" width="7.42578125" style="780" customWidth="1"/>
    <col min="5" max="8" width="7.85546875" style="780" customWidth="1"/>
    <col min="9" max="10" width="7.7109375" style="780" customWidth="1"/>
    <col min="11" max="12" width="7.140625" style="780" customWidth="1"/>
    <col min="13" max="14" width="7.85546875" style="780" customWidth="1"/>
    <col min="15" max="16" width="7.7109375" style="780" customWidth="1"/>
    <col min="17" max="20" width="7.42578125" style="780" customWidth="1"/>
    <col min="21" max="21" width="6.28515625" style="780" customWidth="1"/>
    <col min="22" max="23" width="7.7109375" style="780" customWidth="1"/>
    <col min="24" max="25" width="7.28515625" style="780" customWidth="1"/>
    <col min="26" max="27" width="6.5703125" style="780" customWidth="1"/>
    <col min="28" max="29" width="7.140625" style="780" customWidth="1"/>
    <col min="30" max="37" width="8" style="780" customWidth="1"/>
    <col min="38" max="38" width="6.42578125" style="780" customWidth="1"/>
    <col min="39" max="52" width="7.85546875" style="780" customWidth="1"/>
    <col min="53" max="16384" width="9.140625" style="780"/>
  </cols>
  <sheetData>
    <row r="2" spans="1:53" ht="30.75" customHeight="1" x14ac:dyDescent="0.25">
      <c r="A2" s="1140" t="s">
        <v>524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789"/>
      <c r="T2" s="789"/>
    </row>
    <row r="4" spans="1:53" x14ac:dyDescent="0.25">
      <c r="A4" s="1141" t="s">
        <v>0</v>
      </c>
      <c r="B4" s="1141" t="s">
        <v>302</v>
      </c>
      <c r="C4" s="1142" t="s">
        <v>2</v>
      </c>
      <c r="D4" s="1143" t="s">
        <v>443</v>
      </c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5"/>
      <c r="U4" s="1143" t="s">
        <v>525</v>
      </c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5"/>
      <c r="AL4" s="1142" t="s">
        <v>526</v>
      </c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</row>
    <row r="5" spans="1:53" ht="45" customHeight="1" x14ac:dyDescent="0.25">
      <c r="A5" s="1141"/>
      <c r="B5" s="1141"/>
      <c r="C5" s="1142"/>
      <c r="D5" s="1142" t="s">
        <v>443</v>
      </c>
      <c r="E5" s="1141" t="s">
        <v>527</v>
      </c>
      <c r="F5" s="1141"/>
      <c r="G5" s="1141" t="s">
        <v>528</v>
      </c>
      <c r="H5" s="1141"/>
      <c r="I5" s="1141" t="s">
        <v>529</v>
      </c>
      <c r="J5" s="1141"/>
      <c r="K5" s="1141" t="s">
        <v>530</v>
      </c>
      <c r="L5" s="1141"/>
      <c r="M5" s="1141" t="s">
        <v>531</v>
      </c>
      <c r="N5" s="1141"/>
      <c r="O5" s="1141" t="s">
        <v>532</v>
      </c>
      <c r="P5" s="1141"/>
      <c r="Q5" s="1141" t="s">
        <v>533</v>
      </c>
      <c r="R5" s="1146"/>
      <c r="S5" s="1146" t="s">
        <v>774</v>
      </c>
      <c r="T5" s="1147"/>
      <c r="U5" s="1142" t="s">
        <v>443</v>
      </c>
      <c r="V5" s="1141" t="s">
        <v>527</v>
      </c>
      <c r="W5" s="1141"/>
      <c r="X5" s="1141" t="s">
        <v>528</v>
      </c>
      <c r="Y5" s="1141"/>
      <c r="Z5" s="1141" t="s">
        <v>529</v>
      </c>
      <c r="AA5" s="1141"/>
      <c r="AB5" s="1141" t="s">
        <v>530</v>
      </c>
      <c r="AC5" s="1141"/>
      <c r="AD5" s="1141" t="s">
        <v>531</v>
      </c>
      <c r="AE5" s="1141"/>
      <c r="AF5" s="1141" t="s">
        <v>532</v>
      </c>
      <c r="AG5" s="1141"/>
      <c r="AH5" s="1141" t="s">
        <v>533</v>
      </c>
      <c r="AI5" s="1146"/>
      <c r="AJ5" s="1141" t="s">
        <v>774</v>
      </c>
      <c r="AK5" s="1146"/>
      <c r="AL5" s="1142" t="s">
        <v>443</v>
      </c>
      <c r="AM5" s="1141" t="s">
        <v>527</v>
      </c>
      <c r="AN5" s="1141"/>
      <c r="AO5" s="1141" t="s">
        <v>528</v>
      </c>
      <c r="AP5" s="1141"/>
      <c r="AQ5" s="1141" t="s">
        <v>529</v>
      </c>
      <c r="AR5" s="1141"/>
      <c r="AS5" s="1141" t="s">
        <v>530</v>
      </c>
      <c r="AT5" s="1141"/>
      <c r="AU5" s="1141" t="s">
        <v>531</v>
      </c>
      <c r="AV5" s="1141"/>
      <c r="AW5" s="1141" t="s">
        <v>532</v>
      </c>
      <c r="AX5" s="1141"/>
      <c r="AY5" s="1141" t="s">
        <v>533</v>
      </c>
      <c r="AZ5" s="1141"/>
    </row>
    <row r="6" spans="1:53" ht="21" x14ac:dyDescent="0.25">
      <c r="A6" s="1141"/>
      <c r="B6" s="1141"/>
      <c r="C6" s="1142"/>
      <c r="D6" s="1142"/>
      <c r="E6" s="790" t="s">
        <v>534</v>
      </c>
      <c r="F6" s="790" t="s">
        <v>535</v>
      </c>
      <c r="G6" s="790" t="s">
        <v>536</v>
      </c>
      <c r="H6" s="790" t="s">
        <v>537</v>
      </c>
      <c r="I6" s="790" t="s">
        <v>536</v>
      </c>
      <c r="J6" s="790" t="s">
        <v>535</v>
      </c>
      <c r="K6" s="790" t="s">
        <v>536</v>
      </c>
      <c r="L6" s="790" t="s">
        <v>537</v>
      </c>
      <c r="M6" s="790" t="s">
        <v>536</v>
      </c>
      <c r="N6" s="790" t="s">
        <v>537</v>
      </c>
      <c r="O6" s="790" t="s">
        <v>536</v>
      </c>
      <c r="P6" s="790" t="s">
        <v>537</v>
      </c>
      <c r="Q6" s="790" t="s">
        <v>536</v>
      </c>
      <c r="R6" s="791" t="s">
        <v>537</v>
      </c>
      <c r="S6" s="790" t="s">
        <v>536</v>
      </c>
      <c r="T6" s="791" t="s">
        <v>537</v>
      </c>
      <c r="U6" s="1142"/>
      <c r="V6" s="791" t="s">
        <v>536</v>
      </c>
      <c r="W6" s="791" t="s">
        <v>537</v>
      </c>
      <c r="X6" s="791" t="s">
        <v>536</v>
      </c>
      <c r="Y6" s="791" t="s">
        <v>537</v>
      </c>
      <c r="Z6" s="791" t="s">
        <v>536</v>
      </c>
      <c r="AA6" s="791" t="s">
        <v>537</v>
      </c>
      <c r="AB6" s="791" t="s">
        <v>536</v>
      </c>
      <c r="AC6" s="791" t="s">
        <v>537</v>
      </c>
      <c r="AD6" s="791" t="s">
        <v>536</v>
      </c>
      <c r="AE6" s="791" t="s">
        <v>537</v>
      </c>
      <c r="AF6" s="791" t="s">
        <v>536</v>
      </c>
      <c r="AG6" s="791" t="s">
        <v>537</v>
      </c>
      <c r="AH6" s="791" t="s">
        <v>536</v>
      </c>
      <c r="AI6" s="791" t="s">
        <v>537</v>
      </c>
      <c r="AJ6" s="791" t="s">
        <v>536</v>
      </c>
      <c r="AK6" s="791" t="s">
        <v>537</v>
      </c>
      <c r="AL6" s="1142"/>
      <c r="AM6" s="791" t="s">
        <v>536</v>
      </c>
      <c r="AN6" s="791" t="s">
        <v>537</v>
      </c>
      <c r="AO6" s="791" t="s">
        <v>536</v>
      </c>
      <c r="AP6" s="791" t="s">
        <v>537</v>
      </c>
      <c r="AQ6" s="791" t="s">
        <v>536</v>
      </c>
      <c r="AR6" s="791" t="s">
        <v>537</v>
      </c>
      <c r="AS6" s="791" t="s">
        <v>536</v>
      </c>
      <c r="AT6" s="791" t="s">
        <v>537</v>
      </c>
      <c r="AU6" s="791" t="s">
        <v>536</v>
      </c>
      <c r="AV6" s="791" t="s">
        <v>537</v>
      </c>
      <c r="AW6" s="791" t="s">
        <v>536</v>
      </c>
      <c r="AX6" s="791" t="s">
        <v>537</v>
      </c>
      <c r="AY6" s="790" t="s">
        <v>536</v>
      </c>
      <c r="AZ6" s="790" t="s">
        <v>537</v>
      </c>
    </row>
    <row r="7" spans="1:53" x14ac:dyDescent="0.25">
      <c r="A7" s="792">
        <v>1</v>
      </c>
      <c r="B7" s="792">
        <v>2</v>
      </c>
      <c r="C7" s="793">
        <v>3</v>
      </c>
      <c r="D7" s="793">
        <v>4</v>
      </c>
      <c r="E7" s="792">
        <v>5</v>
      </c>
      <c r="F7" s="792">
        <v>6</v>
      </c>
      <c r="G7" s="792">
        <v>7</v>
      </c>
      <c r="H7" s="792">
        <v>8</v>
      </c>
      <c r="I7" s="792">
        <v>9</v>
      </c>
      <c r="J7" s="792">
        <v>10</v>
      </c>
      <c r="K7" s="792">
        <v>11</v>
      </c>
      <c r="L7" s="792">
        <v>12</v>
      </c>
      <c r="M7" s="792">
        <v>13</v>
      </c>
      <c r="N7" s="792">
        <v>14</v>
      </c>
      <c r="O7" s="792">
        <v>15</v>
      </c>
      <c r="P7" s="792">
        <v>16</v>
      </c>
      <c r="Q7" s="792">
        <v>17</v>
      </c>
      <c r="R7" s="794">
        <v>18</v>
      </c>
      <c r="S7" s="792">
        <v>19</v>
      </c>
      <c r="T7" s="794">
        <v>20</v>
      </c>
      <c r="U7" s="792">
        <v>21</v>
      </c>
      <c r="V7" s="794">
        <v>22</v>
      </c>
      <c r="W7" s="792">
        <v>23</v>
      </c>
      <c r="X7" s="794">
        <v>24</v>
      </c>
      <c r="Y7" s="792">
        <v>25</v>
      </c>
      <c r="Z7" s="794">
        <v>26</v>
      </c>
      <c r="AA7" s="792">
        <v>27</v>
      </c>
      <c r="AB7" s="794">
        <v>28</v>
      </c>
      <c r="AC7" s="792">
        <v>29</v>
      </c>
      <c r="AD7" s="794">
        <v>30</v>
      </c>
      <c r="AE7" s="792">
        <v>31</v>
      </c>
      <c r="AF7" s="794">
        <v>32</v>
      </c>
      <c r="AG7" s="792">
        <v>33</v>
      </c>
      <c r="AH7" s="794">
        <v>34</v>
      </c>
      <c r="AI7" s="792">
        <v>35</v>
      </c>
      <c r="AJ7" s="794">
        <v>36</v>
      </c>
      <c r="AK7" s="792">
        <v>37</v>
      </c>
      <c r="AL7" s="794">
        <v>38</v>
      </c>
      <c r="AM7" s="792">
        <v>39</v>
      </c>
      <c r="AN7" s="794">
        <v>40</v>
      </c>
      <c r="AO7" s="792">
        <v>41</v>
      </c>
      <c r="AP7" s="794">
        <v>42</v>
      </c>
      <c r="AQ7" s="792">
        <v>43</v>
      </c>
      <c r="AR7" s="794">
        <v>44</v>
      </c>
      <c r="AS7" s="792">
        <v>45</v>
      </c>
      <c r="AT7" s="794">
        <v>46</v>
      </c>
      <c r="AU7" s="792">
        <v>47</v>
      </c>
      <c r="AV7" s="794">
        <v>48</v>
      </c>
      <c r="AW7" s="792">
        <v>49</v>
      </c>
      <c r="AX7" s="794">
        <v>50</v>
      </c>
      <c r="AY7" s="792">
        <v>51</v>
      </c>
      <c r="AZ7" s="792">
        <v>52</v>
      </c>
    </row>
    <row r="8" spans="1:53" x14ac:dyDescent="0.25">
      <c r="A8" s="793">
        <v>1</v>
      </c>
      <c r="B8" s="795" t="s">
        <v>272</v>
      </c>
      <c r="C8" s="796" t="s">
        <v>273</v>
      </c>
      <c r="D8" s="797">
        <f>E8+F8+G8+H8+I8+J8+K8+L8+M8+N8+O8+P8+Q8+R8+S8+T8</f>
        <v>4124</v>
      </c>
      <c r="E8" s="798">
        <f t="shared" ref="E8:T23" si="0">V8+AM8</f>
        <v>69</v>
      </c>
      <c r="F8" s="798">
        <f t="shared" si="0"/>
        <v>70</v>
      </c>
      <c r="G8" s="798">
        <f t="shared" si="0"/>
        <v>742</v>
      </c>
      <c r="H8" s="798">
        <f t="shared" si="0"/>
        <v>263</v>
      </c>
      <c r="I8" s="798">
        <f t="shared" si="0"/>
        <v>2000</v>
      </c>
      <c r="J8" s="798">
        <f t="shared" si="0"/>
        <v>840</v>
      </c>
      <c r="K8" s="798">
        <f t="shared" si="0"/>
        <v>40</v>
      </c>
      <c r="L8" s="798">
        <f t="shared" si="0"/>
        <v>10</v>
      </c>
      <c r="M8" s="798">
        <f t="shared" si="0"/>
        <v>10</v>
      </c>
      <c r="N8" s="798">
        <f t="shared" si="0"/>
        <v>5</v>
      </c>
      <c r="O8" s="798">
        <f t="shared" si="0"/>
        <v>0</v>
      </c>
      <c r="P8" s="798">
        <f t="shared" si="0"/>
        <v>0</v>
      </c>
      <c r="Q8" s="798">
        <f t="shared" si="0"/>
        <v>0</v>
      </c>
      <c r="R8" s="798">
        <f t="shared" si="0"/>
        <v>0</v>
      </c>
      <c r="S8" s="798">
        <f t="shared" si="0"/>
        <v>60</v>
      </c>
      <c r="T8" s="798">
        <f t="shared" si="0"/>
        <v>15</v>
      </c>
      <c r="U8" s="797">
        <f>V8+W8+X8+Y8+Z8+AA8+AB8+AC8+AD8+AE8+AF8+AG8+AH8+AI8+AJ8+AK8</f>
        <v>3524</v>
      </c>
      <c r="V8" s="799">
        <v>69</v>
      </c>
      <c r="W8" s="799">
        <f>90-20</f>
        <v>70</v>
      </c>
      <c r="X8" s="799">
        <v>742</v>
      </c>
      <c r="Y8" s="799">
        <f>323-60</f>
        <v>263</v>
      </c>
      <c r="Z8" s="797">
        <f>1580+20</f>
        <v>1600</v>
      </c>
      <c r="AA8" s="799">
        <f>580+60</f>
        <v>640</v>
      </c>
      <c r="AB8" s="799">
        <v>40</v>
      </c>
      <c r="AC8" s="799">
        <v>10</v>
      </c>
      <c r="AD8" s="799">
        <f>75-65</f>
        <v>10</v>
      </c>
      <c r="AE8" s="799">
        <f>15-10</f>
        <v>5</v>
      </c>
      <c r="AF8" s="799"/>
      <c r="AG8" s="799"/>
      <c r="AH8" s="799"/>
      <c r="AI8" s="800"/>
      <c r="AJ8" s="799">
        <v>60</v>
      </c>
      <c r="AK8" s="800">
        <v>15</v>
      </c>
      <c r="AL8" s="799">
        <f>AM8+AN8+AO8+AP8+AQ8+AR8+AS8+AT8+AU8+AV8+AW8+AX8+AY8+AZ8</f>
        <v>600</v>
      </c>
      <c r="AM8" s="798">
        <v>0</v>
      </c>
      <c r="AN8" s="798">
        <v>0</v>
      </c>
      <c r="AO8" s="798">
        <v>0</v>
      </c>
      <c r="AP8" s="798">
        <v>0</v>
      </c>
      <c r="AQ8" s="798">
        <v>400</v>
      </c>
      <c r="AR8" s="798">
        <v>200</v>
      </c>
      <c r="AS8" s="798">
        <v>0</v>
      </c>
      <c r="AT8" s="798">
        <v>0</v>
      </c>
      <c r="AU8" s="798">
        <v>0</v>
      </c>
      <c r="AV8" s="798">
        <v>0</v>
      </c>
      <c r="AW8" s="798">
        <v>0</v>
      </c>
      <c r="AX8" s="798">
        <v>0</v>
      </c>
      <c r="AY8" s="798">
        <v>0</v>
      </c>
      <c r="AZ8" s="798">
        <v>0</v>
      </c>
      <c r="BA8" s="801"/>
    </row>
    <row r="9" spans="1:53" x14ac:dyDescent="0.25">
      <c r="A9" s="793">
        <v>2</v>
      </c>
      <c r="B9" s="795" t="s">
        <v>28</v>
      </c>
      <c r="C9" s="796" t="s">
        <v>29</v>
      </c>
      <c r="D9" s="797">
        <f t="shared" ref="D9:D38" si="1">E9+F9+G9+H9+I9+J9+K9+L9+M9+N9+O9+P9+Q9+R9+S9+T9</f>
        <v>400</v>
      </c>
      <c r="E9" s="798">
        <f t="shared" si="0"/>
        <v>180</v>
      </c>
      <c r="F9" s="798">
        <f t="shared" si="0"/>
        <v>50</v>
      </c>
      <c r="G9" s="798">
        <f t="shared" si="0"/>
        <v>60</v>
      </c>
      <c r="H9" s="798">
        <f t="shared" si="0"/>
        <v>50</v>
      </c>
      <c r="I9" s="798">
        <f t="shared" si="0"/>
        <v>30</v>
      </c>
      <c r="J9" s="798">
        <f t="shared" si="0"/>
        <v>0</v>
      </c>
      <c r="K9" s="798">
        <f t="shared" si="0"/>
        <v>0</v>
      </c>
      <c r="L9" s="798">
        <f t="shared" si="0"/>
        <v>0</v>
      </c>
      <c r="M9" s="798">
        <f t="shared" si="0"/>
        <v>30</v>
      </c>
      <c r="N9" s="798">
        <f t="shared" si="0"/>
        <v>0</v>
      </c>
      <c r="O9" s="798">
        <f t="shared" si="0"/>
        <v>0</v>
      </c>
      <c r="P9" s="798">
        <f t="shared" si="0"/>
        <v>0</v>
      </c>
      <c r="Q9" s="798">
        <f t="shared" si="0"/>
        <v>0</v>
      </c>
      <c r="R9" s="798">
        <f t="shared" si="0"/>
        <v>0</v>
      </c>
      <c r="S9" s="798">
        <f t="shared" si="0"/>
        <v>0</v>
      </c>
      <c r="T9" s="798">
        <f t="shared" si="0"/>
        <v>0</v>
      </c>
      <c r="U9" s="797">
        <f t="shared" ref="U9:U38" si="2">V9+W9+X9+Y9+Z9+AA9+AB9+AC9+AD9+AE9+AF9+AG9+AH9+AI9+AJ9+AK9</f>
        <v>200</v>
      </c>
      <c r="V9" s="799">
        <v>50</v>
      </c>
      <c r="W9" s="799">
        <v>50</v>
      </c>
      <c r="X9" s="799">
        <v>50</v>
      </c>
      <c r="Y9" s="799">
        <v>50</v>
      </c>
      <c r="Z9" s="799"/>
      <c r="AA9" s="799"/>
      <c r="AB9" s="799"/>
      <c r="AC9" s="799"/>
      <c r="AD9" s="799"/>
      <c r="AE9" s="799"/>
      <c r="AF9" s="799"/>
      <c r="AG9" s="799"/>
      <c r="AH9" s="799"/>
      <c r="AI9" s="800"/>
      <c r="AJ9" s="799"/>
      <c r="AK9" s="800"/>
      <c r="AL9" s="799">
        <f t="shared" ref="AL9:AL38" si="3">AM9+AN9+AO9+AP9+AQ9+AR9+AS9+AT9+AU9+AV9+AW9+AX9+AY9+AZ9</f>
        <v>200</v>
      </c>
      <c r="AM9" s="798">
        <v>130</v>
      </c>
      <c r="AN9" s="798">
        <v>0</v>
      </c>
      <c r="AO9" s="798">
        <v>10</v>
      </c>
      <c r="AP9" s="798">
        <v>0</v>
      </c>
      <c r="AQ9" s="798">
        <v>30</v>
      </c>
      <c r="AR9" s="798">
        <v>0</v>
      </c>
      <c r="AS9" s="798">
        <v>0</v>
      </c>
      <c r="AT9" s="798">
        <v>0</v>
      </c>
      <c r="AU9" s="798">
        <v>30</v>
      </c>
      <c r="AV9" s="798">
        <v>0</v>
      </c>
      <c r="AW9" s="798">
        <v>0</v>
      </c>
      <c r="AX9" s="798">
        <v>0</v>
      </c>
      <c r="AY9" s="798">
        <v>0</v>
      </c>
      <c r="AZ9" s="798">
        <v>0</v>
      </c>
      <c r="BA9" s="801"/>
    </row>
    <row r="10" spans="1:53" ht="22.5" x14ac:dyDescent="0.25">
      <c r="A10" s="793">
        <v>3</v>
      </c>
      <c r="B10" s="795" t="s">
        <v>127</v>
      </c>
      <c r="C10" s="796" t="s">
        <v>128</v>
      </c>
      <c r="D10" s="797">
        <f t="shared" si="1"/>
        <v>310</v>
      </c>
      <c r="E10" s="798">
        <f t="shared" si="0"/>
        <v>210</v>
      </c>
      <c r="F10" s="798">
        <f t="shared" si="0"/>
        <v>0</v>
      </c>
      <c r="G10" s="798">
        <f t="shared" si="0"/>
        <v>10</v>
      </c>
      <c r="H10" s="798">
        <f t="shared" si="0"/>
        <v>0</v>
      </c>
      <c r="I10" s="798">
        <f t="shared" si="0"/>
        <v>50</v>
      </c>
      <c r="J10" s="798">
        <f t="shared" si="0"/>
        <v>0</v>
      </c>
      <c r="K10" s="798">
        <f t="shared" si="0"/>
        <v>0</v>
      </c>
      <c r="L10" s="798">
        <f t="shared" si="0"/>
        <v>0</v>
      </c>
      <c r="M10" s="798">
        <f t="shared" si="0"/>
        <v>40</v>
      </c>
      <c r="N10" s="798">
        <f t="shared" si="0"/>
        <v>0</v>
      </c>
      <c r="O10" s="798">
        <f t="shared" si="0"/>
        <v>0</v>
      </c>
      <c r="P10" s="798">
        <f t="shared" si="0"/>
        <v>0</v>
      </c>
      <c r="Q10" s="798">
        <f t="shared" si="0"/>
        <v>0</v>
      </c>
      <c r="R10" s="798">
        <f t="shared" si="0"/>
        <v>0</v>
      </c>
      <c r="S10" s="798">
        <f t="shared" si="0"/>
        <v>0</v>
      </c>
      <c r="T10" s="798">
        <f t="shared" si="0"/>
        <v>0</v>
      </c>
      <c r="U10" s="797">
        <f t="shared" si="2"/>
        <v>0</v>
      </c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799"/>
      <c r="AG10" s="799"/>
      <c r="AH10" s="799"/>
      <c r="AI10" s="800"/>
      <c r="AJ10" s="799"/>
      <c r="AK10" s="800"/>
      <c r="AL10" s="799">
        <f t="shared" si="3"/>
        <v>310</v>
      </c>
      <c r="AM10" s="798">
        <v>210</v>
      </c>
      <c r="AN10" s="798">
        <v>0</v>
      </c>
      <c r="AO10" s="798">
        <v>10</v>
      </c>
      <c r="AP10" s="798">
        <v>0</v>
      </c>
      <c r="AQ10" s="798">
        <v>50</v>
      </c>
      <c r="AR10" s="798">
        <v>0</v>
      </c>
      <c r="AS10" s="798">
        <v>0</v>
      </c>
      <c r="AT10" s="798">
        <v>0</v>
      </c>
      <c r="AU10" s="798">
        <v>40</v>
      </c>
      <c r="AV10" s="798">
        <v>0</v>
      </c>
      <c r="AW10" s="798">
        <v>0</v>
      </c>
      <c r="AX10" s="798">
        <v>0</v>
      </c>
      <c r="AY10" s="798">
        <v>0</v>
      </c>
      <c r="AZ10" s="798">
        <v>0</v>
      </c>
      <c r="BA10" s="801"/>
    </row>
    <row r="11" spans="1:53" ht="22.5" x14ac:dyDescent="0.25">
      <c r="A11" s="793">
        <v>4</v>
      </c>
      <c r="B11" s="795" t="s">
        <v>129</v>
      </c>
      <c r="C11" s="796" t="s">
        <v>459</v>
      </c>
      <c r="D11" s="797">
        <f t="shared" si="1"/>
        <v>310</v>
      </c>
      <c r="E11" s="798">
        <f t="shared" si="0"/>
        <v>215</v>
      </c>
      <c r="F11" s="798">
        <f t="shared" si="0"/>
        <v>0</v>
      </c>
      <c r="G11" s="798">
        <f t="shared" si="0"/>
        <v>5</v>
      </c>
      <c r="H11" s="798">
        <f t="shared" si="0"/>
        <v>0</v>
      </c>
      <c r="I11" s="798">
        <f t="shared" si="0"/>
        <v>50</v>
      </c>
      <c r="J11" s="798">
        <f t="shared" si="0"/>
        <v>0</v>
      </c>
      <c r="K11" s="798">
        <f t="shared" si="0"/>
        <v>0</v>
      </c>
      <c r="L11" s="798">
        <f t="shared" si="0"/>
        <v>0</v>
      </c>
      <c r="M11" s="798">
        <f t="shared" si="0"/>
        <v>40</v>
      </c>
      <c r="N11" s="798">
        <f t="shared" si="0"/>
        <v>0</v>
      </c>
      <c r="O11" s="798">
        <f t="shared" si="0"/>
        <v>0</v>
      </c>
      <c r="P11" s="798">
        <f t="shared" si="0"/>
        <v>0</v>
      </c>
      <c r="Q11" s="798">
        <f t="shared" si="0"/>
        <v>0</v>
      </c>
      <c r="R11" s="798">
        <f t="shared" si="0"/>
        <v>0</v>
      </c>
      <c r="S11" s="798">
        <f t="shared" si="0"/>
        <v>0</v>
      </c>
      <c r="T11" s="798">
        <f t="shared" si="0"/>
        <v>0</v>
      </c>
      <c r="U11" s="797">
        <f t="shared" si="2"/>
        <v>0</v>
      </c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  <c r="AG11" s="799"/>
      <c r="AH11" s="799"/>
      <c r="AI11" s="800"/>
      <c r="AJ11" s="799"/>
      <c r="AK11" s="800"/>
      <c r="AL11" s="799">
        <f t="shared" si="3"/>
        <v>310</v>
      </c>
      <c r="AM11" s="798">
        <v>215</v>
      </c>
      <c r="AN11" s="798">
        <v>0</v>
      </c>
      <c r="AO11" s="798">
        <v>5</v>
      </c>
      <c r="AP11" s="798">
        <v>0</v>
      </c>
      <c r="AQ11" s="798">
        <v>50</v>
      </c>
      <c r="AR11" s="798">
        <v>0</v>
      </c>
      <c r="AS11" s="798">
        <v>0</v>
      </c>
      <c r="AT11" s="798">
        <v>0</v>
      </c>
      <c r="AU11" s="798">
        <f>30+10</f>
        <v>40</v>
      </c>
      <c r="AV11" s="798">
        <f>10-10</f>
        <v>0</v>
      </c>
      <c r="AW11" s="798">
        <v>0</v>
      </c>
      <c r="AX11" s="798">
        <v>0</v>
      </c>
      <c r="AY11" s="798">
        <v>0</v>
      </c>
      <c r="AZ11" s="798">
        <v>0</v>
      </c>
      <c r="BA11" s="801"/>
    </row>
    <row r="12" spans="1:53" ht="22.5" x14ac:dyDescent="0.25">
      <c r="A12" s="793">
        <v>5</v>
      </c>
      <c r="B12" s="795" t="s">
        <v>133</v>
      </c>
      <c r="C12" s="796" t="s">
        <v>299</v>
      </c>
      <c r="D12" s="797">
        <f t="shared" si="1"/>
        <v>312</v>
      </c>
      <c r="E12" s="798">
        <f t="shared" si="0"/>
        <v>215</v>
      </c>
      <c r="F12" s="798">
        <f t="shared" si="0"/>
        <v>0</v>
      </c>
      <c r="G12" s="798">
        <f t="shared" si="0"/>
        <v>7</v>
      </c>
      <c r="H12" s="798">
        <f t="shared" si="0"/>
        <v>0</v>
      </c>
      <c r="I12" s="798">
        <f t="shared" si="0"/>
        <v>50</v>
      </c>
      <c r="J12" s="798">
        <f t="shared" si="0"/>
        <v>0</v>
      </c>
      <c r="K12" s="798">
        <f t="shared" si="0"/>
        <v>0</v>
      </c>
      <c r="L12" s="798">
        <f t="shared" si="0"/>
        <v>0</v>
      </c>
      <c r="M12" s="798">
        <f t="shared" si="0"/>
        <v>30</v>
      </c>
      <c r="N12" s="798">
        <f t="shared" si="0"/>
        <v>10</v>
      </c>
      <c r="O12" s="798">
        <f t="shared" si="0"/>
        <v>0</v>
      </c>
      <c r="P12" s="798">
        <f t="shared" si="0"/>
        <v>0</v>
      </c>
      <c r="Q12" s="798">
        <f t="shared" si="0"/>
        <v>0</v>
      </c>
      <c r="R12" s="798">
        <f t="shared" si="0"/>
        <v>0</v>
      </c>
      <c r="S12" s="798">
        <f t="shared" si="0"/>
        <v>0</v>
      </c>
      <c r="T12" s="798">
        <f t="shared" si="0"/>
        <v>0</v>
      </c>
      <c r="U12" s="797">
        <f t="shared" si="2"/>
        <v>0</v>
      </c>
      <c r="V12" s="799"/>
      <c r="W12" s="799"/>
      <c r="X12" s="799"/>
      <c r="Y12" s="799"/>
      <c r="Z12" s="799"/>
      <c r="AA12" s="799"/>
      <c r="AB12" s="799"/>
      <c r="AC12" s="799"/>
      <c r="AD12" s="799"/>
      <c r="AE12" s="799"/>
      <c r="AF12" s="799"/>
      <c r="AG12" s="799"/>
      <c r="AH12" s="799"/>
      <c r="AI12" s="800"/>
      <c r="AJ12" s="799"/>
      <c r="AK12" s="800"/>
      <c r="AL12" s="799">
        <f t="shared" si="3"/>
        <v>312</v>
      </c>
      <c r="AM12" s="798">
        <v>215</v>
      </c>
      <c r="AN12" s="798">
        <v>0</v>
      </c>
      <c r="AO12" s="798">
        <v>7</v>
      </c>
      <c r="AP12" s="798">
        <v>0</v>
      </c>
      <c r="AQ12" s="798">
        <v>50</v>
      </c>
      <c r="AR12" s="798">
        <v>0</v>
      </c>
      <c r="AS12" s="798">
        <v>0</v>
      </c>
      <c r="AT12" s="798">
        <v>0</v>
      </c>
      <c r="AU12" s="798">
        <v>30</v>
      </c>
      <c r="AV12" s="798">
        <v>10</v>
      </c>
      <c r="AW12" s="798">
        <v>0</v>
      </c>
      <c r="AX12" s="798">
        <v>0</v>
      </c>
      <c r="AY12" s="798">
        <v>0</v>
      </c>
      <c r="AZ12" s="798">
        <v>0</v>
      </c>
      <c r="BA12" s="801"/>
    </row>
    <row r="13" spans="1:53" ht="22.5" x14ac:dyDescent="0.25">
      <c r="A13" s="793">
        <v>6</v>
      </c>
      <c r="B13" s="795" t="s">
        <v>135</v>
      </c>
      <c r="C13" s="796" t="s">
        <v>461</v>
      </c>
      <c r="D13" s="797">
        <f t="shared" si="1"/>
        <v>310</v>
      </c>
      <c r="E13" s="798">
        <f t="shared" si="0"/>
        <v>210</v>
      </c>
      <c r="F13" s="798">
        <f t="shared" si="0"/>
        <v>0</v>
      </c>
      <c r="G13" s="798">
        <f t="shared" si="0"/>
        <v>10</v>
      </c>
      <c r="H13" s="798">
        <f t="shared" si="0"/>
        <v>0</v>
      </c>
      <c r="I13" s="798">
        <f t="shared" si="0"/>
        <v>50</v>
      </c>
      <c r="J13" s="798">
        <f t="shared" si="0"/>
        <v>0</v>
      </c>
      <c r="K13" s="798">
        <f t="shared" si="0"/>
        <v>0</v>
      </c>
      <c r="L13" s="798">
        <f t="shared" si="0"/>
        <v>0</v>
      </c>
      <c r="M13" s="798">
        <f t="shared" si="0"/>
        <v>30</v>
      </c>
      <c r="N13" s="798">
        <f t="shared" si="0"/>
        <v>10</v>
      </c>
      <c r="O13" s="798">
        <f t="shared" si="0"/>
        <v>0</v>
      </c>
      <c r="P13" s="798">
        <f t="shared" si="0"/>
        <v>0</v>
      </c>
      <c r="Q13" s="798">
        <f t="shared" si="0"/>
        <v>0</v>
      </c>
      <c r="R13" s="798">
        <f t="shared" si="0"/>
        <v>0</v>
      </c>
      <c r="S13" s="798">
        <f t="shared" si="0"/>
        <v>0</v>
      </c>
      <c r="T13" s="798">
        <f t="shared" si="0"/>
        <v>0</v>
      </c>
      <c r="U13" s="797">
        <f t="shared" si="2"/>
        <v>0</v>
      </c>
      <c r="V13" s="799"/>
      <c r="W13" s="799"/>
      <c r="X13" s="799"/>
      <c r="Y13" s="799"/>
      <c r="Z13" s="799"/>
      <c r="AA13" s="799"/>
      <c r="AB13" s="799"/>
      <c r="AC13" s="799"/>
      <c r="AD13" s="799"/>
      <c r="AE13" s="799"/>
      <c r="AF13" s="799"/>
      <c r="AG13" s="799"/>
      <c r="AH13" s="799"/>
      <c r="AI13" s="800"/>
      <c r="AJ13" s="799"/>
      <c r="AK13" s="800"/>
      <c r="AL13" s="799">
        <f t="shared" si="3"/>
        <v>310</v>
      </c>
      <c r="AM13" s="798">
        <v>210</v>
      </c>
      <c r="AN13" s="798">
        <v>0</v>
      </c>
      <c r="AO13" s="798">
        <v>10</v>
      </c>
      <c r="AP13" s="798">
        <v>0</v>
      </c>
      <c r="AQ13" s="798">
        <v>50</v>
      </c>
      <c r="AR13" s="798">
        <v>0</v>
      </c>
      <c r="AS13" s="798">
        <v>0</v>
      </c>
      <c r="AT13" s="798">
        <v>0</v>
      </c>
      <c r="AU13" s="798">
        <v>30</v>
      </c>
      <c r="AV13" s="798">
        <v>10</v>
      </c>
      <c r="AW13" s="798">
        <v>0</v>
      </c>
      <c r="AX13" s="798">
        <v>0</v>
      </c>
      <c r="AY13" s="798">
        <v>0</v>
      </c>
      <c r="AZ13" s="798">
        <v>0</v>
      </c>
      <c r="BA13" s="801"/>
    </row>
    <row r="14" spans="1:53" x14ac:dyDescent="0.25">
      <c r="A14" s="793">
        <v>7</v>
      </c>
      <c r="B14" s="795" t="s">
        <v>50</v>
      </c>
      <c r="C14" s="796" t="s">
        <v>51</v>
      </c>
      <c r="D14" s="797">
        <f t="shared" si="1"/>
        <v>200</v>
      </c>
      <c r="E14" s="798">
        <f t="shared" si="0"/>
        <v>15</v>
      </c>
      <c r="F14" s="798">
        <f t="shared" si="0"/>
        <v>26</v>
      </c>
      <c r="G14" s="798">
        <f t="shared" si="0"/>
        <v>23</v>
      </c>
      <c r="H14" s="798">
        <f t="shared" si="0"/>
        <v>20</v>
      </c>
      <c r="I14" s="798">
        <f t="shared" si="0"/>
        <v>48</v>
      </c>
      <c r="J14" s="798">
        <f t="shared" si="0"/>
        <v>36</v>
      </c>
      <c r="K14" s="798">
        <f t="shared" si="0"/>
        <v>0</v>
      </c>
      <c r="L14" s="798">
        <f t="shared" si="0"/>
        <v>0</v>
      </c>
      <c r="M14" s="798">
        <f t="shared" si="0"/>
        <v>25</v>
      </c>
      <c r="N14" s="798">
        <f t="shared" si="0"/>
        <v>7</v>
      </c>
      <c r="O14" s="798">
        <f t="shared" si="0"/>
        <v>0</v>
      </c>
      <c r="P14" s="798">
        <f t="shared" si="0"/>
        <v>0</v>
      </c>
      <c r="Q14" s="798">
        <f t="shared" si="0"/>
        <v>0</v>
      </c>
      <c r="R14" s="798">
        <f t="shared" si="0"/>
        <v>0</v>
      </c>
      <c r="S14" s="798">
        <f t="shared" si="0"/>
        <v>0</v>
      </c>
      <c r="T14" s="798">
        <f t="shared" si="0"/>
        <v>0</v>
      </c>
      <c r="U14" s="797">
        <f t="shared" si="2"/>
        <v>100</v>
      </c>
      <c r="V14" s="799">
        <v>10</v>
      </c>
      <c r="W14" s="799">
        <v>10</v>
      </c>
      <c r="X14" s="799">
        <v>15</v>
      </c>
      <c r="Y14" s="799">
        <v>15</v>
      </c>
      <c r="Z14" s="799">
        <v>20</v>
      </c>
      <c r="AA14" s="799">
        <v>20</v>
      </c>
      <c r="AB14" s="799"/>
      <c r="AC14" s="799"/>
      <c r="AD14" s="799">
        <v>6</v>
      </c>
      <c r="AE14" s="799">
        <v>4</v>
      </c>
      <c r="AF14" s="799"/>
      <c r="AG14" s="799"/>
      <c r="AH14" s="799"/>
      <c r="AI14" s="800"/>
      <c r="AJ14" s="799"/>
      <c r="AK14" s="800"/>
      <c r="AL14" s="799">
        <f t="shared" si="3"/>
        <v>100</v>
      </c>
      <c r="AM14" s="798">
        <v>5</v>
      </c>
      <c r="AN14" s="798">
        <v>16</v>
      </c>
      <c r="AO14" s="798">
        <v>8</v>
      </c>
      <c r="AP14" s="798">
        <v>5</v>
      </c>
      <c r="AQ14" s="798">
        <v>28</v>
      </c>
      <c r="AR14" s="798">
        <v>16</v>
      </c>
      <c r="AS14" s="798">
        <v>0</v>
      </c>
      <c r="AT14" s="798">
        <v>0</v>
      </c>
      <c r="AU14" s="798">
        <v>19</v>
      </c>
      <c r="AV14" s="798">
        <v>3</v>
      </c>
      <c r="AW14" s="798">
        <v>0</v>
      </c>
      <c r="AX14" s="798">
        <v>0</v>
      </c>
      <c r="AY14" s="798">
        <v>0</v>
      </c>
      <c r="AZ14" s="798">
        <v>0</v>
      </c>
      <c r="BA14" s="801"/>
    </row>
    <row r="15" spans="1:53" x14ac:dyDescent="0.25">
      <c r="A15" s="793">
        <v>8</v>
      </c>
      <c r="B15" s="795" t="s">
        <v>207</v>
      </c>
      <c r="C15" s="796" t="s">
        <v>208</v>
      </c>
      <c r="D15" s="797">
        <f t="shared" si="1"/>
        <v>127</v>
      </c>
      <c r="E15" s="798">
        <f t="shared" si="0"/>
        <v>56</v>
      </c>
      <c r="F15" s="798">
        <f t="shared" si="0"/>
        <v>8</v>
      </c>
      <c r="G15" s="798">
        <f t="shared" si="0"/>
        <v>0</v>
      </c>
      <c r="H15" s="798">
        <f t="shared" si="0"/>
        <v>0</v>
      </c>
      <c r="I15" s="798">
        <f t="shared" si="0"/>
        <v>50</v>
      </c>
      <c r="J15" s="798">
        <f t="shared" si="0"/>
        <v>5</v>
      </c>
      <c r="K15" s="798">
        <f t="shared" si="0"/>
        <v>0</v>
      </c>
      <c r="L15" s="798">
        <f t="shared" si="0"/>
        <v>0</v>
      </c>
      <c r="M15" s="798">
        <f t="shared" si="0"/>
        <v>7</v>
      </c>
      <c r="N15" s="798">
        <f t="shared" si="0"/>
        <v>1</v>
      </c>
      <c r="O15" s="798">
        <f t="shared" si="0"/>
        <v>0</v>
      </c>
      <c r="P15" s="798">
        <f t="shared" si="0"/>
        <v>0</v>
      </c>
      <c r="Q15" s="798">
        <f t="shared" si="0"/>
        <v>0</v>
      </c>
      <c r="R15" s="798">
        <f t="shared" si="0"/>
        <v>0</v>
      </c>
      <c r="S15" s="798">
        <f t="shared" si="0"/>
        <v>0</v>
      </c>
      <c r="T15" s="798">
        <f t="shared" si="0"/>
        <v>0</v>
      </c>
      <c r="U15" s="797">
        <f t="shared" si="2"/>
        <v>20</v>
      </c>
      <c r="V15" s="799">
        <v>5</v>
      </c>
      <c r="W15" s="799"/>
      <c r="X15" s="799"/>
      <c r="Y15" s="799"/>
      <c r="Z15" s="799">
        <v>15</v>
      </c>
      <c r="AA15" s="799"/>
      <c r="AB15" s="799"/>
      <c r="AC15" s="799"/>
      <c r="AD15" s="799"/>
      <c r="AE15" s="799"/>
      <c r="AF15" s="799"/>
      <c r="AG15" s="799"/>
      <c r="AH15" s="799"/>
      <c r="AI15" s="800"/>
      <c r="AJ15" s="799"/>
      <c r="AK15" s="800"/>
      <c r="AL15" s="799">
        <f t="shared" si="3"/>
        <v>107</v>
      </c>
      <c r="AM15" s="798">
        <f>11+34-1+7</f>
        <v>51</v>
      </c>
      <c r="AN15" s="798">
        <f>5+3</f>
        <v>8</v>
      </c>
      <c r="AO15" s="798">
        <f>28-28</f>
        <v>0</v>
      </c>
      <c r="AP15" s="798">
        <f>5-5</f>
        <v>0</v>
      </c>
      <c r="AQ15" s="798">
        <f>31+4</f>
        <v>35</v>
      </c>
      <c r="AR15" s="798">
        <v>5</v>
      </c>
      <c r="AS15" s="798">
        <v>0</v>
      </c>
      <c r="AT15" s="798">
        <v>0</v>
      </c>
      <c r="AU15" s="798">
        <f>11-4</f>
        <v>7</v>
      </c>
      <c r="AV15" s="798">
        <v>1</v>
      </c>
      <c r="AW15" s="798">
        <v>0</v>
      </c>
      <c r="AX15" s="798">
        <v>0</v>
      </c>
      <c r="AY15" s="798">
        <v>0</v>
      </c>
      <c r="AZ15" s="798">
        <v>0</v>
      </c>
      <c r="BA15" s="801"/>
    </row>
    <row r="16" spans="1:53" x14ac:dyDescent="0.25">
      <c r="A16" s="793">
        <v>9</v>
      </c>
      <c r="B16" s="795" t="s">
        <v>264</v>
      </c>
      <c r="C16" s="796" t="s">
        <v>265</v>
      </c>
      <c r="D16" s="797">
        <f t="shared" si="1"/>
        <v>400</v>
      </c>
      <c r="E16" s="798">
        <f t="shared" si="0"/>
        <v>150</v>
      </c>
      <c r="F16" s="798">
        <f t="shared" si="0"/>
        <v>50</v>
      </c>
      <c r="G16" s="798">
        <f t="shared" si="0"/>
        <v>35</v>
      </c>
      <c r="H16" s="798">
        <f t="shared" si="0"/>
        <v>5</v>
      </c>
      <c r="I16" s="798">
        <f t="shared" si="0"/>
        <v>88</v>
      </c>
      <c r="J16" s="798">
        <f t="shared" si="0"/>
        <v>10</v>
      </c>
      <c r="K16" s="798">
        <f t="shared" si="0"/>
        <v>0</v>
      </c>
      <c r="L16" s="798">
        <f t="shared" si="0"/>
        <v>0</v>
      </c>
      <c r="M16" s="798">
        <f t="shared" si="0"/>
        <v>37</v>
      </c>
      <c r="N16" s="798">
        <f t="shared" si="0"/>
        <v>10</v>
      </c>
      <c r="O16" s="798">
        <f t="shared" si="0"/>
        <v>0</v>
      </c>
      <c r="P16" s="798">
        <f t="shared" si="0"/>
        <v>0</v>
      </c>
      <c r="Q16" s="798">
        <f t="shared" si="0"/>
        <v>10</v>
      </c>
      <c r="R16" s="798">
        <f t="shared" si="0"/>
        <v>5</v>
      </c>
      <c r="S16" s="798">
        <f t="shared" si="0"/>
        <v>0</v>
      </c>
      <c r="T16" s="798">
        <f t="shared" si="0"/>
        <v>0</v>
      </c>
      <c r="U16" s="797">
        <f t="shared" si="2"/>
        <v>0</v>
      </c>
      <c r="V16" s="799"/>
      <c r="W16" s="799"/>
      <c r="X16" s="799"/>
      <c r="Y16" s="799"/>
      <c r="Z16" s="799"/>
      <c r="AA16" s="799"/>
      <c r="AB16" s="799"/>
      <c r="AC16" s="799"/>
      <c r="AD16" s="799"/>
      <c r="AE16" s="799"/>
      <c r="AF16" s="799"/>
      <c r="AG16" s="799"/>
      <c r="AH16" s="799"/>
      <c r="AI16" s="800"/>
      <c r="AJ16" s="799"/>
      <c r="AK16" s="800"/>
      <c r="AL16" s="799">
        <f t="shared" si="3"/>
        <v>400</v>
      </c>
      <c r="AM16" s="798">
        <v>150</v>
      </c>
      <c r="AN16" s="798">
        <f>20+30</f>
        <v>50</v>
      </c>
      <c r="AO16" s="798">
        <v>35</v>
      </c>
      <c r="AP16" s="798">
        <v>5</v>
      </c>
      <c r="AQ16" s="798">
        <v>88</v>
      </c>
      <c r="AR16" s="798">
        <v>10</v>
      </c>
      <c r="AS16" s="798">
        <v>0</v>
      </c>
      <c r="AT16" s="798">
        <v>0</v>
      </c>
      <c r="AU16" s="798">
        <f>17+20</f>
        <v>37</v>
      </c>
      <c r="AV16" s="798">
        <v>10</v>
      </c>
      <c r="AW16" s="798">
        <v>0</v>
      </c>
      <c r="AX16" s="798">
        <v>0</v>
      </c>
      <c r="AY16" s="798">
        <f>30-20</f>
        <v>10</v>
      </c>
      <c r="AZ16" s="798">
        <f>35-30</f>
        <v>5</v>
      </c>
      <c r="BA16" s="801"/>
    </row>
    <row r="17" spans="1:53" x14ac:dyDescent="0.25">
      <c r="A17" s="793">
        <v>10</v>
      </c>
      <c r="B17" s="795" t="s">
        <v>171</v>
      </c>
      <c r="C17" s="796" t="s">
        <v>172</v>
      </c>
      <c r="D17" s="797">
        <f t="shared" si="1"/>
        <v>150</v>
      </c>
      <c r="E17" s="798">
        <f t="shared" si="0"/>
        <v>30</v>
      </c>
      <c r="F17" s="798">
        <f t="shared" si="0"/>
        <v>10</v>
      </c>
      <c r="G17" s="798">
        <f t="shared" si="0"/>
        <v>20</v>
      </c>
      <c r="H17" s="798">
        <f t="shared" si="0"/>
        <v>20</v>
      </c>
      <c r="I17" s="798">
        <f t="shared" si="0"/>
        <v>30</v>
      </c>
      <c r="J17" s="798">
        <f t="shared" si="0"/>
        <v>10</v>
      </c>
      <c r="K17" s="798">
        <f t="shared" si="0"/>
        <v>0</v>
      </c>
      <c r="L17" s="798">
        <f t="shared" si="0"/>
        <v>0</v>
      </c>
      <c r="M17" s="798">
        <f t="shared" si="0"/>
        <v>20</v>
      </c>
      <c r="N17" s="798">
        <f t="shared" si="0"/>
        <v>10</v>
      </c>
      <c r="O17" s="798">
        <f t="shared" si="0"/>
        <v>0</v>
      </c>
      <c r="P17" s="798">
        <f t="shared" si="0"/>
        <v>0</v>
      </c>
      <c r="Q17" s="798">
        <f t="shared" si="0"/>
        <v>0</v>
      </c>
      <c r="R17" s="798">
        <f t="shared" si="0"/>
        <v>0</v>
      </c>
      <c r="S17" s="798">
        <f t="shared" si="0"/>
        <v>0</v>
      </c>
      <c r="T17" s="798">
        <f t="shared" si="0"/>
        <v>0</v>
      </c>
      <c r="U17" s="797">
        <f t="shared" si="2"/>
        <v>0</v>
      </c>
      <c r="V17" s="799"/>
      <c r="W17" s="799"/>
      <c r="X17" s="799"/>
      <c r="Y17" s="799"/>
      <c r="Z17" s="799"/>
      <c r="AA17" s="799"/>
      <c r="AB17" s="799"/>
      <c r="AC17" s="799"/>
      <c r="AD17" s="799"/>
      <c r="AE17" s="799"/>
      <c r="AF17" s="799"/>
      <c r="AG17" s="799"/>
      <c r="AH17" s="799"/>
      <c r="AI17" s="800"/>
      <c r="AJ17" s="799"/>
      <c r="AK17" s="800"/>
      <c r="AL17" s="799">
        <f t="shared" si="3"/>
        <v>150</v>
      </c>
      <c r="AM17" s="798">
        <v>30</v>
      </c>
      <c r="AN17" s="798">
        <v>10</v>
      </c>
      <c r="AO17" s="798">
        <v>20</v>
      </c>
      <c r="AP17" s="798">
        <v>20</v>
      </c>
      <c r="AQ17" s="798">
        <v>30</v>
      </c>
      <c r="AR17" s="798">
        <v>10</v>
      </c>
      <c r="AS17" s="798">
        <v>0</v>
      </c>
      <c r="AT17" s="798">
        <v>0</v>
      </c>
      <c r="AU17" s="798">
        <v>20</v>
      </c>
      <c r="AV17" s="798">
        <v>10</v>
      </c>
      <c r="AW17" s="798">
        <v>0</v>
      </c>
      <c r="AX17" s="798">
        <v>0</v>
      </c>
      <c r="AY17" s="798">
        <v>0</v>
      </c>
      <c r="AZ17" s="798">
        <v>0</v>
      </c>
      <c r="BA17" s="801"/>
    </row>
    <row r="18" spans="1:53" x14ac:dyDescent="0.25">
      <c r="A18" s="793">
        <v>11</v>
      </c>
      <c r="B18" s="795" t="s">
        <v>187</v>
      </c>
      <c r="C18" s="796" t="s">
        <v>188</v>
      </c>
      <c r="D18" s="797">
        <f t="shared" si="1"/>
        <v>85</v>
      </c>
      <c r="E18" s="798">
        <f t="shared" si="0"/>
        <v>0</v>
      </c>
      <c r="F18" s="798">
        <f t="shared" si="0"/>
        <v>0</v>
      </c>
      <c r="G18" s="798">
        <f t="shared" si="0"/>
        <v>0</v>
      </c>
      <c r="H18" s="798">
        <f t="shared" si="0"/>
        <v>0</v>
      </c>
      <c r="I18" s="798">
        <f t="shared" si="0"/>
        <v>0</v>
      </c>
      <c r="J18" s="798">
        <f t="shared" si="0"/>
        <v>25</v>
      </c>
      <c r="K18" s="798">
        <f t="shared" si="0"/>
        <v>0</v>
      </c>
      <c r="L18" s="798">
        <f t="shared" si="0"/>
        <v>30</v>
      </c>
      <c r="M18" s="798">
        <f t="shared" si="0"/>
        <v>0</v>
      </c>
      <c r="N18" s="798">
        <f t="shared" si="0"/>
        <v>30</v>
      </c>
      <c r="O18" s="798">
        <f t="shared" si="0"/>
        <v>0</v>
      </c>
      <c r="P18" s="798">
        <f t="shared" si="0"/>
        <v>0</v>
      </c>
      <c r="Q18" s="798">
        <f t="shared" si="0"/>
        <v>0</v>
      </c>
      <c r="R18" s="798">
        <f t="shared" si="0"/>
        <v>0</v>
      </c>
      <c r="S18" s="798">
        <f t="shared" si="0"/>
        <v>0</v>
      </c>
      <c r="T18" s="798">
        <f t="shared" si="0"/>
        <v>0</v>
      </c>
      <c r="U18" s="797">
        <f t="shared" si="2"/>
        <v>85</v>
      </c>
      <c r="V18" s="799"/>
      <c r="W18" s="799"/>
      <c r="X18" s="799"/>
      <c r="Y18" s="799"/>
      <c r="Z18" s="799"/>
      <c r="AA18" s="799">
        <v>25</v>
      </c>
      <c r="AB18" s="799"/>
      <c r="AC18" s="799">
        <v>30</v>
      </c>
      <c r="AD18" s="799"/>
      <c r="AE18" s="799">
        <v>30</v>
      </c>
      <c r="AF18" s="799"/>
      <c r="AG18" s="799"/>
      <c r="AH18" s="799"/>
      <c r="AI18" s="800"/>
      <c r="AJ18" s="799"/>
      <c r="AK18" s="800"/>
      <c r="AL18" s="799">
        <f t="shared" si="3"/>
        <v>0</v>
      </c>
      <c r="AM18" s="798"/>
      <c r="AN18" s="798"/>
      <c r="AO18" s="798"/>
      <c r="AP18" s="798"/>
      <c r="AQ18" s="798"/>
      <c r="AR18" s="798"/>
      <c r="AS18" s="798"/>
      <c r="AT18" s="798"/>
      <c r="AU18" s="798"/>
      <c r="AV18" s="798"/>
      <c r="AW18" s="798"/>
      <c r="AX18" s="798"/>
      <c r="AY18" s="798"/>
      <c r="AZ18" s="798"/>
      <c r="BA18" s="801"/>
    </row>
    <row r="19" spans="1:53" x14ac:dyDescent="0.25">
      <c r="A19" s="793">
        <v>12</v>
      </c>
      <c r="B19" s="795" t="s">
        <v>189</v>
      </c>
      <c r="C19" s="796" t="s">
        <v>190</v>
      </c>
      <c r="D19" s="797">
        <f t="shared" si="1"/>
        <v>120</v>
      </c>
      <c r="E19" s="798">
        <f t="shared" si="0"/>
        <v>30</v>
      </c>
      <c r="F19" s="798">
        <f t="shared" si="0"/>
        <v>30</v>
      </c>
      <c r="G19" s="798">
        <f t="shared" si="0"/>
        <v>0</v>
      </c>
      <c r="H19" s="798">
        <f t="shared" si="0"/>
        <v>0</v>
      </c>
      <c r="I19" s="798">
        <f t="shared" si="0"/>
        <v>30</v>
      </c>
      <c r="J19" s="798">
        <f t="shared" si="0"/>
        <v>30</v>
      </c>
      <c r="K19" s="798">
        <f t="shared" si="0"/>
        <v>0</v>
      </c>
      <c r="L19" s="798">
        <f t="shared" si="0"/>
        <v>0</v>
      </c>
      <c r="M19" s="798">
        <f t="shared" si="0"/>
        <v>0</v>
      </c>
      <c r="N19" s="798">
        <f t="shared" si="0"/>
        <v>0</v>
      </c>
      <c r="O19" s="798">
        <f t="shared" si="0"/>
        <v>0</v>
      </c>
      <c r="P19" s="798">
        <f t="shared" si="0"/>
        <v>0</v>
      </c>
      <c r="Q19" s="798">
        <f t="shared" si="0"/>
        <v>0</v>
      </c>
      <c r="R19" s="798">
        <f t="shared" si="0"/>
        <v>0</v>
      </c>
      <c r="S19" s="798">
        <f t="shared" si="0"/>
        <v>0</v>
      </c>
      <c r="T19" s="798">
        <f t="shared" si="0"/>
        <v>0</v>
      </c>
      <c r="U19" s="797">
        <f t="shared" si="2"/>
        <v>120</v>
      </c>
      <c r="V19" s="799">
        <v>30</v>
      </c>
      <c r="W19" s="799">
        <v>30</v>
      </c>
      <c r="X19" s="799"/>
      <c r="Y19" s="799"/>
      <c r="Z19" s="799">
        <v>30</v>
      </c>
      <c r="AA19" s="799">
        <v>30</v>
      </c>
      <c r="AB19" s="799"/>
      <c r="AC19" s="799"/>
      <c r="AD19" s="799"/>
      <c r="AE19" s="799"/>
      <c r="AF19" s="799"/>
      <c r="AG19" s="799"/>
      <c r="AH19" s="799"/>
      <c r="AI19" s="800"/>
      <c r="AJ19" s="799"/>
      <c r="AK19" s="800"/>
      <c r="AL19" s="799">
        <f t="shared" si="3"/>
        <v>0</v>
      </c>
      <c r="AM19" s="798"/>
      <c r="AN19" s="798"/>
      <c r="AO19" s="798"/>
      <c r="AP19" s="798"/>
      <c r="AQ19" s="798"/>
      <c r="AR19" s="798"/>
      <c r="AS19" s="798"/>
      <c r="AT19" s="798"/>
      <c r="AU19" s="798"/>
      <c r="AV19" s="798"/>
      <c r="AW19" s="798"/>
      <c r="AX19" s="798"/>
      <c r="AY19" s="798"/>
      <c r="AZ19" s="798"/>
      <c r="BA19" s="801"/>
    </row>
    <row r="20" spans="1:53" ht="21" customHeight="1" x14ac:dyDescent="0.25">
      <c r="A20" s="793">
        <v>13</v>
      </c>
      <c r="B20" s="795" t="s">
        <v>107</v>
      </c>
      <c r="C20" s="796" t="s">
        <v>108</v>
      </c>
      <c r="D20" s="797">
        <f t="shared" si="1"/>
        <v>120</v>
      </c>
      <c r="E20" s="798">
        <f t="shared" si="0"/>
        <v>30</v>
      </c>
      <c r="F20" s="798">
        <f t="shared" si="0"/>
        <v>0</v>
      </c>
      <c r="G20" s="798">
        <f t="shared" si="0"/>
        <v>0</v>
      </c>
      <c r="H20" s="798">
        <f t="shared" si="0"/>
        <v>0</v>
      </c>
      <c r="I20" s="798">
        <f t="shared" si="0"/>
        <v>30</v>
      </c>
      <c r="J20" s="798">
        <f t="shared" si="0"/>
        <v>0</v>
      </c>
      <c r="K20" s="798">
        <f t="shared" si="0"/>
        <v>30</v>
      </c>
      <c r="L20" s="798">
        <f t="shared" si="0"/>
        <v>0</v>
      </c>
      <c r="M20" s="798">
        <f t="shared" si="0"/>
        <v>30</v>
      </c>
      <c r="N20" s="798">
        <f t="shared" si="0"/>
        <v>0</v>
      </c>
      <c r="O20" s="798">
        <f t="shared" si="0"/>
        <v>0</v>
      </c>
      <c r="P20" s="798">
        <f t="shared" si="0"/>
        <v>0</v>
      </c>
      <c r="Q20" s="798">
        <f t="shared" si="0"/>
        <v>0</v>
      </c>
      <c r="R20" s="798">
        <f t="shared" si="0"/>
        <v>0</v>
      </c>
      <c r="S20" s="798">
        <f t="shared" si="0"/>
        <v>0</v>
      </c>
      <c r="T20" s="798">
        <f t="shared" si="0"/>
        <v>0</v>
      </c>
      <c r="U20" s="797">
        <f t="shared" si="2"/>
        <v>120</v>
      </c>
      <c r="V20" s="799">
        <v>30</v>
      </c>
      <c r="W20" s="799"/>
      <c r="X20" s="799"/>
      <c r="Y20" s="799"/>
      <c r="Z20" s="799">
        <v>30</v>
      </c>
      <c r="AA20" s="799"/>
      <c r="AB20" s="799">
        <v>30</v>
      </c>
      <c r="AC20" s="799"/>
      <c r="AD20" s="799">
        <v>30</v>
      </c>
      <c r="AE20" s="799"/>
      <c r="AF20" s="799"/>
      <c r="AG20" s="799"/>
      <c r="AH20" s="799"/>
      <c r="AI20" s="800"/>
      <c r="AJ20" s="799"/>
      <c r="AK20" s="800"/>
      <c r="AL20" s="799">
        <f t="shared" si="3"/>
        <v>0</v>
      </c>
      <c r="AM20" s="798"/>
      <c r="AN20" s="798"/>
      <c r="AO20" s="798"/>
      <c r="AP20" s="798"/>
      <c r="AQ20" s="798"/>
      <c r="AR20" s="798"/>
      <c r="AS20" s="798"/>
      <c r="AT20" s="798"/>
      <c r="AU20" s="798"/>
      <c r="AV20" s="798"/>
      <c r="AW20" s="798"/>
      <c r="AX20" s="798"/>
      <c r="AY20" s="798"/>
      <c r="AZ20" s="798"/>
      <c r="BA20" s="801"/>
    </row>
    <row r="21" spans="1:53" x14ac:dyDescent="0.25">
      <c r="A21" s="793">
        <v>14</v>
      </c>
      <c r="B21" s="795" t="s">
        <v>167</v>
      </c>
      <c r="C21" s="796" t="s">
        <v>538</v>
      </c>
      <c r="D21" s="797">
        <f t="shared" si="1"/>
        <v>60</v>
      </c>
      <c r="E21" s="798">
        <f t="shared" si="0"/>
        <v>20</v>
      </c>
      <c r="F21" s="798">
        <f t="shared" si="0"/>
        <v>0</v>
      </c>
      <c r="G21" s="798">
        <f t="shared" si="0"/>
        <v>10</v>
      </c>
      <c r="H21" s="798">
        <f t="shared" si="0"/>
        <v>0</v>
      </c>
      <c r="I21" s="798">
        <f t="shared" si="0"/>
        <v>0</v>
      </c>
      <c r="J21" s="798">
        <f t="shared" si="0"/>
        <v>0</v>
      </c>
      <c r="K21" s="798">
        <f t="shared" si="0"/>
        <v>20</v>
      </c>
      <c r="L21" s="798">
        <f t="shared" si="0"/>
        <v>0</v>
      </c>
      <c r="M21" s="798">
        <f t="shared" si="0"/>
        <v>10</v>
      </c>
      <c r="N21" s="798">
        <f t="shared" si="0"/>
        <v>0</v>
      </c>
      <c r="O21" s="798">
        <f t="shared" si="0"/>
        <v>0</v>
      </c>
      <c r="P21" s="798">
        <f t="shared" si="0"/>
        <v>0</v>
      </c>
      <c r="Q21" s="798">
        <f t="shared" si="0"/>
        <v>0</v>
      </c>
      <c r="R21" s="798">
        <f t="shared" si="0"/>
        <v>0</v>
      </c>
      <c r="S21" s="798">
        <f t="shared" si="0"/>
        <v>0</v>
      </c>
      <c r="T21" s="798">
        <f t="shared" si="0"/>
        <v>0</v>
      </c>
      <c r="U21" s="797">
        <f t="shared" si="2"/>
        <v>60</v>
      </c>
      <c r="V21" s="799">
        <v>20</v>
      </c>
      <c r="W21" s="799"/>
      <c r="X21" s="799">
        <v>10</v>
      </c>
      <c r="Y21" s="799"/>
      <c r="Z21" s="799"/>
      <c r="AA21" s="799"/>
      <c r="AB21" s="799">
        <v>20</v>
      </c>
      <c r="AC21" s="799"/>
      <c r="AD21" s="799">
        <v>10</v>
      </c>
      <c r="AE21" s="799"/>
      <c r="AF21" s="799"/>
      <c r="AG21" s="799"/>
      <c r="AH21" s="799"/>
      <c r="AI21" s="800"/>
      <c r="AJ21" s="799"/>
      <c r="AK21" s="800"/>
      <c r="AL21" s="799">
        <f t="shared" si="3"/>
        <v>0</v>
      </c>
      <c r="AM21" s="798"/>
      <c r="AN21" s="798"/>
      <c r="AO21" s="798"/>
      <c r="AP21" s="798"/>
      <c r="AQ21" s="798"/>
      <c r="AR21" s="798"/>
      <c r="AS21" s="798"/>
      <c r="AT21" s="798"/>
      <c r="AU21" s="798"/>
      <c r="AV21" s="798"/>
      <c r="AW21" s="798"/>
      <c r="AX21" s="798"/>
      <c r="AY21" s="798"/>
      <c r="AZ21" s="798"/>
      <c r="BA21" s="801"/>
    </row>
    <row r="22" spans="1:53" x14ac:dyDescent="0.25">
      <c r="A22" s="793">
        <v>15</v>
      </c>
      <c r="B22" s="795" t="s">
        <v>79</v>
      </c>
      <c r="C22" s="796" t="s">
        <v>80</v>
      </c>
      <c r="D22" s="797">
        <f t="shared" si="1"/>
        <v>200</v>
      </c>
      <c r="E22" s="798">
        <f t="shared" si="0"/>
        <v>20</v>
      </c>
      <c r="F22" s="798">
        <f t="shared" si="0"/>
        <v>20</v>
      </c>
      <c r="G22" s="798">
        <f t="shared" si="0"/>
        <v>20</v>
      </c>
      <c r="H22" s="798">
        <f t="shared" si="0"/>
        <v>20</v>
      </c>
      <c r="I22" s="798">
        <f t="shared" si="0"/>
        <v>20</v>
      </c>
      <c r="J22" s="798">
        <f t="shared" si="0"/>
        <v>20</v>
      </c>
      <c r="K22" s="798">
        <f t="shared" si="0"/>
        <v>20</v>
      </c>
      <c r="L22" s="798">
        <f t="shared" si="0"/>
        <v>20</v>
      </c>
      <c r="M22" s="798">
        <f t="shared" si="0"/>
        <v>20</v>
      </c>
      <c r="N22" s="798">
        <f t="shared" si="0"/>
        <v>20</v>
      </c>
      <c r="O22" s="798">
        <f t="shared" si="0"/>
        <v>0</v>
      </c>
      <c r="P22" s="798">
        <f t="shared" si="0"/>
        <v>0</v>
      </c>
      <c r="Q22" s="798">
        <f t="shared" si="0"/>
        <v>0</v>
      </c>
      <c r="R22" s="798">
        <f t="shared" si="0"/>
        <v>0</v>
      </c>
      <c r="S22" s="798">
        <f t="shared" si="0"/>
        <v>0</v>
      </c>
      <c r="T22" s="798">
        <f t="shared" si="0"/>
        <v>0</v>
      </c>
      <c r="U22" s="797">
        <f t="shared" si="2"/>
        <v>200</v>
      </c>
      <c r="V22" s="799">
        <v>20</v>
      </c>
      <c r="W22" s="799">
        <v>20</v>
      </c>
      <c r="X22" s="799">
        <v>20</v>
      </c>
      <c r="Y22" s="799">
        <v>20</v>
      </c>
      <c r="Z22" s="799">
        <v>20</v>
      </c>
      <c r="AA22" s="799">
        <v>20</v>
      </c>
      <c r="AB22" s="799">
        <v>20</v>
      </c>
      <c r="AC22" s="799">
        <v>20</v>
      </c>
      <c r="AD22" s="799">
        <v>20</v>
      </c>
      <c r="AE22" s="799">
        <v>20</v>
      </c>
      <c r="AF22" s="799"/>
      <c r="AG22" s="799"/>
      <c r="AH22" s="799"/>
      <c r="AI22" s="800"/>
      <c r="AJ22" s="799"/>
      <c r="AK22" s="800"/>
      <c r="AL22" s="799">
        <f t="shared" si="3"/>
        <v>0</v>
      </c>
      <c r="AM22" s="798"/>
      <c r="AN22" s="798"/>
      <c r="AO22" s="798"/>
      <c r="AP22" s="798"/>
      <c r="AQ22" s="798"/>
      <c r="AR22" s="798"/>
      <c r="AS22" s="798"/>
      <c r="AT22" s="798"/>
      <c r="AU22" s="798"/>
      <c r="AV22" s="798"/>
      <c r="AW22" s="798"/>
      <c r="AX22" s="798"/>
      <c r="AY22" s="798"/>
      <c r="AZ22" s="798"/>
      <c r="BA22" s="801"/>
    </row>
    <row r="23" spans="1:53" x14ac:dyDescent="0.25">
      <c r="A23" s="793">
        <v>16</v>
      </c>
      <c r="B23" s="795" t="s">
        <v>173</v>
      </c>
      <c r="C23" s="796" t="s">
        <v>539</v>
      </c>
      <c r="D23" s="797">
        <f t="shared" si="1"/>
        <v>100</v>
      </c>
      <c r="E23" s="798">
        <f t="shared" si="0"/>
        <v>10</v>
      </c>
      <c r="F23" s="798">
        <f t="shared" si="0"/>
        <v>10</v>
      </c>
      <c r="G23" s="798">
        <f t="shared" si="0"/>
        <v>10</v>
      </c>
      <c r="H23" s="798">
        <f t="shared" si="0"/>
        <v>10</v>
      </c>
      <c r="I23" s="798">
        <f t="shared" si="0"/>
        <v>10</v>
      </c>
      <c r="J23" s="798">
        <f t="shared" si="0"/>
        <v>10</v>
      </c>
      <c r="K23" s="798">
        <f t="shared" si="0"/>
        <v>10</v>
      </c>
      <c r="L23" s="798">
        <f t="shared" si="0"/>
        <v>10</v>
      </c>
      <c r="M23" s="798">
        <f t="shared" si="0"/>
        <v>10</v>
      </c>
      <c r="N23" s="798">
        <f t="shared" si="0"/>
        <v>10</v>
      </c>
      <c r="O23" s="798">
        <f t="shared" si="0"/>
        <v>0</v>
      </c>
      <c r="P23" s="798">
        <f t="shared" si="0"/>
        <v>0</v>
      </c>
      <c r="Q23" s="798">
        <f t="shared" si="0"/>
        <v>0</v>
      </c>
      <c r="R23" s="798">
        <f t="shared" si="0"/>
        <v>0</v>
      </c>
      <c r="S23" s="798">
        <f t="shared" si="0"/>
        <v>0</v>
      </c>
      <c r="T23" s="798">
        <f t="shared" ref="T23:T38" si="4">AK23+BB23</f>
        <v>0</v>
      </c>
      <c r="U23" s="797">
        <f t="shared" si="2"/>
        <v>100</v>
      </c>
      <c r="V23" s="799">
        <v>10</v>
      </c>
      <c r="W23" s="799">
        <v>10</v>
      </c>
      <c r="X23" s="799">
        <v>10</v>
      </c>
      <c r="Y23" s="799">
        <v>10</v>
      </c>
      <c r="Z23" s="799">
        <v>10</v>
      </c>
      <c r="AA23" s="799">
        <v>10</v>
      </c>
      <c r="AB23" s="799">
        <v>10</v>
      </c>
      <c r="AC23" s="799">
        <v>10</v>
      </c>
      <c r="AD23" s="799">
        <v>10</v>
      </c>
      <c r="AE23" s="799">
        <v>10</v>
      </c>
      <c r="AF23" s="799"/>
      <c r="AG23" s="799"/>
      <c r="AH23" s="799"/>
      <c r="AI23" s="800"/>
      <c r="AJ23" s="799"/>
      <c r="AK23" s="800"/>
      <c r="AL23" s="799">
        <f t="shared" si="3"/>
        <v>0</v>
      </c>
      <c r="AM23" s="798"/>
      <c r="AN23" s="798"/>
      <c r="AO23" s="798"/>
      <c r="AP23" s="798"/>
      <c r="AQ23" s="798"/>
      <c r="AR23" s="798"/>
      <c r="AS23" s="798"/>
      <c r="AT23" s="798"/>
      <c r="AU23" s="798"/>
      <c r="AV23" s="798"/>
      <c r="AW23" s="798"/>
      <c r="AX23" s="798"/>
      <c r="AY23" s="798"/>
      <c r="AZ23" s="798"/>
      <c r="BA23" s="801"/>
    </row>
    <row r="24" spans="1:53" x14ac:dyDescent="0.25">
      <c r="A24" s="793">
        <v>17</v>
      </c>
      <c r="B24" s="795" t="s">
        <v>163</v>
      </c>
      <c r="C24" s="796" t="s">
        <v>540</v>
      </c>
      <c r="D24" s="797">
        <f t="shared" si="1"/>
        <v>100</v>
      </c>
      <c r="E24" s="798">
        <f t="shared" ref="E24:S38" si="5">V24+AM24</f>
        <v>25</v>
      </c>
      <c r="F24" s="798">
        <f t="shared" si="5"/>
        <v>5</v>
      </c>
      <c r="G24" s="798">
        <f t="shared" si="5"/>
        <v>0</v>
      </c>
      <c r="H24" s="798">
        <f t="shared" si="5"/>
        <v>0</v>
      </c>
      <c r="I24" s="798">
        <f t="shared" si="5"/>
        <v>25</v>
      </c>
      <c r="J24" s="798">
        <f t="shared" si="5"/>
        <v>5</v>
      </c>
      <c r="K24" s="798">
        <f t="shared" si="5"/>
        <v>30</v>
      </c>
      <c r="L24" s="798">
        <f t="shared" si="5"/>
        <v>10</v>
      </c>
      <c r="M24" s="798">
        <f t="shared" si="5"/>
        <v>0</v>
      </c>
      <c r="N24" s="798">
        <f t="shared" si="5"/>
        <v>0</v>
      </c>
      <c r="O24" s="798">
        <f t="shared" si="5"/>
        <v>0</v>
      </c>
      <c r="P24" s="798">
        <f t="shared" si="5"/>
        <v>0</v>
      </c>
      <c r="Q24" s="798">
        <f t="shared" si="5"/>
        <v>0</v>
      </c>
      <c r="R24" s="798">
        <f t="shared" si="5"/>
        <v>0</v>
      </c>
      <c r="S24" s="798">
        <f t="shared" si="5"/>
        <v>0</v>
      </c>
      <c r="T24" s="798">
        <f t="shared" si="4"/>
        <v>0</v>
      </c>
      <c r="U24" s="797">
        <f t="shared" si="2"/>
        <v>100</v>
      </c>
      <c r="V24" s="799">
        <v>25</v>
      </c>
      <c r="W24" s="799">
        <v>5</v>
      </c>
      <c r="X24" s="799"/>
      <c r="Y24" s="799"/>
      <c r="Z24" s="799">
        <v>25</v>
      </c>
      <c r="AA24" s="799">
        <v>5</v>
      </c>
      <c r="AB24" s="799">
        <v>30</v>
      </c>
      <c r="AC24" s="799">
        <v>10</v>
      </c>
      <c r="AD24" s="799"/>
      <c r="AE24" s="799"/>
      <c r="AF24" s="799"/>
      <c r="AG24" s="799"/>
      <c r="AH24" s="799"/>
      <c r="AI24" s="800"/>
      <c r="AJ24" s="799"/>
      <c r="AK24" s="800"/>
      <c r="AL24" s="799">
        <f t="shared" si="3"/>
        <v>0</v>
      </c>
      <c r="AM24" s="798"/>
      <c r="AN24" s="798"/>
      <c r="AO24" s="798"/>
      <c r="AP24" s="798"/>
      <c r="AQ24" s="798"/>
      <c r="AR24" s="798"/>
      <c r="AS24" s="798"/>
      <c r="AT24" s="798"/>
      <c r="AU24" s="798"/>
      <c r="AV24" s="798"/>
      <c r="AW24" s="798"/>
      <c r="AX24" s="798"/>
      <c r="AY24" s="798"/>
      <c r="AZ24" s="798"/>
      <c r="BA24" s="801"/>
    </row>
    <row r="25" spans="1:53" x14ac:dyDescent="0.25">
      <c r="A25" s="793">
        <v>18</v>
      </c>
      <c r="B25" s="795" t="s">
        <v>165</v>
      </c>
      <c r="C25" s="796" t="s">
        <v>541</v>
      </c>
      <c r="D25" s="797">
        <f t="shared" si="1"/>
        <v>260</v>
      </c>
      <c r="E25" s="798">
        <f t="shared" si="5"/>
        <v>0</v>
      </c>
      <c r="F25" s="798">
        <f t="shared" si="5"/>
        <v>0</v>
      </c>
      <c r="G25" s="798">
        <f t="shared" si="5"/>
        <v>0</v>
      </c>
      <c r="H25" s="798">
        <f t="shared" si="5"/>
        <v>0</v>
      </c>
      <c r="I25" s="798">
        <f t="shared" si="5"/>
        <v>130</v>
      </c>
      <c r="J25" s="798">
        <f t="shared" si="5"/>
        <v>130</v>
      </c>
      <c r="K25" s="798">
        <f t="shared" si="5"/>
        <v>0</v>
      </c>
      <c r="L25" s="798">
        <f t="shared" si="5"/>
        <v>0</v>
      </c>
      <c r="M25" s="798">
        <f t="shared" si="5"/>
        <v>0</v>
      </c>
      <c r="N25" s="798">
        <f t="shared" si="5"/>
        <v>0</v>
      </c>
      <c r="O25" s="798">
        <f t="shared" si="5"/>
        <v>0</v>
      </c>
      <c r="P25" s="798">
        <f t="shared" si="5"/>
        <v>0</v>
      </c>
      <c r="Q25" s="798">
        <f t="shared" si="5"/>
        <v>0</v>
      </c>
      <c r="R25" s="798">
        <f t="shared" si="5"/>
        <v>0</v>
      </c>
      <c r="S25" s="798">
        <f t="shared" si="5"/>
        <v>0</v>
      </c>
      <c r="T25" s="798">
        <f t="shared" si="4"/>
        <v>0</v>
      </c>
      <c r="U25" s="797">
        <f t="shared" si="2"/>
        <v>260</v>
      </c>
      <c r="V25" s="799"/>
      <c r="W25" s="799"/>
      <c r="X25" s="799"/>
      <c r="Y25" s="799"/>
      <c r="Z25" s="799">
        <v>130</v>
      </c>
      <c r="AA25" s="799">
        <v>130</v>
      </c>
      <c r="AB25" s="799"/>
      <c r="AC25" s="799"/>
      <c r="AD25" s="799"/>
      <c r="AE25" s="799"/>
      <c r="AF25" s="799"/>
      <c r="AG25" s="799"/>
      <c r="AH25" s="799"/>
      <c r="AI25" s="800"/>
      <c r="AJ25" s="799"/>
      <c r="AK25" s="800"/>
      <c r="AL25" s="799">
        <f t="shared" si="3"/>
        <v>0</v>
      </c>
      <c r="AM25" s="798"/>
      <c r="AN25" s="798"/>
      <c r="AO25" s="798"/>
      <c r="AP25" s="798"/>
      <c r="AQ25" s="798"/>
      <c r="AR25" s="798"/>
      <c r="AS25" s="798"/>
      <c r="AT25" s="798"/>
      <c r="AU25" s="798"/>
      <c r="AV25" s="798"/>
      <c r="AW25" s="798"/>
      <c r="AX25" s="798"/>
      <c r="AY25" s="798"/>
      <c r="AZ25" s="798"/>
      <c r="BA25" s="801"/>
    </row>
    <row r="26" spans="1:53" x14ac:dyDescent="0.25">
      <c r="A26" s="793">
        <v>19</v>
      </c>
      <c r="B26" s="795" t="s">
        <v>169</v>
      </c>
      <c r="C26" s="796" t="s">
        <v>402</v>
      </c>
      <c r="D26" s="797">
        <f t="shared" si="1"/>
        <v>207</v>
      </c>
      <c r="E26" s="798">
        <f t="shared" si="5"/>
        <v>107</v>
      </c>
      <c r="F26" s="798">
        <f t="shared" si="5"/>
        <v>0</v>
      </c>
      <c r="G26" s="798">
        <f t="shared" si="5"/>
        <v>0</v>
      </c>
      <c r="H26" s="798">
        <f t="shared" si="5"/>
        <v>0</v>
      </c>
      <c r="I26" s="798">
        <f t="shared" si="5"/>
        <v>50</v>
      </c>
      <c r="J26" s="798">
        <f t="shared" si="5"/>
        <v>0</v>
      </c>
      <c r="K26" s="798">
        <f t="shared" si="5"/>
        <v>50</v>
      </c>
      <c r="L26" s="798">
        <f t="shared" si="5"/>
        <v>0</v>
      </c>
      <c r="M26" s="798">
        <f t="shared" si="5"/>
        <v>0</v>
      </c>
      <c r="N26" s="798">
        <f t="shared" si="5"/>
        <v>0</v>
      </c>
      <c r="O26" s="798">
        <f t="shared" si="5"/>
        <v>0</v>
      </c>
      <c r="P26" s="798">
        <f t="shared" si="5"/>
        <v>0</v>
      </c>
      <c r="Q26" s="798">
        <f t="shared" si="5"/>
        <v>0</v>
      </c>
      <c r="R26" s="798">
        <f t="shared" si="5"/>
        <v>0</v>
      </c>
      <c r="S26" s="798">
        <f t="shared" si="5"/>
        <v>0</v>
      </c>
      <c r="T26" s="798">
        <f t="shared" si="4"/>
        <v>0</v>
      </c>
      <c r="U26" s="797">
        <f t="shared" si="2"/>
        <v>207</v>
      </c>
      <c r="V26" s="799">
        <v>107</v>
      </c>
      <c r="W26" s="799"/>
      <c r="X26" s="799"/>
      <c r="Y26" s="799"/>
      <c r="Z26" s="799">
        <v>50</v>
      </c>
      <c r="AA26" s="799"/>
      <c r="AB26" s="799">
        <v>50</v>
      </c>
      <c r="AC26" s="799"/>
      <c r="AD26" s="799"/>
      <c r="AE26" s="799"/>
      <c r="AF26" s="799"/>
      <c r="AG26" s="799"/>
      <c r="AH26" s="799"/>
      <c r="AI26" s="800"/>
      <c r="AJ26" s="799"/>
      <c r="AK26" s="800"/>
      <c r="AL26" s="799">
        <f t="shared" si="3"/>
        <v>0</v>
      </c>
      <c r="AM26" s="798"/>
      <c r="AN26" s="798"/>
      <c r="AO26" s="798"/>
      <c r="AP26" s="798"/>
      <c r="AQ26" s="798"/>
      <c r="AR26" s="798"/>
      <c r="AS26" s="798"/>
      <c r="AT26" s="798"/>
      <c r="AU26" s="798"/>
      <c r="AV26" s="798"/>
      <c r="AW26" s="798"/>
      <c r="AX26" s="798"/>
      <c r="AY26" s="798"/>
      <c r="AZ26" s="798"/>
      <c r="BA26" s="801"/>
    </row>
    <row r="27" spans="1:53" x14ac:dyDescent="0.25">
      <c r="A27" s="793">
        <v>20</v>
      </c>
      <c r="B27" s="795" t="s">
        <v>278</v>
      </c>
      <c r="C27" s="796" t="s">
        <v>522</v>
      </c>
      <c r="D27" s="797">
        <f t="shared" si="1"/>
        <v>74</v>
      </c>
      <c r="E27" s="798">
        <f t="shared" si="5"/>
        <v>25</v>
      </c>
      <c r="F27" s="798">
        <f t="shared" si="5"/>
        <v>10</v>
      </c>
      <c r="G27" s="798">
        <f t="shared" si="5"/>
        <v>5</v>
      </c>
      <c r="H27" s="798">
        <f t="shared" si="5"/>
        <v>2</v>
      </c>
      <c r="I27" s="798">
        <f t="shared" si="5"/>
        <v>0</v>
      </c>
      <c r="J27" s="798">
        <f t="shared" si="5"/>
        <v>22</v>
      </c>
      <c r="K27" s="798">
        <f t="shared" si="5"/>
        <v>0</v>
      </c>
      <c r="L27" s="798">
        <f t="shared" si="5"/>
        <v>0</v>
      </c>
      <c r="M27" s="798">
        <f t="shared" si="5"/>
        <v>0</v>
      </c>
      <c r="N27" s="798">
        <f t="shared" si="5"/>
        <v>0</v>
      </c>
      <c r="O27" s="798">
        <f t="shared" si="5"/>
        <v>5</v>
      </c>
      <c r="P27" s="798">
        <f t="shared" si="5"/>
        <v>5</v>
      </c>
      <c r="Q27" s="798">
        <f t="shared" si="5"/>
        <v>0</v>
      </c>
      <c r="R27" s="798">
        <f t="shared" si="5"/>
        <v>0</v>
      </c>
      <c r="S27" s="798">
        <f t="shared" si="5"/>
        <v>0</v>
      </c>
      <c r="T27" s="798">
        <f t="shared" si="4"/>
        <v>0</v>
      </c>
      <c r="U27" s="797">
        <f t="shared" si="2"/>
        <v>74</v>
      </c>
      <c r="V27" s="799">
        <v>25</v>
      </c>
      <c r="W27" s="799">
        <v>10</v>
      </c>
      <c r="X27" s="799">
        <v>5</v>
      </c>
      <c r="Y27" s="799">
        <v>2</v>
      </c>
      <c r="Z27" s="799"/>
      <c r="AA27" s="799">
        <v>22</v>
      </c>
      <c r="AB27" s="799"/>
      <c r="AC27" s="799"/>
      <c r="AD27" s="799"/>
      <c r="AE27" s="799"/>
      <c r="AF27" s="799">
        <v>5</v>
      </c>
      <c r="AG27" s="799">
        <v>5</v>
      </c>
      <c r="AH27" s="799"/>
      <c r="AI27" s="800"/>
      <c r="AJ27" s="799"/>
      <c r="AK27" s="800"/>
      <c r="AL27" s="799">
        <f t="shared" si="3"/>
        <v>0</v>
      </c>
      <c r="AM27" s="798"/>
      <c r="AN27" s="798"/>
      <c r="AO27" s="798"/>
      <c r="AP27" s="798"/>
      <c r="AQ27" s="798"/>
      <c r="AR27" s="798"/>
      <c r="AS27" s="798"/>
      <c r="AT27" s="798"/>
      <c r="AU27" s="798"/>
      <c r="AV27" s="798"/>
      <c r="AW27" s="798"/>
      <c r="AX27" s="798"/>
      <c r="AY27" s="798"/>
      <c r="AZ27" s="798"/>
      <c r="BA27" s="801"/>
    </row>
    <row r="28" spans="1:53" x14ac:dyDescent="0.25">
      <c r="A28" s="793">
        <v>21</v>
      </c>
      <c r="B28" s="795" t="s">
        <v>83</v>
      </c>
      <c r="C28" s="796" t="s">
        <v>84</v>
      </c>
      <c r="D28" s="797">
        <f t="shared" si="1"/>
        <v>250</v>
      </c>
      <c r="E28" s="798">
        <f t="shared" si="5"/>
        <v>0</v>
      </c>
      <c r="F28" s="798">
        <f t="shared" si="5"/>
        <v>0</v>
      </c>
      <c r="G28" s="798">
        <f t="shared" si="5"/>
        <v>0</v>
      </c>
      <c r="H28" s="798">
        <f t="shared" si="5"/>
        <v>0</v>
      </c>
      <c r="I28" s="798">
        <f t="shared" si="5"/>
        <v>45</v>
      </c>
      <c r="J28" s="798">
        <f t="shared" si="5"/>
        <v>45</v>
      </c>
      <c r="K28" s="798">
        <f t="shared" si="5"/>
        <v>45</v>
      </c>
      <c r="L28" s="798">
        <f t="shared" si="5"/>
        <v>45</v>
      </c>
      <c r="M28" s="798">
        <f t="shared" si="5"/>
        <v>35</v>
      </c>
      <c r="N28" s="798">
        <f t="shared" si="5"/>
        <v>35</v>
      </c>
      <c r="O28" s="798">
        <f t="shared" si="5"/>
        <v>0</v>
      </c>
      <c r="P28" s="798">
        <f t="shared" si="5"/>
        <v>0</v>
      </c>
      <c r="Q28" s="798">
        <f t="shared" si="5"/>
        <v>0</v>
      </c>
      <c r="R28" s="798">
        <f t="shared" si="5"/>
        <v>0</v>
      </c>
      <c r="S28" s="798">
        <f t="shared" si="5"/>
        <v>0</v>
      </c>
      <c r="T28" s="798">
        <f t="shared" si="4"/>
        <v>0</v>
      </c>
      <c r="U28" s="797">
        <f t="shared" si="2"/>
        <v>250</v>
      </c>
      <c r="V28" s="799"/>
      <c r="W28" s="799"/>
      <c r="X28" s="799"/>
      <c r="Y28" s="799"/>
      <c r="Z28" s="799">
        <v>45</v>
      </c>
      <c r="AA28" s="799">
        <v>45</v>
      </c>
      <c r="AB28" s="799">
        <v>45</v>
      </c>
      <c r="AC28" s="799">
        <v>45</v>
      </c>
      <c r="AD28" s="799">
        <v>35</v>
      </c>
      <c r="AE28" s="799">
        <v>35</v>
      </c>
      <c r="AF28" s="799"/>
      <c r="AG28" s="799"/>
      <c r="AH28" s="799"/>
      <c r="AI28" s="800"/>
      <c r="AJ28" s="799"/>
      <c r="AK28" s="800"/>
      <c r="AL28" s="799">
        <f t="shared" si="3"/>
        <v>0</v>
      </c>
      <c r="AM28" s="798"/>
      <c r="AN28" s="798"/>
      <c r="AO28" s="798"/>
      <c r="AP28" s="798"/>
      <c r="AQ28" s="798"/>
      <c r="AR28" s="798"/>
      <c r="AS28" s="798"/>
      <c r="AT28" s="798"/>
      <c r="AU28" s="798"/>
      <c r="AV28" s="798"/>
      <c r="AW28" s="798"/>
      <c r="AX28" s="798"/>
      <c r="AY28" s="798"/>
      <c r="AZ28" s="798"/>
      <c r="BA28" s="801"/>
    </row>
    <row r="29" spans="1:53" x14ac:dyDescent="0.25">
      <c r="A29" s="793">
        <v>22</v>
      </c>
      <c r="B29" s="795" t="s">
        <v>276</v>
      </c>
      <c r="C29" s="796" t="s">
        <v>542</v>
      </c>
      <c r="D29" s="797">
        <f t="shared" si="1"/>
        <v>420</v>
      </c>
      <c r="E29" s="798">
        <f t="shared" si="5"/>
        <v>70</v>
      </c>
      <c r="F29" s="798">
        <f t="shared" si="5"/>
        <v>70</v>
      </c>
      <c r="G29" s="798">
        <f t="shared" si="5"/>
        <v>0</v>
      </c>
      <c r="H29" s="798">
        <f t="shared" si="5"/>
        <v>0</v>
      </c>
      <c r="I29" s="798">
        <f t="shared" si="5"/>
        <v>0</v>
      </c>
      <c r="J29" s="798">
        <f t="shared" si="5"/>
        <v>0</v>
      </c>
      <c r="K29" s="798">
        <f t="shared" si="5"/>
        <v>0</v>
      </c>
      <c r="L29" s="798">
        <f t="shared" si="5"/>
        <v>0</v>
      </c>
      <c r="M29" s="798">
        <f t="shared" si="5"/>
        <v>70</v>
      </c>
      <c r="N29" s="798">
        <f t="shared" si="5"/>
        <v>70</v>
      </c>
      <c r="O29" s="798">
        <f t="shared" si="5"/>
        <v>70</v>
      </c>
      <c r="P29" s="798">
        <f t="shared" si="5"/>
        <v>70</v>
      </c>
      <c r="Q29" s="798">
        <f t="shared" si="5"/>
        <v>0</v>
      </c>
      <c r="R29" s="798">
        <f t="shared" si="5"/>
        <v>0</v>
      </c>
      <c r="S29" s="798">
        <f t="shared" si="5"/>
        <v>0</v>
      </c>
      <c r="T29" s="798">
        <f t="shared" si="4"/>
        <v>0</v>
      </c>
      <c r="U29" s="797">
        <f t="shared" si="2"/>
        <v>420</v>
      </c>
      <c r="V29" s="799">
        <v>70</v>
      </c>
      <c r="W29" s="799">
        <v>70</v>
      </c>
      <c r="X29" s="799"/>
      <c r="Y29" s="799"/>
      <c r="Z29" s="799"/>
      <c r="AA29" s="799"/>
      <c r="AB29" s="799"/>
      <c r="AC29" s="799"/>
      <c r="AD29" s="799">
        <v>70</v>
      </c>
      <c r="AE29" s="799">
        <v>70</v>
      </c>
      <c r="AF29" s="799">
        <v>70</v>
      </c>
      <c r="AG29" s="799">
        <v>70</v>
      </c>
      <c r="AH29" s="799"/>
      <c r="AI29" s="800"/>
      <c r="AJ29" s="799"/>
      <c r="AK29" s="800"/>
      <c r="AL29" s="799">
        <f t="shared" si="3"/>
        <v>0</v>
      </c>
      <c r="AM29" s="798"/>
      <c r="AN29" s="798"/>
      <c r="AO29" s="798"/>
      <c r="AP29" s="798"/>
      <c r="AQ29" s="798"/>
      <c r="AR29" s="798"/>
      <c r="AS29" s="798"/>
      <c r="AT29" s="798"/>
      <c r="AU29" s="798"/>
      <c r="AV29" s="798"/>
      <c r="AW29" s="798"/>
      <c r="AX29" s="798"/>
      <c r="AY29" s="798"/>
      <c r="AZ29" s="798"/>
      <c r="BA29" s="801"/>
    </row>
    <row r="30" spans="1:53" ht="22.5" x14ac:dyDescent="0.25">
      <c r="A30" s="793">
        <v>23</v>
      </c>
      <c r="B30" s="795" t="s">
        <v>141</v>
      </c>
      <c r="C30" s="796" t="s">
        <v>543</v>
      </c>
      <c r="D30" s="797">
        <f t="shared" si="1"/>
        <v>150</v>
      </c>
      <c r="E30" s="798">
        <f t="shared" si="5"/>
        <v>15</v>
      </c>
      <c r="F30" s="798">
        <f t="shared" si="5"/>
        <v>15</v>
      </c>
      <c r="G30" s="798">
        <f t="shared" si="5"/>
        <v>15</v>
      </c>
      <c r="H30" s="798">
        <f t="shared" si="5"/>
        <v>15</v>
      </c>
      <c r="I30" s="798">
        <f t="shared" si="5"/>
        <v>15</v>
      </c>
      <c r="J30" s="798">
        <f t="shared" si="5"/>
        <v>15</v>
      </c>
      <c r="K30" s="798">
        <f t="shared" si="5"/>
        <v>15</v>
      </c>
      <c r="L30" s="798">
        <f t="shared" si="5"/>
        <v>15</v>
      </c>
      <c r="M30" s="798">
        <f t="shared" si="5"/>
        <v>15</v>
      </c>
      <c r="N30" s="798">
        <f t="shared" si="5"/>
        <v>15</v>
      </c>
      <c r="O30" s="798">
        <f t="shared" si="5"/>
        <v>0</v>
      </c>
      <c r="P30" s="798">
        <f t="shared" si="5"/>
        <v>0</v>
      </c>
      <c r="Q30" s="798">
        <f t="shared" si="5"/>
        <v>0</v>
      </c>
      <c r="R30" s="798">
        <f t="shared" si="5"/>
        <v>0</v>
      </c>
      <c r="S30" s="798">
        <f t="shared" si="5"/>
        <v>0</v>
      </c>
      <c r="T30" s="798">
        <f t="shared" si="4"/>
        <v>0</v>
      </c>
      <c r="U30" s="797">
        <f t="shared" si="2"/>
        <v>150</v>
      </c>
      <c r="V30" s="799">
        <v>15</v>
      </c>
      <c r="W30" s="799">
        <v>15</v>
      </c>
      <c r="X30" s="799">
        <v>15</v>
      </c>
      <c r="Y30" s="799">
        <v>15</v>
      </c>
      <c r="Z30" s="799">
        <v>15</v>
      </c>
      <c r="AA30" s="799">
        <v>15</v>
      </c>
      <c r="AB30" s="799">
        <v>15</v>
      </c>
      <c r="AC30" s="799">
        <v>15</v>
      </c>
      <c r="AD30" s="799">
        <v>15</v>
      </c>
      <c r="AE30" s="799">
        <v>15</v>
      </c>
      <c r="AF30" s="799"/>
      <c r="AG30" s="799"/>
      <c r="AH30" s="799"/>
      <c r="AI30" s="800"/>
      <c r="AJ30" s="799"/>
      <c r="AK30" s="800"/>
      <c r="AL30" s="799">
        <f t="shared" si="3"/>
        <v>0</v>
      </c>
      <c r="AM30" s="798"/>
      <c r="AN30" s="798"/>
      <c r="AO30" s="798"/>
      <c r="AP30" s="798"/>
      <c r="AQ30" s="798"/>
      <c r="AR30" s="798"/>
      <c r="AS30" s="798"/>
      <c r="AT30" s="798"/>
      <c r="AU30" s="798"/>
      <c r="AV30" s="798"/>
      <c r="AW30" s="798"/>
      <c r="AX30" s="798"/>
      <c r="AY30" s="798"/>
      <c r="AZ30" s="798"/>
      <c r="BA30" s="801"/>
    </row>
    <row r="31" spans="1:53" ht="22.5" x14ac:dyDescent="0.25">
      <c r="A31" s="793">
        <v>24</v>
      </c>
      <c r="B31" s="795" t="s">
        <v>143</v>
      </c>
      <c r="C31" s="796" t="s">
        <v>544</v>
      </c>
      <c r="D31" s="797">
        <f t="shared" si="1"/>
        <v>210</v>
      </c>
      <c r="E31" s="798">
        <f t="shared" si="5"/>
        <v>0</v>
      </c>
      <c r="F31" s="798">
        <f t="shared" si="5"/>
        <v>0</v>
      </c>
      <c r="G31" s="798">
        <f t="shared" si="5"/>
        <v>35</v>
      </c>
      <c r="H31" s="798">
        <f t="shared" si="5"/>
        <v>35</v>
      </c>
      <c r="I31" s="798">
        <f t="shared" si="5"/>
        <v>35</v>
      </c>
      <c r="J31" s="798">
        <f t="shared" si="5"/>
        <v>35</v>
      </c>
      <c r="K31" s="798">
        <f t="shared" si="5"/>
        <v>35</v>
      </c>
      <c r="L31" s="798">
        <f t="shared" si="5"/>
        <v>35</v>
      </c>
      <c r="M31" s="798">
        <f t="shared" si="5"/>
        <v>0</v>
      </c>
      <c r="N31" s="798">
        <f t="shared" si="5"/>
        <v>0</v>
      </c>
      <c r="O31" s="798">
        <f t="shared" si="5"/>
        <v>0</v>
      </c>
      <c r="P31" s="798">
        <f t="shared" si="5"/>
        <v>0</v>
      </c>
      <c r="Q31" s="798">
        <f t="shared" si="5"/>
        <v>0</v>
      </c>
      <c r="R31" s="798">
        <f t="shared" si="5"/>
        <v>0</v>
      </c>
      <c r="S31" s="798">
        <f t="shared" si="5"/>
        <v>0</v>
      </c>
      <c r="T31" s="798">
        <f t="shared" si="4"/>
        <v>0</v>
      </c>
      <c r="U31" s="797">
        <f t="shared" si="2"/>
        <v>210</v>
      </c>
      <c r="V31" s="799"/>
      <c r="W31" s="799"/>
      <c r="X31" s="799">
        <v>35</v>
      </c>
      <c r="Y31" s="799">
        <v>35</v>
      </c>
      <c r="Z31" s="799">
        <v>35</v>
      </c>
      <c r="AA31" s="799">
        <v>35</v>
      </c>
      <c r="AB31" s="799">
        <v>35</v>
      </c>
      <c r="AC31" s="799">
        <v>35</v>
      </c>
      <c r="AD31" s="799"/>
      <c r="AE31" s="799"/>
      <c r="AF31" s="799"/>
      <c r="AG31" s="799"/>
      <c r="AH31" s="799"/>
      <c r="AI31" s="800"/>
      <c r="AJ31" s="799"/>
      <c r="AK31" s="800"/>
      <c r="AL31" s="799">
        <f t="shared" si="3"/>
        <v>0</v>
      </c>
      <c r="AM31" s="798"/>
      <c r="AN31" s="798"/>
      <c r="AO31" s="798"/>
      <c r="AP31" s="798"/>
      <c r="AQ31" s="798"/>
      <c r="AR31" s="798"/>
      <c r="AS31" s="798"/>
      <c r="AT31" s="798"/>
      <c r="AU31" s="798"/>
      <c r="AV31" s="798"/>
      <c r="AW31" s="798"/>
      <c r="AX31" s="798"/>
      <c r="AY31" s="798"/>
      <c r="AZ31" s="798"/>
      <c r="BA31" s="801"/>
    </row>
    <row r="32" spans="1:53" ht="22.5" x14ac:dyDescent="0.25">
      <c r="A32" s="793">
        <v>25</v>
      </c>
      <c r="B32" s="795" t="s">
        <v>145</v>
      </c>
      <c r="C32" s="796" t="s">
        <v>545</v>
      </c>
      <c r="D32" s="797">
        <f t="shared" si="1"/>
        <v>250</v>
      </c>
      <c r="E32" s="798">
        <f t="shared" si="5"/>
        <v>25</v>
      </c>
      <c r="F32" s="798">
        <f t="shared" si="5"/>
        <v>25</v>
      </c>
      <c r="G32" s="798">
        <f t="shared" si="5"/>
        <v>25</v>
      </c>
      <c r="H32" s="798">
        <f t="shared" si="5"/>
        <v>25</v>
      </c>
      <c r="I32" s="798">
        <f t="shared" si="5"/>
        <v>25</v>
      </c>
      <c r="J32" s="798">
        <f t="shared" si="5"/>
        <v>25</v>
      </c>
      <c r="K32" s="798">
        <f t="shared" si="5"/>
        <v>25</v>
      </c>
      <c r="L32" s="798">
        <f t="shared" si="5"/>
        <v>25</v>
      </c>
      <c r="M32" s="798">
        <f t="shared" si="5"/>
        <v>25</v>
      </c>
      <c r="N32" s="798">
        <f t="shared" si="5"/>
        <v>25</v>
      </c>
      <c r="O32" s="798">
        <f t="shared" si="5"/>
        <v>0</v>
      </c>
      <c r="P32" s="798">
        <f t="shared" si="5"/>
        <v>0</v>
      </c>
      <c r="Q32" s="798">
        <f t="shared" si="5"/>
        <v>0</v>
      </c>
      <c r="R32" s="798">
        <f t="shared" si="5"/>
        <v>0</v>
      </c>
      <c r="S32" s="798">
        <f t="shared" si="5"/>
        <v>0</v>
      </c>
      <c r="T32" s="798">
        <f t="shared" si="4"/>
        <v>0</v>
      </c>
      <c r="U32" s="797">
        <f t="shared" si="2"/>
        <v>250</v>
      </c>
      <c r="V32" s="799">
        <v>25</v>
      </c>
      <c r="W32" s="799">
        <v>25</v>
      </c>
      <c r="X32" s="799">
        <v>25</v>
      </c>
      <c r="Y32" s="799">
        <v>25</v>
      </c>
      <c r="Z32" s="799">
        <v>25</v>
      </c>
      <c r="AA32" s="799">
        <v>25</v>
      </c>
      <c r="AB32" s="799">
        <v>25</v>
      </c>
      <c r="AC32" s="799">
        <v>25</v>
      </c>
      <c r="AD32" s="799">
        <v>25</v>
      </c>
      <c r="AE32" s="799">
        <v>25</v>
      </c>
      <c r="AF32" s="799"/>
      <c r="AG32" s="799"/>
      <c r="AH32" s="799"/>
      <c r="AI32" s="800"/>
      <c r="AJ32" s="799"/>
      <c r="AK32" s="800"/>
      <c r="AL32" s="799">
        <f t="shared" si="3"/>
        <v>0</v>
      </c>
      <c r="AM32" s="798"/>
      <c r="AN32" s="798"/>
      <c r="AO32" s="798"/>
      <c r="AP32" s="798"/>
      <c r="AQ32" s="798"/>
      <c r="AR32" s="798"/>
      <c r="AS32" s="798"/>
      <c r="AT32" s="798"/>
      <c r="AU32" s="798"/>
      <c r="AV32" s="798"/>
      <c r="AW32" s="798"/>
      <c r="AX32" s="798"/>
      <c r="AY32" s="798"/>
      <c r="AZ32" s="798"/>
      <c r="BA32" s="801"/>
    </row>
    <row r="33" spans="1:53" x14ac:dyDescent="0.25">
      <c r="A33" s="793">
        <v>26</v>
      </c>
      <c r="B33" s="795" t="s">
        <v>274</v>
      </c>
      <c r="C33" s="796" t="s">
        <v>275</v>
      </c>
      <c r="D33" s="797">
        <f t="shared" si="1"/>
        <v>960</v>
      </c>
      <c r="E33" s="798">
        <f t="shared" si="5"/>
        <v>60</v>
      </c>
      <c r="F33" s="798">
        <f t="shared" si="5"/>
        <v>60</v>
      </c>
      <c r="G33" s="798">
        <f t="shared" si="5"/>
        <v>60</v>
      </c>
      <c r="H33" s="798">
        <f t="shared" si="5"/>
        <v>60</v>
      </c>
      <c r="I33" s="798">
        <f t="shared" si="5"/>
        <v>360</v>
      </c>
      <c r="J33" s="798">
        <f t="shared" si="5"/>
        <v>360</v>
      </c>
      <c r="K33" s="798">
        <f t="shared" si="5"/>
        <v>0</v>
      </c>
      <c r="L33" s="798">
        <f t="shared" si="5"/>
        <v>0</v>
      </c>
      <c r="M33" s="798">
        <f t="shared" si="5"/>
        <v>0</v>
      </c>
      <c r="N33" s="798">
        <f t="shared" si="5"/>
        <v>0</v>
      </c>
      <c r="O33" s="798">
        <f t="shared" si="5"/>
        <v>0</v>
      </c>
      <c r="P33" s="798">
        <f t="shared" si="5"/>
        <v>0</v>
      </c>
      <c r="Q33" s="798">
        <f t="shared" si="5"/>
        <v>0</v>
      </c>
      <c r="R33" s="798">
        <f t="shared" si="5"/>
        <v>0</v>
      </c>
      <c r="S33" s="798">
        <f t="shared" si="5"/>
        <v>0</v>
      </c>
      <c r="T33" s="798">
        <f t="shared" si="4"/>
        <v>0</v>
      </c>
      <c r="U33" s="797">
        <f t="shared" si="2"/>
        <v>960</v>
      </c>
      <c r="V33" s="799">
        <v>60</v>
      </c>
      <c r="W33" s="799">
        <v>60</v>
      </c>
      <c r="X33" s="799">
        <v>60</v>
      </c>
      <c r="Y33" s="799">
        <v>60</v>
      </c>
      <c r="Z33" s="799">
        <v>360</v>
      </c>
      <c r="AA33" s="799">
        <v>360</v>
      </c>
      <c r="AB33" s="799"/>
      <c r="AC33" s="799"/>
      <c r="AD33" s="799"/>
      <c r="AE33" s="799"/>
      <c r="AF33" s="799"/>
      <c r="AG33" s="799"/>
      <c r="AH33" s="799"/>
      <c r="AI33" s="800"/>
      <c r="AJ33" s="799"/>
      <c r="AK33" s="800"/>
      <c r="AL33" s="799">
        <f t="shared" si="3"/>
        <v>0</v>
      </c>
      <c r="AM33" s="798"/>
      <c r="AN33" s="798"/>
      <c r="AO33" s="798"/>
      <c r="AP33" s="798"/>
      <c r="AQ33" s="798"/>
      <c r="AR33" s="798"/>
      <c r="AS33" s="798"/>
      <c r="AT33" s="798"/>
      <c r="AU33" s="798"/>
      <c r="AV33" s="798"/>
      <c r="AW33" s="798"/>
      <c r="AX33" s="798"/>
      <c r="AY33" s="798"/>
      <c r="AZ33" s="798"/>
      <c r="BA33" s="801"/>
    </row>
    <row r="34" spans="1:53" x14ac:dyDescent="0.25">
      <c r="A34" s="793">
        <v>27</v>
      </c>
      <c r="B34" s="795" t="s">
        <v>260</v>
      </c>
      <c r="C34" s="796" t="s">
        <v>546</v>
      </c>
      <c r="D34" s="797">
        <f t="shared" si="1"/>
        <v>400</v>
      </c>
      <c r="E34" s="798">
        <f t="shared" si="5"/>
        <v>0</v>
      </c>
      <c r="F34" s="798">
        <f t="shared" si="5"/>
        <v>0</v>
      </c>
      <c r="G34" s="798">
        <f t="shared" si="5"/>
        <v>0</v>
      </c>
      <c r="H34" s="798">
        <f t="shared" si="5"/>
        <v>0</v>
      </c>
      <c r="I34" s="798">
        <f t="shared" si="5"/>
        <v>0</v>
      </c>
      <c r="J34" s="798">
        <f t="shared" si="5"/>
        <v>0</v>
      </c>
      <c r="K34" s="798">
        <f t="shared" si="5"/>
        <v>0</v>
      </c>
      <c r="L34" s="798">
        <f t="shared" si="5"/>
        <v>0</v>
      </c>
      <c r="M34" s="798">
        <f t="shared" si="5"/>
        <v>0</v>
      </c>
      <c r="N34" s="798">
        <f t="shared" si="5"/>
        <v>0</v>
      </c>
      <c r="O34" s="798">
        <f t="shared" si="5"/>
        <v>0</v>
      </c>
      <c r="P34" s="798">
        <f t="shared" si="5"/>
        <v>0</v>
      </c>
      <c r="Q34" s="798">
        <f t="shared" si="5"/>
        <v>200</v>
      </c>
      <c r="R34" s="798">
        <f t="shared" si="5"/>
        <v>200</v>
      </c>
      <c r="S34" s="798">
        <f t="shared" si="5"/>
        <v>0</v>
      </c>
      <c r="T34" s="798">
        <f t="shared" si="4"/>
        <v>0</v>
      </c>
      <c r="U34" s="797">
        <f t="shared" si="2"/>
        <v>400</v>
      </c>
      <c r="V34" s="799"/>
      <c r="W34" s="799"/>
      <c r="X34" s="799"/>
      <c r="Y34" s="799"/>
      <c r="Z34" s="799"/>
      <c r="AA34" s="799"/>
      <c r="AB34" s="799"/>
      <c r="AC34" s="799"/>
      <c r="AD34" s="799"/>
      <c r="AE34" s="799"/>
      <c r="AF34" s="799"/>
      <c r="AG34" s="799"/>
      <c r="AH34" s="799">
        <v>200</v>
      </c>
      <c r="AI34" s="800">
        <v>200</v>
      </c>
      <c r="AJ34" s="799"/>
      <c r="AK34" s="800"/>
      <c r="AL34" s="799">
        <f t="shared" si="3"/>
        <v>0</v>
      </c>
      <c r="AM34" s="798"/>
      <c r="AN34" s="798"/>
      <c r="AO34" s="798"/>
      <c r="AP34" s="798"/>
      <c r="AQ34" s="798"/>
      <c r="AR34" s="798"/>
      <c r="AS34" s="798"/>
      <c r="AT34" s="798"/>
      <c r="AU34" s="798"/>
      <c r="AV34" s="798"/>
      <c r="AW34" s="798"/>
      <c r="AX34" s="798"/>
      <c r="AY34" s="798"/>
      <c r="AZ34" s="798"/>
      <c r="BA34" s="801"/>
    </row>
    <row r="35" spans="1:53" x14ac:dyDescent="0.25">
      <c r="A35" s="793">
        <v>28</v>
      </c>
      <c r="B35" s="795" t="s">
        <v>262</v>
      </c>
      <c r="C35" s="796" t="s">
        <v>263</v>
      </c>
      <c r="D35" s="797">
        <f t="shared" si="1"/>
        <v>150</v>
      </c>
      <c r="E35" s="798">
        <f t="shared" si="5"/>
        <v>0</v>
      </c>
      <c r="F35" s="798">
        <f t="shared" si="5"/>
        <v>0</v>
      </c>
      <c r="G35" s="798">
        <f t="shared" si="5"/>
        <v>0</v>
      </c>
      <c r="H35" s="798">
        <f t="shared" si="5"/>
        <v>0</v>
      </c>
      <c r="I35" s="798">
        <f t="shared" si="5"/>
        <v>0</v>
      </c>
      <c r="J35" s="798">
        <f t="shared" si="5"/>
        <v>0</v>
      </c>
      <c r="K35" s="798">
        <f t="shared" si="5"/>
        <v>0</v>
      </c>
      <c r="L35" s="798">
        <f t="shared" si="5"/>
        <v>0</v>
      </c>
      <c r="M35" s="798">
        <f t="shared" si="5"/>
        <v>0</v>
      </c>
      <c r="N35" s="798">
        <f t="shared" si="5"/>
        <v>0</v>
      </c>
      <c r="O35" s="798">
        <f t="shared" si="5"/>
        <v>0</v>
      </c>
      <c r="P35" s="798">
        <f t="shared" si="5"/>
        <v>150</v>
      </c>
      <c r="Q35" s="798">
        <f t="shared" si="5"/>
        <v>0</v>
      </c>
      <c r="R35" s="798">
        <f t="shared" si="5"/>
        <v>0</v>
      </c>
      <c r="S35" s="798">
        <f t="shared" si="5"/>
        <v>0</v>
      </c>
      <c r="T35" s="798">
        <f t="shared" si="4"/>
        <v>0</v>
      </c>
      <c r="U35" s="797">
        <f t="shared" si="2"/>
        <v>150</v>
      </c>
      <c r="V35" s="799"/>
      <c r="W35" s="799"/>
      <c r="X35" s="799"/>
      <c r="Y35" s="799"/>
      <c r="Z35" s="799"/>
      <c r="AA35" s="799"/>
      <c r="AB35" s="799"/>
      <c r="AC35" s="799"/>
      <c r="AD35" s="799"/>
      <c r="AE35" s="799"/>
      <c r="AF35" s="799"/>
      <c r="AG35" s="799">
        <v>150</v>
      </c>
      <c r="AH35" s="799"/>
      <c r="AI35" s="800"/>
      <c r="AJ35" s="799"/>
      <c r="AK35" s="800"/>
      <c r="AL35" s="799">
        <f t="shared" si="3"/>
        <v>0</v>
      </c>
      <c r="AM35" s="798"/>
      <c r="AN35" s="798"/>
      <c r="AO35" s="798"/>
      <c r="AP35" s="798"/>
      <c r="AQ35" s="798"/>
      <c r="AR35" s="798"/>
      <c r="AS35" s="798"/>
      <c r="AT35" s="798"/>
      <c r="AU35" s="798"/>
      <c r="AV35" s="798"/>
      <c r="AW35" s="798"/>
      <c r="AX35" s="798"/>
      <c r="AY35" s="798"/>
      <c r="AZ35" s="798"/>
      <c r="BA35" s="801"/>
    </row>
    <row r="36" spans="1:53" x14ac:dyDescent="0.25">
      <c r="A36" s="793">
        <v>29</v>
      </c>
      <c r="B36" s="795" t="s">
        <v>185</v>
      </c>
      <c r="C36" s="796" t="s">
        <v>547</v>
      </c>
      <c r="D36" s="797">
        <f t="shared" si="1"/>
        <v>466</v>
      </c>
      <c r="E36" s="798">
        <f t="shared" si="5"/>
        <v>119</v>
      </c>
      <c r="F36" s="798">
        <f t="shared" si="5"/>
        <v>119</v>
      </c>
      <c r="G36" s="798">
        <f t="shared" si="5"/>
        <v>10</v>
      </c>
      <c r="H36" s="798">
        <f t="shared" si="5"/>
        <v>10</v>
      </c>
      <c r="I36" s="798">
        <f t="shared" si="5"/>
        <v>0</v>
      </c>
      <c r="J36" s="798">
        <f t="shared" si="5"/>
        <v>0</v>
      </c>
      <c r="K36" s="798">
        <f t="shared" si="5"/>
        <v>25</v>
      </c>
      <c r="L36" s="798">
        <f t="shared" si="5"/>
        <v>25</v>
      </c>
      <c r="M36" s="798">
        <f t="shared" si="5"/>
        <v>79</v>
      </c>
      <c r="N36" s="798">
        <f t="shared" si="5"/>
        <v>79</v>
      </c>
      <c r="O36" s="798">
        <f t="shared" si="5"/>
        <v>0</v>
      </c>
      <c r="P36" s="798">
        <f t="shared" si="5"/>
        <v>0</v>
      </c>
      <c r="Q36" s="798">
        <f t="shared" si="5"/>
        <v>0</v>
      </c>
      <c r="R36" s="798">
        <f t="shared" si="5"/>
        <v>0</v>
      </c>
      <c r="S36" s="798">
        <f t="shared" si="5"/>
        <v>0</v>
      </c>
      <c r="T36" s="798">
        <f t="shared" si="4"/>
        <v>0</v>
      </c>
      <c r="U36" s="797">
        <f t="shared" si="2"/>
        <v>466</v>
      </c>
      <c r="V36" s="799">
        <v>119</v>
      </c>
      <c r="W36" s="799">
        <v>119</v>
      </c>
      <c r="X36" s="799">
        <v>10</v>
      </c>
      <c r="Y36" s="799">
        <v>10</v>
      </c>
      <c r="Z36" s="799"/>
      <c r="AA36" s="799"/>
      <c r="AB36" s="799">
        <v>25</v>
      </c>
      <c r="AC36" s="799">
        <v>25</v>
      </c>
      <c r="AD36" s="799">
        <v>79</v>
      </c>
      <c r="AE36" s="799">
        <v>79</v>
      </c>
      <c r="AF36" s="799"/>
      <c r="AG36" s="799"/>
      <c r="AH36" s="799"/>
      <c r="AI36" s="800"/>
      <c r="AJ36" s="799"/>
      <c r="AK36" s="800"/>
      <c r="AL36" s="799">
        <f t="shared" si="3"/>
        <v>0</v>
      </c>
      <c r="AM36" s="798"/>
      <c r="AN36" s="798"/>
      <c r="AO36" s="798"/>
      <c r="AP36" s="798"/>
      <c r="AQ36" s="798"/>
      <c r="AR36" s="798"/>
      <c r="AS36" s="798"/>
      <c r="AT36" s="798"/>
      <c r="AU36" s="798"/>
      <c r="AV36" s="798"/>
      <c r="AW36" s="798"/>
      <c r="AX36" s="798"/>
      <c r="AY36" s="798"/>
      <c r="AZ36" s="798"/>
      <c r="BA36" s="801"/>
    </row>
    <row r="37" spans="1:53" ht="19.5" customHeight="1" x14ac:dyDescent="0.25">
      <c r="A37" s="793">
        <v>30</v>
      </c>
      <c r="B37" s="795" t="s">
        <v>215</v>
      </c>
      <c r="C37" s="796" t="s">
        <v>216</v>
      </c>
      <c r="D37" s="797">
        <f t="shared" si="1"/>
        <v>250</v>
      </c>
      <c r="E37" s="798">
        <f t="shared" si="5"/>
        <v>25</v>
      </c>
      <c r="F37" s="798">
        <f t="shared" si="5"/>
        <v>25</v>
      </c>
      <c r="G37" s="798">
        <f t="shared" si="5"/>
        <v>25</v>
      </c>
      <c r="H37" s="798">
        <f t="shared" si="5"/>
        <v>25</v>
      </c>
      <c r="I37" s="798">
        <f t="shared" si="5"/>
        <v>25</v>
      </c>
      <c r="J37" s="798">
        <f t="shared" si="5"/>
        <v>25</v>
      </c>
      <c r="K37" s="798">
        <f t="shared" si="5"/>
        <v>25</v>
      </c>
      <c r="L37" s="798">
        <f t="shared" si="5"/>
        <v>25</v>
      </c>
      <c r="M37" s="798">
        <f t="shared" si="5"/>
        <v>25</v>
      </c>
      <c r="N37" s="798">
        <f t="shared" si="5"/>
        <v>25</v>
      </c>
      <c r="O37" s="798">
        <f t="shared" si="5"/>
        <v>0</v>
      </c>
      <c r="P37" s="798">
        <f t="shared" si="5"/>
        <v>0</v>
      </c>
      <c r="Q37" s="798">
        <f t="shared" si="5"/>
        <v>0</v>
      </c>
      <c r="R37" s="798">
        <f t="shared" si="5"/>
        <v>0</v>
      </c>
      <c r="S37" s="798">
        <f t="shared" si="5"/>
        <v>0</v>
      </c>
      <c r="T37" s="798">
        <f t="shared" si="4"/>
        <v>0</v>
      </c>
      <c r="U37" s="797">
        <f t="shared" si="2"/>
        <v>250</v>
      </c>
      <c r="V37" s="799">
        <v>25</v>
      </c>
      <c r="W37" s="799">
        <v>25</v>
      </c>
      <c r="X37" s="799">
        <v>25</v>
      </c>
      <c r="Y37" s="799">
        <v>25</v>
      </c>
      <c r="Z37" s="799">
        <v>25</v>
      </c>
      <c r="AA37" s="799">
        <v>25</v>
      </c>
      <c r="AB37" s="799">
        <v>25</v>
      </c>
      <c r="AC37" s="799">
        <v>25</v>
      </c>
      <c r="AD37" s="799">
        <v>25</v>
      </c>
      <c r="AE37" s="799">
        <v>25</v>
      </c>
      <c r="AF37" s="799"/>
      <c r="AG37" s="799"/>
      <c r="AH37" s="799"/>
      <c r="AI37" s="800"/>
      <c r="AJ37" s="799"/>
      <c r="AK37" s="800"/>
      <c r="AL37" s="799">
        <f t="shared" si="3"/>
        <v>0</v>
      </c>
      <c r="AM37" s="798"/>
      <c r="AN37" s="798"/>
      <c r="AO37" s="798"/>
      <c r="AP37" s="798"/>
      <c r="AQ37" s="798"/>
      <c r="AR37" s="798"/>
      <c r="AS37" s="798"/>
      <c r="AT37" s="798"/>
      <c r="AU37" s="798"/>
      <c r="AV37" s="798"/>
      <c r="AW37" s="798"/>
      <c r="AX37" s="798"/>
      <c r="AY37" s="798"/>
      <c r="AZ37" s="798"/>
      <c r="BA37" s="801"/>
    </row>
    <row r="38" spans="1:53" x14ac:dyDescent="0.25">
      <c r="A38" s="793">
        <v>31</v>
      </c>
      <c r="B38" s="796"/>
      <c r="C38" s="796" t="s">
        <v>548</v>
      </c>
      <c r="D38" s="797">
        <f t="shared" si="1"/>
        <v>93</v>
      </c>
      <c r="E38" s="798">
        <f t="shared" si="5"/>
        <v>13</v>
      </c>
      <c r="F38" s="798">
        <f t="shared" si="5"/>
        <v>10</v>
      </c>
      <c r="G38" s="798">
        <f t="shared" si="5"/>
        <v>18</v>
      </c>
      <c r="H38" s="798">
        <f t="shared" si="5"/>
        <v>10</v>
      </c>
      <c r="I38" s="798">
        <f t="shared" si="5"/>
        <v>20</v>
      </c>
      <c r="J38" s="798">
        <f t="shared" si="5"/>
        <v>10</v>
      </c>
      <c r="K38" s="798">
        <f t="shared" si="5"/>
        <v>0</v>
      </c>
      <c r="L38" s="798">
        <f t="shared" si="5"/>
        <v>0</v>
      </c>
      <c r="M38" s="798">
        <f t="shared" si="5"/>
        <v>8</v>
      </c>
      <c r="N38" s="798">
        <f t="shared" si="5"/>
        <v>4</v>
      </c>
      <c r="O38" s="798">
        <f t="shared" si="5"/>
        <v>0</v>
      </c>
      <c r="P38" s="798">
        <f t="shared" si="5"/>
        <v>0</v>
      </c>
      <c r="Q38" s="798">
        <f t="shared" si="5"/>
        <v>0</v>
      </c>
      <c r="R38" s="798">
        <f t="shared" si="5"/>
        <v>0</v>
      </c>
      <c r="S38" s="798">
        <f t="shared" si="5"/>
        <v>0</v>
      </c>
      <c r="T38" s="798">
        <f t="shared" si="4"/>
        <v>0</v>
      </c>
      <c r="U38" s="797">
        <f t="shared" si="2"/>
        <v>0</v>
      </c>
      <c r="V38" s="799"/>
      <c r="W38" s="799"/>
      <c r="X38" s="799"/>
      <c r="Y38" s="799"/>
      <c r="Z38" s="799"/>
      <c r="AA38" s="799"/>
      <c r="AB38" s="799"/>
      <c r="AC38" s="799"/>
      <c r="AD38" s="799"/>
      <c r="AE38" s="799"/>
      <c r="AF38" s="799"/>
      <c r="AG38" s="799"/>
      <c r="AH38" s="799"/>
      <c r="AI38" s="800"/>
      <c r="AJ38" s="799"/>
      <c r="AK38" s="800"/>
      <c r="AL38" s="799">
        <f t="shared" si="3"/>
        <v>93</v>
      </c>
      <c r="AM38" s="798">
        <f>20-7</f>
        <v>13</v>
      </c>
      <c r="AN38" s="798">
        <v>10</v>
      </c>
      <c r="AO38" s="798">
        <v>18</v>
      </c>
      <c r="AP38" s="798">
        <v>10</v>
      </c>
      <c r="AQ38" s="798">
        <v>20</v>
      </c>
      <c r="AR38" s="798">
        <v>10</v>
      </c>
      <c r="AS38" s="798">
        <v>0</v>
      </c>
      <c r="AT38" s="798">
        <v>0</v>
      </c>
      <c r="AU38" s="798">
        <v>8</v>
      </c>
      <c r="AV38" s="798">
        <v>4</v>
      </c>
      <c r="AW38" s="798">
        <v>0</v>
      </c>
      <c r="AX38" s="798">
        <v>0</v>
      </c>
      <c r="AY38" s="798">
        <v>0</v>
      </c>
      <c r="AZ38" s="798">
        <v>0</v>
      </c>
      <c r="BA38" s="801"/>
    </row>
    <row r="39" spans="1:53" ht="14.25" customHeight="1" x14ac:dyDescent="0.25">
      <c r="A39" s="802"/>
      <c r="B39" s="803"/>
      <c r="C39" s="803" t="s">
        <v>469</v>
      </c>
      <c r="D39" s="804">
        <f>SUM(D8:D38)</f>
        <v>11568</v>
      </c>
      <c r="E39" s="804">
        <f t="shared" ref="E39:AZ39" si="6">SUM(E8:E38)</f>
        <v>1944</v>
      </c>
      <c r="F39" s="804">
        <f t="shared" si="6"/>
        <v>613</v>
      </c>
      <c r="G39" s="804">
        <f t="shared" si="6"/>
        <v>1145</v>
      </c>
      <c r="H39" s="804">
        <f t="shared" si="6"/>
        <v>570</v>
      </c>
      <c r="I39" s="804">
        <f t="shared" si="6"/>
        <v>3266</v>
      </c>
      <c r="J39" s="804">
        <f t="shared" si="6"/>
        <v>1658</v>
      </c>
      <c r="K39" s="804">
        <f t="shared" si="6"/>
        <v>370</v>
      </c>
      <c r="L39" s="804">
        <f t="shared" si="6"/>
        <v>250</v>
      </c>
      <c r="M39" s="804">
        <f t="shared" si="6"/>
        <v>596</v>
      </c>
      <c r="N39" s="804">
        <f t="shared" si="6"/>
        <v>366</v>
      </c>
      <c r="O39" s="804">
        <f t="shared" si="6"/>
        <v>75</v>
      </c>
      <c r="P39" s="804">
        <f t="shared" si="6"/>
        <v>225</v>
      </c>
      <c r="Q39" s="804">
        <f t="shared" si="6"/>
        <v>210</v>
      </c>
      <c r="R39" s="804">
        <f t="shared" si="6"/>
        <v>205</v>
      </c>
      <c r="S39" s="804">
        <f t="shared" si="6"/>
        <v>60</v>
      </c>
      <c r="T39" s="804">
        <f t="shared" si="6"/>
        <v>15</v>
      </c>
      <c r="U39" s="804">
        <f t="shared" si="6"/>
        <v>8676</v>
      </c>
      <c r="V39" s="804">
        <f t="shared" si="6"/>
        <v>715</v>
      </c>
      <c r="W39" s="804">
        <f t="shared" si="6"/>
        <v>519</v>
      </c>
      <c r="X39" s="804">
        <f t="shared" si="6"/>
        <v>1022</v>
      </c>
      <c r="Y39" s="804">
        <f t="shared" si="6"/>
        <v>530</v>
      </c>
      <c r="Z39" s="804">
        <f t="shared" si="6"/>
        <v>2435</v>
      </c>
      <c r="AA39" s="804">
        <f t="shared" si="6"/>
        <v>1407</v>
      </c>
      <c r="AB39" s="804">
        <f t="shared" si="6"/>
        <v>370</v>
      </c>
      <c r="AC39" s="804">
        <f t="shared" si="6"/>
        <v>250</v>
      </c>
      <c r="AD39" s="804">
        <f t="shared" si="6"/>
        <v>335</v>
      </c>
      <c r="AE39" s="804">
        <f t="shared" si="6"/>
        <v>318</v>
      </c>
      <c r="AF39" s="804">
        <f t="shared" si="6"/>
        <v>75</v>
      </c>
      <c r="AG39" s="804">
        <f t="shared" si="6"/>
        <v>225</v>
      </c>
      <c r="AH39" s="804">
        <f t="shared" si="6"/>
        <v>200</v>
      </c>
      <c r="AI39" s="804">
        <f t="shared" si="6"/>
        <v>200</v>
      </c>
      <c r="AJ39" s="804">
        <f t="shared" si="6"/>
        <v>60</v>
      </c>
      <c r="AK39" s="804">
        <f t="shared" si="6"/>
        <v>15</v>
      </c>
      <c r="AL39" s="804">
        <f t="shared" si="6"/>
        <v>2892</v>
      </c>
      <c r="AM39" s="804">
        <f t="shared" si="6"/>
        <v>1229</v>
      </c>
      <c r="AN39" s="804">
        <f t="shared" si="6"/>
        <v>94</v>
      </c>
      <c r="AO39" s="804">
        <f t="shared" si="6"/>
        <v>123</v>
      </c>
      <c r="AP39" s="804">
        <f t="shared" si="6"/>
        <v>40</v>
      </c>
      <c r="AQ39" s="804">
        <f t="shared" si="6"/>
        <v>831</v>
      </c>
      <c r="AR39" s="804">
        <f t="shared" si="6"/>
        <v>251</v>
      </c>
      <c r="AS39" s="804">
        <f t="shared" si="6"/>
        <v>0</v>
      </c>
      <c r="AT39" s="804">
        <f t="shared" si="6"/>
        <v>0</v>
      </c>
      <c r="AU39" s="804">
        <f t="shared" si="6"/>
        <v>261</v>
      </c>
      <c r="AV39" s="804">
        <f t="shared" si="6"/>
        <v>48</v>
      </c>
      <c r="AW39" s="804">
        <f t="shared" si="6"/>
        <v>0</v>
      </c>
      <c r="AX39" s="804">
        <f t="shared" si="6"/>
        <v>0</v>
      </c>
      <c r="AY39" s="804">
        <f t="shared" si="6"/>
        <v>10</v>
      </c>
      <c r="AZ39" s="804">
        <f t="shared" si="6"/>
        <v>5</v>
      </c>
      <c r="BA39" s="801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98" customWidth="1"/>
    <col min="2" max="2" width="10.140625" style="98" customWidth="1"/>
    <col min="3" max="3" width="55.5703125" style="113" customWidth="1"/>
    <col min="4" max="4" width="16.28515625" style="98" customWidth="1"/>
    <col min="5" max="5" width="13.7109375" style="98" customWidth="1"/>
    <col min="6" max="16384" width="9.140625" style="98"/>
  </cols>
  <sheetData>
    <row r="1" spans="1:7" ht="36.75" customHeight="1" x14ac:dyDescent="0.25">
      <c r="A1" s="1148" t="s">
        <v>593</v>
      </c>
      <c r="B1" s="1149"/>
      <c r="C1" s="1149"/>
      <c r="D1" s="1149"/>
      <c r="E1" s="1149"/>
      <c r="F1" s="97"/>
      <c r="G1" s="97"/>
    </row>
    <row r="3" spans="1:7" ht="31.5" customHeight="1" x14ac:dyDescent="0.25">
      <c r="A3" s="99" t="s">
        <v>0</v>
      </c>
      <c r="B3" s="99" t="s">
        <v>302</v>
      </c>
      <c r="C3" s="99" t="s">
        <v>292</v>
      </c>
      <c r="D3" s="99" t="s">
        <v>594</v>
      </c>
      <c r="E3" s="99" t="s">
        <v>595</v>
      </c>
    </row>
    <row r="4" spans="1:7" x14ac:dyDescent="0.25">
      <c r="A4" s="100">
        <v>1</v>
      </c>
      <c r="B4" s="100">
        <v>2</v>
      </c>
      <c r="C4" s="100">
        <v>3</v>
      </c>
      <c r="D4" s="100">
        <v>4</v>
      </c>
      <c r="E4" s="100">
        <v>5</v>
      </c>
    </row>
    <row r="5" spans="1:7" ht="27" customHeight="1" x14ac:dyDescent="0.25">
      <c r="A5" s="1150" t="s">
        <v>596</v>
      </c>
      <c r="B5" s="1150"/>
      <c r="C5" s="1150"/>
      <c r="D5" s="101">
        <v>3881</v>
      </c>
      <c r="E5" s="102"/>
    </row>
    <row r="6" spans="1:7" ht="15" customHeight="1" x14ac:dyDescent="0.25">
      <c r="A6" s="103">
        <v>1</v>
      </c>
      <c r="B6" s="99">
        <v>29110</v>
      </c>
      <c r="C6" s="104" t="s">
        <v>247</v>
      </c>
      <c r="D6" s="105">
        <v>2440</v>
      </c>
      <c r="E6" s="103"/>
    </row>
    <row r="7" spans="1:7" ht="15" customHeight="1" x14ac:dyDescent="0.25">
      <c r="A7" s="103">
        <v>2</v>
      </c>
      <c r="B7" s="106">
        <v>20233</v>
      </c>
      <c r="C7" s="107" t="s">
        <v>249</v>
      </c>
      <c r="D7" s="105">
        <v>1441</v>
      </c>
      <c r="E7" s="103"/>
    </row>
    <row r="8" spans="1:7" ht="18" customHeight="1" x14ac:dyDescent="0.25">
      <c r="A8" s="1150" t="s">
        <v>597</v>
      </c>
      <c r="B8" s="1150"/>
      <c r="C8" s="1150"/>
      <c r="D8" s="100"/>
      <c r="E8" s="108">
        <v>363</v>
      </c>
    </row>
    <row r="9" spans="1:7" ht="16.5" customHeight="1" x14ac:dyDescent="0.25">
      <c r="A9" s="1151">
        <v>1</v>
      </c>
      <c r="B9" s="1152">
        <v>22134</v>
      </c>
      <c r="C9" s="107" t="s">
        <v>285</v>
      </c>
      <c r="D9" s="109"/>
      <c r="E9" s="103"/>
    </row>
    <row r="10" spans="1:7" ht="16.5" customHeight="1" x14ac:dyDescent="0.25">
      <c r="A10" s="1151"/>
      <c r="B10" s="1152"/>
      <c r="C10" s="110" t="s">
        <v>598</v>
      </c>
      <c r="D10" s="100"/>
      <c r="E10" s="100">
        <v>57</v>
      </c>
    </row>
    <row r="11" spans="1:7" ht="16.5" customHeight="1" x14ac:dyDescent="0.25">
      <c r="A11" s="1151"/>
      <c r="B11" s="1152"/>
      <c r="C11" s="110" t="s">
        <v>599</v>
      </c>
      <c r="D11" s="100"/>
      <c r="E11" s="100">
        <v>306</v>
      </c>
    </row>
    <row r="12" spans="1:7" x14ac:dyDescent="0.2">
      <c r="A12" s="111"/>
      <c r="B12" s="112"/>
      <c r="C12" s="112"/>
      <c r="D12" s="112"/>
      <c r="E12" s="112"/>
    </row>
    <row r="13" spans="1:7" x14ac:dyDescent="0.25">
      <c r="D13" s="114"/>
      <c r="E13" s="114"/>
    </row>
    <row r="14" spans="1:7" x14ac:dyDescent="0.25">
      <c r="D14" s="114"/>
      <c r="E14" s="114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0"/>
  <sheetViews>
    <sheetView zoomScale="90" zoomScaleNormal="90" workbookViewId="0">
      <pane xSplit="3" ySplit="6" topLeftCell="D129" activePane="bottomRight" state="frozen"/>
      <selection pane="topRight" activeCell="D1" sqref="D1"/>
      <selection pane="bottomLeft" activeCell="A7" sqref="A7"/>
      <selection pane="bottomRight" activeCell="D35" sqref="D35"/>
    </sheetView>
  </sheetViews>
  <sheetFormatPr defaultRowHeight="12.75" x14ac:dyDescent="0.2"/>
  <cols>
    <col min="1" max="1" width="6.7109375" style="14" customWidth="1"/>
    <col min="2" max="2" width="8.28515625" style="14" customWidth="1"/>
    <col min="3" max="3" width="30.140625" style="14" customWidth="1"/>
    <col min="4" max="4" width="16.140625" style="565" customWidth="1"/>
    <col min="5" max="5" width="14.7109375" style="565" customWidth="1"/>
    <col min="6" max="6" width="11.140625" style="565" customWidth="1"/>
    <col min="7" max="7" width="10.7109375" style="565" customWidth="1"/>
    <col min="8" max="8" width="11.5703125" style="565" customWidth="1"/>
    <col min="9" max="9" width="10.7109375" style="565" customWidth="1"/>
    <col min="10" max="16384" width="9.140625" style="14"/>
  </cols>
  <sheetData>
    <row r="1" spans="1:21" ht="15.75" x14ac:dyDescent="0.25">
      <c r="A1" s="1153" t="s">
        <v>600</v>
      </c>
      <c r="B1" s="1154"/>
      <c r="C1" s="1154"/>
      <c r="D1" s="1154"/>
      <c r="E1" s="1154"/>
      <c r="F1" s="1154"/>
      <c r="G1" s="1154"/>
      <c r="H1" s="1154"/>
      <c r="I1" s="1154"/>
    </row>
    <row r="2" spans="1:21" ht="13.5" thickBot="1" x14ac:dyDescent="0.25"/>
    <row r="3" spans="1:21" ht="44.25" customHeight="1" x14ac:dyDescent="0.2">
      <c r="A3" s="1155" t="s">
        <v>0</v>
      </c>
      <c r="B3" s="1157" t="s">
        <v>601</v>
      </c>
      <c r="C3" s="1159" t="s">
        <v>292</v>
      </c>
      <c r="D3" s="1161" t="s">
        <v>602</v>
      </c>
      <c r="E3" s="1162"/>
      <c r="F3" s="1163" t="s">
        <v>603</v>
      </c>
      <c r="G3" s="1164"/>
      <c r="H3" s="1163" t="s">
        <v>604</v>
      </c>
      <c r="I3" s="1164"/>
    </row>
    <row r="4" spans="1:21" ht="58.5" customHeight="1" x14ac:dyDescent="0.2">
      <c r="A4" s="1156"/>
      <c r="B4" s="1158"/>
      <c r="C4" s="1160"/>
      <c r="D4" s="566" t="s">
        <v>289</v>
      </c>
      <c r="E4" s="567" t="s">
        <v>605</v>
      </c>
      <c r="F4" s="568" t="s">
        <v>606</v>
      </c>
      <c r="G4" s="569" t="s">
        <v>607</v>
      </c>
      <c r="H4" s="570" t="s">
        <v>608</v>
      </c>
      <c r="I4" s="569" t="s">
        <v>609</v>
      </c>
    </row>
    <row r="5" spans="1:21" ht="13.5" thickBot="1" x14ac:dyDescent="0.25">
      <c r="A5" s="571">
        <v>1</v>
      </c>
      <c r="B5" s="572">
        <v>2</v>
      </c>
      <c r="C5" s="573">
        <v>3</v>
      </c>
      <c r="D5" s="574">
        <v>4</v>
      </c>
      <c r="E5" s="575">
        <v>5</v>
      </c>
      <c r="F5" s="576">
        <v>6</v>
      </c>
      <c r="G5" s="577">
        <v>7</v>
      </c>
      <c r="H5" s="578">
        <v>8</v>
      </c>
      <c r="I5" s="577">
        <v>9</v>
      </c>
    </row>
    <row r="6" spans="1:21" x14ac:dyDescent="0.2">
      <c r="A6" s="1165" t="s">
        <v>6</v>
      </c>
      <c r="B6" s="1166"/>
      <c r="C6" s="1167"/>
      <c r="D6" s="579">
        <f>SUM(D7:D9)</f>
        <v>301334</v>
      </c>
      <c r="E6" s="580">
        <f t="shared" ref="E6:I6" si="0">SUM(E7:E9)</f>
        <v>9338</v>
      </c>
      <c r="F6" s="581">
        <f t="shared" si="0"/>
        <v>1859</v>
      </c>
      <c r="G6" s="580">
        <f t="shared" si="0"/>
        <v>27880</v>
      </c>
      <c r="H6" s="581">
        <f t="shared" si="0"/>
        <v>676</v>
      </c>
      <c r="I6" s="580">
        <f t="shared" si="0"/>
        <v>7440</v>
      </c>
      <c r="P6" s="30"/>
      <c r="Q6" s="30"/>
      <c r="R6" s="30"/>
      <c r="S6" s="30"/>
      <c r="T6" s="30"/>
      <c r="U6" s="30"/>
    </row>
    <row r="7" spans="1:21" x14ac:dyDescent="0.2">
      <c r="A7" s="1168" t="s">
        <v>14</v>
      </c>
      <c r="B7" s="1169"/>
      <c r="C7" s="1170"/>
      <c r="D7" s="882"/>
      <c r="E7" s="582"/>
      <c r="F7" s="583"/>
      <c r="G7" s="584"/>
      <c r="H7" s="585"/>
      <c r="I7" s="584"/>
      <c r="P7" s="30"/>
      <c r="Q7" s="30"/>
      <c r="R7" s="30"/>
      <c r="S7" s="30"/>
      <c r="T7" s="30"/>
      <c r="U7" s="30"/>
    </row>
    <row r="8" spans="1:21" x14ac:dyDescent="0.2">
      <c r="A8" s="1168" t="s">
        <v>444</v>
      </c>
      <c r="B8" s="1169"/>
      <c r="C8" s="1170"/>
      <c r="D8" s="882"/>
      <c r="E8" s="582"/>
      <c r="F8" s="583"/>
      <c r="G8" s="584"/>
      <c r="H8" s="585"/>
      <c r="I8" s="584"/>
      <c r="P8" s="30"/>
      <c r="Q8" s="30"/>
      <c r="R8" s="30"/>
      <c r="S8" s="30"/>
      <c r="T8" s="30"/>
      <c r="U8" s="30"/>
    </row>
    <row r="9" spans="1:21" s="592" customFormat="1" x14ac:dyDescent="0.2">
      <c r="A9" s="1168" t="s">
        <v>15</v>
      </c>
      <c r="B9" s="1169"/>
      <c r="C9" s="1170"/>
      <c r="D9" s="586">
        <f>SUM(D10:D152)</f>
        <v>301334</v>
      </c>
      <c r="E9" s="587">
        <f t="shared" ref="E9:I9" si="1">SUM(E10:E152)</f>
        <v>9338</v>
      </c>
      <c r="F9" s="588">
        <f t="shared" si="1"/>
        <v>1859</v>
      </c>
      <c r="G9" s="589">
        <f t="shared" si="1"/>
        <v>27880</v>
      </c>
      <c r="H9" s="590">
        <f t="shared" si="1"/>
        <v>676</v>
      </c>
      <c r="I9" s="591">
        <f t="shared" si="1"/>
        <v>7440</v>
      </c>
      <c r="P9" s="30"/>
      <c r="Q9" s="30"/>
      <c r="R9" s="30"/>
      <c r="S9" s="30"/>
      <c r="T9" s="30"/>
      <c r="U9" s="30"/>
    </row>
    <row r="10" spans="1:21" x14ac:dyDescent="0.2">
      <c r="A10" s="878">
        <v>1</v>
      </c>
      <c r="B10" s="593" t="s">
        <v>16</v>
      </c>
      <c r="C10" s="594" t="s">
        <v>17</v>
      </c>
      <c r="D10" s="595">
        <v>1628</v>
      </c>
      <c r="E10" s="596"/>
      <c r="F10" s="597"/>
      <c r="G10" s="596"/>
      <c r="H10" s="598"/>
      <c r="I10" s="596"/>
      <c r="P10" s="30"/>
      <c r="Q10" s="30"/>
      <c r="R10" s="30"/>
      <c r="S10" s="30"/>
      <c r="T10" s="30"/>
      <c r="U10" s="30"/>
    </row>
    <row r="11" spans="1:21" x14ac:dyDescent="0.2">
      <c r="A11" s="878">
        <v>2</v>
      </c>
      <c r="B11" s="593" t="s">
        <v>18</v>
      </c>
      <c r="C11" s="594" t="s">
        <v>19</v>
      </c>
      <c r="D11" s="599">
        <v>2377</v>
      </c>
      <c r="E11" s="596"/>
      <c r="F11" s="597"/>
      <c r="G11" s="596"/>
      <c r="H11" s="598"/>
      <c r="I11" s="596"/>
      <c r="P11" s="30"/>
      <c r="Q11" s="30"/>
      <c r="R11" s="30"/>
      <c r="S11" s="30"/>
      <c r="T11" s="30"/>
      <c r="U11" s="30"/>
    </row>
    <row r="12" spans="1:21" x14ac:dyDescent="0.2">
      <c r="A12" s="878">
        <v>3</v>
      </c>
      <c r="B12" s="600" t="s">
        <v>20</v>
      </c>
      <c r="C12" s="601" t="s">
        <v>21</v>
      </c>
      <c r="D12" s="599">
        <f>6217-1500</f>
        <v>4717</v>
      </c>
      <c r="E12" s="596"/>
      <c r="F12" s="597"/>
      <c r="G12" s="596"/>
      <c r="H12" s="598"/>
      <c r="I12" s="596"/>
      <c r="P12" s="30"/>
      <c r="Q12" s="30"/>
      <c r="R12" s="30"/>
      <c r="S12" s="30"/>
      <c r="T12" s="30"/>
      <c r="U12" s="30"/>
    </row>
    <row r="13" spans="1:21" x14ac:dyDescent="0.2">
      <c r="A13" s="878">
        <v>4</v>
      </c>
      <c r="B13" s="593" t="s">
        <v>22</v>
      </c>
      <c r="C13" s="594" t="s">
        <v>23</v>
      </c>
      <c r="D13" s="599">
        <v>1855</v>
      </c>
      <c r="E13" s="596"/>
      <c r="F13" s="597"/>
      <c r="G13" s="596"/>
      <c r="H13" s="598"/>
      <c r="I13" s="596"/>
      <c r="P13" s="30"/>
      <c r="Q13" s="30"/>
      <c r="R13" s="30"/>
      <c r="S13" s="30"/>
      <c r="T13" s="30"/>
      <c r="U13" s="30"/>
    </row>
    <row r="14" spans="1:21" ht="12" customHeight="1" x14ac:dyDescent="0.2">
      <c r="A14" s="878">
        <v>5</v>
      </c>
      <c r="B14" s="593" t="s">
        <v>24</v>
      </c>
      <c r="C14" s="594" t="s">
        <v>25</v>
      </c>
      <c r="D14" s="599">
        <v>1507</v>
      </c>
      <c r="E14" s="596"/>
      <c r="F14" s="597"/>
      <c r="G14" s="596"/>
      <c r="H14" s="598"/>
      <c r="I14" s="596"/>
      <c r="P14" s="30"/>
      <c r="Q14" s="30"/>
      <c r="R14" s="30"/>
      <c r="S14" s="30"/>
      <c r="T14" s="30"/>
      <c r="U14" s="30"/>
    </row>
    <row r="15" spans="1:21" x14ac:dyDescent="0.2">
      <c r="A15" s="878">
        <v>6</v>
      </c>
      <c r="B15" s="600" t="s">
        <v>26</v>
      </c>
      <c r="C15" s="601" t="s">
        <v>27</v>
      </c>
      <c r="D15" s="599">
        <f>17142-6209</f>
        <v>10933</v>
      </c>
      <c r="E15" s="596">
        <v>81</v>
      </c>
      <c r="F15" s="597"/>
      <c r="G15" s="596"/>
      <c r="H15" s="602">
        <v>282</v>
      </c>
      <c r="I15" s="596">
        <v>3100</v>
      </c>
      <c r="P15" s="30"/>
      <c r="Q15" s="30"/>
      <c r="R15" s="30"/>
      <c r="S15" s="30"/>
      <c r="T15" s="30"/>
      <c r="U15" s="30"/>
    </row>
    <row r="16" spans="1:21" x14ac:dyDescent="0.2">
      <c r="A16" s="878">
        <v>7</v>
      </c>
      <c r="B16" s="883" t="s">
        <v>28</v>
      </c>
      <c r="C16" s="603" t="s">
        <v>29</v>
      </c>
      <c r="D16" s="599">
        <f>3329+1148</f>
        <v>4477</v>
      </c>
      <c r="E16" s="596"/>
      <c r="F16" s="597"/>
      <c r="G16" s="596"/>
      <c r="H16" s="602"/>
      <c r="I16" s="596"/>
      <c r="P16" s="30"/>
      <c r="Q16" s="30"/>
      <c r="R16" s="30"/>
      <c r="S16" s="30"/>
      <c r="T16" s="30"/>
      <c r="U16" s="30"/>
    </row>
    <row r="17" spans="1:21" x14ac:dyDescent="0.2">
      <c r="A17" s="878">
        <v>8</v>
      </c>
      <c r="B17" s="600" t="s">
        <v>30</v>
      </c>
      <c r="C17" s="601" t="s">
        <v>31</v>
      </c>
      <c r="D17" s="599">
        <v>1926</v>
      </c>
      <c r="E17" s="596"/>
      <c r="F17" s="597"/>
      <c r="G17" s="596"/>
      <c r="H17" s="602"/>
      <c r="I17" s="596"/>
      <c r="P17" s="30"/>
      <c r="Q17" s="30"/>
      <c r="R17" s="30"/>
      <c r="S17" s="30"/>
      <c r="T17" s="30"/>
      <c r="U17" s="30"/>
    </row>
    <row r="18" spans="1:21" x14ac:dyDescent="0.2">
      <c r="A18" s="878">
        <v>9</v>
      </c>
      <c r="B18" s="600" t="s">
        <v>32</v>
      </c>
      <c r="C18" s="601" t="s">
        <v>33</v>
      </c>
      <c r="D18" s="599">
        <v>2324</v>
      </c>
      <c r="E18" s="596"/>
      <c r="F18" s="597"/>
      <c r="G18" s="596"/>
      <c r="H18" s="602"/>
      <c r="I18" s="596"/>
      <c r="P18" s="30"/>
      <c r="Q18" s="30"/>
      <c r="R18" s="30"/>
      <c r="S18" s="30"/>
      <c r="T18" s="30"/>
      <c r="U18" s="30"/>
    </row>
    <row r="19" spans="1:21" x14ac:dyDescent="0.2">
      <c r="A19" s="878">
        <v>10</v>
      </c>
      <c r="B19" s="600" t="s">
        <v>34</v>
      </c>
      <c r="C19" s="601" t="s">
        <v>35</v>
      </c>
      <c r="D19" s="599">
        <f>1644+700</f>
        <v>2344</v>
      </c>
      <c r="E19" s="596"/>
      <c r="F19" s="597"/>
      <c r="G19" s="596"/>
      <c r="H19" s="602"/>
      <c r="I19" s="596"/>
      <c r="P19" s="30"/>
      <c r="Q19" s="30"/>
      <c r="R19" s="30"/>
      <c r="S19" s="30"/>
      <c r="T19" s="30"/>
      <c r="U19" s="30"/>
    </row>
    <row r="20" spans="1:21" x14ac:dyDescent="0.2">
      <c r="A20" s="878">
        <v>11</v>
      </c>
      <c r="B20" s="600" t="s">
        <v>36</v>
      </c>
      <c r="C20" s="601" t="s">
        <v>37</v>
      </c>
      <c r="D20" s="599">
        <v>1675</v>
      </c>
      <c r="E20" s="596"/>
      <c r="F20" s="597"/>
      <c r="G20" s="596"/>
      <c r="H20" s="602"/>
      <c r="I20" s="596"/>
      <c r="P20" s="30"/>
      <c r="Q20" s="30"/>
      <c r="R20" s="30"/>
      <c r="S20" s="30"/>
      <c r="T20" s="30"/>
      <c r="U20" s="30"/>
    </row>
    <row r="21" spans="1:21" x14ac:dyDescent="0.2">
      <c r="A21" s="878">
        <v>12</v>
      </c>
      <c r="B21" s="600" t="s">
        <v>38</v>
      </c>
      <c r="C21" s="601" t="s">
        <v>39</v>
      </c>
      <c r="D21" s="599">
        <f>2618+565</f>
        <v>3183</v>
      </c>
      <c r="E21" s="596"/>
      <c r="F21" s="597"/>
      <c r="G21" s="596"/>
      <c r="H21" s="602"/>
      <c r="I21" s="596"/>
      <c r="P21" s="30"/>
      <c r="Q21" s="30"/>
      <c r="R21" s="30"/>
      <c r="S21" s="30"/>
      <c r="T21" s="30"/>
      <c r="U21" s="30"/>
    </row>
    <row r="22" spans="1:21" x14ac:dyDescent="0.2">
      <c r="A22" s="878">
        <v>13</v>
      </c>
      <c r="B22" s="604" t="s">
        <v>40</v>
      </c>
      <c r="C22" s="605" t="s">
        <v>41</v>
      </c>
      <c r="D22" s="599"/>
      <c r="E22" s="596"/>
      <c r="F22" s="597"/>
      <c r="G22" s="596"/>
      <c r="H22" s="602"/>
      <c r="I22" s="596"/>
      <c r="P22" s="30"/>
      <c r="Q22" s="30"/>
      <c r="R22" s="30"/>
      <c r="S22" s="30"/>
      <c r="T22" s="30"/>
      <c r="U22" s="30"/>
    </row>
    <row r="23" spans="1:21" x14ac:dyDescent="0.2">
      <c r="A23" s="878">
        <v>14</v>
      </c>
      <c r="B23" s="606" t="s">
        <v>42</v>
      </c>
      <c r="C23" s="607" t="s">
        <v>43</v>
      </c>
      <c r="D23" s="599"/>
      <c r="E23" s="596"/>
      <c r="F23" s="597"/>
      <c r="G23" s="596"/>
      <c r="H23" s="602"/>
      <c r="I23" s="596"/>
      <c r="P23" s="30"/>
      <c r="Q23" s="30"/>
      <c r="R23" s="30"/>
      <c r="S23" s="30"/>
      <c r="T23" s="30"/>
      <c r="U23" s="30"/>
    </row>
    <row r="24" spans="1:21" x14ac:dyDescent="0.2">
      <c r="A24" s="878">
        <v>15</v>
      </c>
      <c r="B24" s="600" t="s">
        <v>44</v>
      </c>
      <c r="C24" s="601" t="s">
        <v>45</v>
      </c>
      <c r="D24" s="599">
        <v>2732</v>
      </c>
      <c r="E24" s="596"/>
      <c r="F24" s="597"/>
      <c r="G24" s="596"/>
      <c r="H24" s="602"/>
      <c r="I24" s="596"/>
      <c r="P24" s="30"/>
      <c r="Q24" s="30"/>
      <c r="R24" s="30"/>
      <c r="S24" s="30"/>
      <c r="T24" s="30"/>
      <c r="U24" s="30"/>
    </row>
    <row r="25" spans="1:21" x14ac:dyDescent="0.2">
      <c r="A25" s="878">
        <v>16</v>
      </c>
      <c r="B25" s="600" t="s">
        <v>46</v>
      </c>
      <c r="C25" s="601" t="s">
        <v>47</v>
      </c>
      <c r="D25" s="599">
        <v>4410</v>
      </c>
      <c r="E25" s="596"/>
      <c r="F25" s="597"/>
      <c r="G25" s="596"/>
      <c r="H25" s="602"/>
      <c r="I25" s="596"/>
      <c r="P25" s="30"/>
      <c r="Q25" s="30"/>
      <c r="R25" s="30"/>
      <c r="S25" s="30"/>
      <c r="T25" s="30"/>
      <c r="U25" s="30"/>
    </row>
    <row r="26" spans="1:21" x14ac:dyDescent="0.2">
      <c r="A26" s="878">
        <v>17</v>
      </c>
      <c r="B26" s="600" t="s">
        <v>48</v>
      </c>
      <c r="C26" s="601" t="s">
        <v>49</v>
      </c>
      <c r="D26" s="599">
        <v>4445</v>
      </c>
      <c r="E26" s="596"/>
      <c r="F26" s="597"/>
      <c r="G26" s="596"/>
      <c r="H26" s="602"/>
      <c r="I26" s="596"/>
      <c r="P26" s="30"/>
      <c r="Q26" s="30"/>
      <c r="R26" s="30"/>
      <c r="S26" s="30"/>
      <c r="T26" s="30"/>
      <c r="U26" s="30"/>
    </row>
    <row r="27" spans="1:21" x14ac:dyDescent="0.2">
      <c r="A27" s="878">
        <v>18</v>
      </c>
      <c r="B27" s="600" t="s">
        <v>50</v>
      </c>
      <c r="C27" s="601" t="s">
        <v>51</v>
      </c>
      <c r="D27" s="599">
        <v>10090</v>
      </c>
      <c r="E27" s="596">
        <v>81</v>
      </c>
      <c r="F27" s="597"/>
      <c r="G27" s="596"/>
      <c r="H27" s="602">
        <v>113</v>
      </c>
      <c r="I27" s="596">
        <v>1240</v>
      </c>
      <c r="P27" s="30"/>
      <c r="Q27" s="30"/>
      <c r="R27" s="30"/>
      <c r="S27" s="30"/>
      <c r="T27" s="30"/>
      <c r="U27" s="30"/>
    </row>
    <row r="28" spans="1:21" x14ac:dyDescent="0.2">
      <c r="A28" s="878">
        <v>19</v>
      </c>
      <c r="B28" s="593" t="s">
        <v>52</v>
      </c>
      <c r="C28" s="594" t="s">
        <v>53</v>
      </c>
      <c r="D28" s="599">
        <v>1051</v>
      </c>
      <c r="E28" s="596"/>
      <c r="F28" s="597"/>
      <c r="G28" s="596"/>
      <c r="H28" s="602"/>
      <c r="I28" s="596"/>
      <c r="P28" s="30"/>
      <c r="Q28" s="30"/>
      <c r="R28" s="30"/>
      <c r="S28" s="30"/>
      <c r="T28" s="30"/>
      <c r="U28" s="30"/>
    </row>
    <row r="29" spans="1:21" x14ac:dyDescent="0.2">
      <c r="A29" s="878">
        <v>20</v>
      </c>
      <c r="B29" s="593" t="s">
        <v>54</v>
      </c>
      <c r="C29" s="594" t="s">
        <v>55</v>
      </c>
      <c r="D29" s="599">
        <v>1970</v>
      </c>
      <c r="E29" s="596"/>
      <c r="F29" s="597"/>
      <c r="G29" s="596"/>
      <c r="H29" s="602"/>
      <c r="I29" s="596"/>
      <c r="P29" s="30"/>
      <c r="Q29" s="30"/>
      <c r="R29" s="30"/>
      <c r="S29" s="30"/>
      <c r="T29" s="30"/>
      <c r="U29" s="30"/>
    </row>
    <row r="30" spans="1:21" x14ac:dyDescent="0.2">
      <c r="A30" s="878">
        <v>21</v>
      </c>
      <c r="B30" s="593" t="s">
        <v>56</v>
      </c>
      <c r="C30" s="594" t="s">
        <v>57</v>
      </c>
      <c r="D30" s="599">
        <v>6944</v>
      </c>
      <c r="E30" s="596"/>
      <c r="F30" s="597"/>
      <c r="G30" s="596"/>
      <c r="H30" s="602">
        <v>28</v>
      </c>
      <c r="I30" s="596">
        <v>310</v>
      </c>
      <c r="P30" s="30"/>
      <c r="Q30" s="30"/>
      <c r="R30" s="30"/>
      <c r="S30" s="30"/>
      <c r="T30" s="30"/>
      <c r="U30" s="30"/>
    </row>
    <row r="31" spans="1:21" x14ac:dyDescent="0.2">
      <c r="A31" s="878">
        <v>22</v>
      </c>
      <c r="B31" s="593" t="s">
        <v>58</v>
      </c>
      <c r="C31" s="594" t="s">
        <v>59</v>
      </c>
      <c r="D31" s="599">
        <f>2892+1500</f>
        <v>4392</v>
      </c>
      <c r="E31" s="596">
        <v>81</v>
      </c>
      <c r="F31" s="597"/>
      <c r="G31" s="596"/>
      <c r="H31" s="602"/>
      <c r="I31" s="596"/>
      <c r="P31" s="30"/>
      <c r="Q31" s="30"/>
      <c r="R31" s="30"/>
      <c r="S31" s="30"/>
      <c r="T31" s="30"/>
      <c r="U31" s="30"/>
    </row>
    <row r="32" spans="1:21" x14ac:dyDescent="0.2">
      <c r="A32" s="878">
        <v>23</v>
      </c>
      <c r="B32" s="600" t="s">
        <v>60</v>
      </c>
      <c r="C32" s="601" t="s">
        <v>61</v>
      </c>
      <c r="D32" s="599"/>
      <c r="E32" s="596"/>
      <c r="F32" s="597"/>
      <c r="G32" s="596"/>
      <c r="H32" s="598"/>
      <c r="I32" s="596"/>
      <c r="P32" s="30"/>
      <c r="Q32" s="30"/>
      <c r="R32" s="30"/>
      <c r="S32" s="30"/>
      <c r="T32" s="30"/>
      <c r="U32" s="30"/>
    </row>
    <row r="33" spans="1:21" x14ac:dyDescent="0.2">
      <c r="A33" s="878">
        <v>24</v>
      </c>
      <c r="B33" s="600" t="s">
        <v>62</v>
      </c>
      <c r="C33" s="601" t="s">
        <v>63</v>
      </c>
      <c r="D33" s="599"/>
      <c r="E33" s="596"/>
      <c r="F33" s="597"/>
      <c r="G33" s="596"/>
      <c r="H33" s="598"/>
      <c r="I33" s="596"/>
      <c r="P33" s="30"/>
      <c r="Q33" s="30"/>
      <c r="R33" s="30"/>
      <c r="S33" s="30"/>
      <c r="T33" s="30"/>
      <c r="U33" s="30"/>
    </row>
    <row r="34" spans="1:21" ht="25.5" x14ac:dyDescent="0.2">
      <c r="A34" s="878">
        <v>25</v>
      </c>
      <c r="B34" s="600" t="s">
        <v>64</v>
      </c>
      <c r="C34" s="601" t="s">
        <v>65</v>
      </c>
      <c r="D34" s="599"/>
      <c r="E34" s="596"/>
      <c r="F34" s="597"/>
      <c r="G34" s="596"/>
      <c r="H34" s="598"/>
      <c r="I34" s="596"/>
      <c r="P34" s="30"/>
      <c r="Q34" s="30"/>
      <c r="R34" s="30"/>
      <c r="S34" s="30"/>
      <c r="T34" s="30"/>
      <c r="U34" s="30"/>
    </row>
    <row r="35" spans="1:21" x14ac:dyDescent="0.2">
      <c r="A35" s="878">
        <v>26</v>
      </c>
      <c r="B35" s="593" t="s">
        <v>66</v>
      </c>
      <c r="C35" s="603" t="s">
        <v>67</v>
      </c>
      <c r="D35" s="599">
        <f>0+3800+293</f>
        <v>4093</v>
      </c>
      <c r="E35" s="596"/>
      <c r="F35" s="597"/>
      <c r="G35" s="596"/>
      <c r="H35" s="598"/>
      <c r="I35" s="596"/>
      <c r="P35" s="30"/>
      <c r="Q35" s="30"/>
      <c r="R35" s="30"/>
      <c r="S35" s="30"/>
      <c r="T35" s="30"/>
      <c r="U35" s="30"/>
    </row>
    <row r="36" spans="1:21" x14ac:dyDescent="0.2">
      <c r="A36" s="878">
        <v>27</v>
      </c>
      <c r="B36" s="600" t="s">
        <v>68</v>
      </c>
      <c r="C36" s="601" t="s">
        <v>69</v>
      </c>
      <c r="D36" s="599">
        <f>6514-3800-293</f>
        <v>2421</v>
      </c>
      <c r="E36" s="596"/>
      <c r="F36" s="597"/>
      <c r="G36" s="596"/>
      <c r="H36" s="598"/>
      <c r="I36" s="596"/>
      <c r="P36" s="30"/>
      <c r="Q36" s="30"/>
      <c r="R36" s="30"/>
      <c r="S36" s="30"/>
      <c r="T36" s="30"/>
      <c r="U36" s="30"/>
    </row>
    <row r="37" spans="1:21" x14ac:dyDescent="0.2">
      <c r="A37" s="878">
        <v>28</v>
      </c>
      <c r="B37" s="600" t="s">
        <v>70</v>
      </c>
      <c r="C37" s="601" t="s">
        <v>71</v>
      </c>
      <c r="D37" s="599"/>
      <c r="E37" s="596"/>
      <c r="F37" s="597"/>
      <c r="G37" s="596"/>
      <c r="H37" s="598"/>
      <c r="I37" s="596"/>
      <c r="P37" s="30"/>
      <c r="Q37" s="30"/>
      <c r="R37" s="30"/>
      <c r="S37" s="30"/>
      <c r="T37" s="30"/>
      <c r="U37" s="30"/>
    </row>
    <row r="38" spans="1:21" x14ac:dyDescent="0.2">
      <c r="A38" s="878">
        <v>29</v>
      </c>
      <c r="B38" s="593" t="s">
        <v>72</v>
      </c>
      <c r="C38" s="594" t="s">
        <v>73</v>
      </c>
      <c r="D38" s="599"/>
      <c r="E38" s="596"/>
      <c r="F38" s="597"/>
      <c r="G38" s="596"/>
      <c r="H38" s="598"/>
      <c r="I38" s="596"/>
      <c r="P38" s="30"/>
      <c r="Q38" s="30"/>
      <c r="R38" s="30"/>
      <c r="S38" s="30"/>
      <c r="T38" s="30"/>
      <c r="U38" s="30"/>
    </row>
    <row r="39" spans="1:21" ht="38.25" x14ac:dyDescent="0.2">
      <c r="A39" s="878">
        <v>30</v>
      </c>
      <c r="B39" s="593" t="s">
        <v>74</v>
      </c>
      <c r="C39" s="603" t="s">
        <v>377</v>
      </c>
      <c r="D39" s="599"/>
      <c r="E39" s="596"/>
      <c r="F39" s="597"/>
      <c r="G39" s="596"/>
      <c r="H39" s="598"/>
      <c r="I39" s="596"/>
      <c r="P39" s="30"/>
      <c r="Q39" s="30"/>
      <c r="R39" s="30"/>
      <c r="S39" s="30"/>
      <c r="T39" s="30"/>
      <c r="U39" s="30"/>
    </row>
    <row r="40" spans="1:21" ht="25.5" x14ac:dyDescent="0.2">
      <c r="A40" s="878">
        <v>31</v>
      </c>
      <c r="B40" s="593" t="s">
        <v>75</v>
      </c>
      <c r="C40" s="594" t="s">
        <v>76</v>
      </c>
      <c r="D40" s="599"/>
      <c r="E40" s="596"/>
      <c r="F40" s="597"/>
      <c r="G40" s="596"/>
      <c r="H40" s="598"/>
      <c r="I40" s="596"/>
      <c r="P40" s="30"/>
      <c r="Q40" s="30"/>
      <c r="R40" s="30"/>
      <c r="S40" s="30"/>
      <c r="T40" s="30"/>
      <c r="U40" s="30"/>
    </row>
    <row r="41" spans="1:21" x14ac:dyDescent="0.2">
      <c r="A41" s="878">
        <v>32</v>
      </c>
      <c r="B41" s="600" t="s">
        <v>77</v>
      </c>
      <c r="C41" s="601" t="s">
        <v>78</v>
      </c>
      <c r="D41" s="599">
        <f>5382+943</f>
        <v>6325</v>
      </c>
      <c r="E41" s="596">
        <v>81</v>
      </c>
      <c r="F41" s="597"/>
      <c r="G41" s="596"/>
      <c r="H41" s="598"/>
      <c r="I41" s="596"/>
      <c r="P41" s="30"/>
      <c r="Q41" s="30"/>
      <c r="R41" s="30"/>
      <c r="S41" s="30"/>
      <c r="T41" s="30"/>
      <c r="U41" s="30"/>
    </row>
    <row r="42" spans="1:21" x14ac:dyDescent="0.2">
      <c r="A42" s="878">
        <v>33</v>
      </c>
      <c r="B42" s="593" t="s">
        <v>79</v>
      </c>
      <c r="C42" s="594" t="s">
        <v>80</v>
      </c>
      <c r="D42" s="599"/>
      <c r="E42" s="596"/>
      <c r="F42" s="597"/>
      <c r="G42" s="596"/>
      <c r="H42" s="598"/>
      <c r="I42" s="596"/>
      <c r="P42" s="30"/>
      <c r="Q42" s="30"/>
      <c r="R42" s="30"/>
      <c r="S42" s="30"/>
      <c r="T42" s="30"/>
      <c r="U42" s="30"/>
    </row>
    <row r="43" spans="1:21" x14ac:dyDescent="0.2">
      <c r="A43" s="878">
        <v>34</v>
      </c>
      <c r="B43" s="883" t="s">
        <v>81</v>
      </c>
      <c r="C43" s="603" t="s">
        <v>82</v>
      </c>
      <c r="D43" s="599">
        <v>2843</v>
      </c>
      <c r="E43" s="596"/>
      <c r="F43" s="597"/>
      <c r="G43" s="596"/>
      <c r="H43" s="598"/>
      <c r="I43" s="596"/>
      <c r="P43" s="30"/>
      <c r="Q43" s="30"/>
      <c r="R43" s="30"/>
      <c r="S43" s="30"/>
      <c r="T43" s="30"/>
      <c r="U43" s="30"/>
    </row>
    <row r="44" spans="1:21" x14ac:dyDescent="0.2">
      <c r="A44" s="878">
        <v>35</v>
      </c>
      <c r="B44" s="593" t="s">
        <v>83</v>
      </c>
      <c r="C44" s="594" t="s">
        <v>84</v>
      </c>
      <c r="D44" s="599">
        <v>7988</v>
      </c>
      <c r="E44" s="596"/>
      <c r="F44" s="597"/>
      <c r="G44" s="596"/>
      <c r="H44" s="598"/>
      <c r="I44" s="596"/>
      <c r="P44" s="30"/>
      <c r="Q44" s="30"/>
      <c r="R44" s="30"/>
      <c r="S44" s="30"/>
      <c r="T44" s="30"/>
      <c r="U44" s="30"/>
    </row>
    <row r="45" spans="1:21" x14ac:dyDescent="0.2">
      <c r="A45" s="878">
        <v>36</v>
      </c>
      <c r="B45" s="593" t="s">
        <v>85</v>
      </c>
      <c r="C45" s="594" t="s">
        <v>86</v>
      </c>
      <c r="D45" s="599">
        <v>2039</v>
      </c>
      <c r="E45" s="596"/>
      <c r="F45" s="597"/>
      <c r="G45" s="596"/>
      <c r="H45" s="598"/>
      <c r="I45" s="596"/>
      <c r="P45" s="30"/>
      <c r="Q45" s="30"/>
      <c r="R45" s="30"/>
      <c r="S45" s="30"/>
      <c r="T45" s="30"/>
      <c r="U45" s="30"/>
    </row>
    <row r="46" spans="1:21" x14ac:dyDescent="0.2">
      <c r="A46" s="878">
        <v>37</v>
      </c>
      <c r="B46" s="600" t="s">
        <v>87</v>
      </c>
      <c r="C46" s="601" t="s">
        <v>88</v>
      </c>
      <c r="D46" s="599">
        <f>5677+292</f>
        <v>5969</v>
      </c>
      <c r="E46" s="596"/>
      <c r="F46" s="597"/>
      <c r="G46" s="596"/>
      <c r="H46" s="598"/>
      <c r="I46" s="596"/>
      <c r="P46" s="30"/>
      <c r="Q46" s="30"/>
      <c r="R46" s="30"/>
      <c r="S46" s="30"/>
      <c r="T46" s="30"/>
      <c r="U46" s="30"/>
    </row>
    <row r="47" spans="1:21" x14ac:dyDescent="0.2">
      <c r="A47" s="878">
        <v>38</v>
      </c>
      <c r="B47" s="593" t="s">
        <v>89</v>
      </c>
      <c r="C47" s="594" t="s">
        <v>90</v>
      </c>
      <c r="D47" s="599">
        <v>2496</v>
      </c>
      <c r="E47" s="596"/>
      <c r="F47" s="597"/>
      <c r="G47" s="596"/>
      <c r="H47" s="598"/>
      <c r="I47" s="596"/>
      <c r="P47" s="30"/>
      <c r="Q47" s="30"/>
      <c r="R47" s="30"/>
      <c r="S47" s="30"/>
      <c r="T47" s="30"/>
      <c r="U47" s="30"/>
    </row>
    <row r="48" spans="1:21" x14ac:dyDescent="0.2">
      <c r="A48" s="878">
        <v>39</v>
      </c>
      <c r="B48" s="593" t="s">
        <v>91</v>
      </c>
      <c r="C48" s="594" t="s">
        <v>92</v>
      </c>
      <c r="D48" s="599">
        <v>1268</v>
      </c>
      <c r="E48" s="596"/>
      <c r="F48" s="597"/>
      <c r="G48" s="596"/>
      <c r="H48" s="598"/>
      <c r="I48" s="596"/>
      <c r="P48" s="30"/>
      <c r="Q48" s="30"/>
      <c r="R48" s="30"/>
      <c r="S48" s="30"/>
      <c r="T48" s="30"/>
      <c r="U48" s="30"/>
    </row>
    <row r="49" spans="1:21" x14ac:dyDescent="0.2">
      <c r="A49" s="878">
        <v>40</v>
      </c>
      <c r="B49" s="608" t="s">
        <v>93</v>
      </c>
      <c r="C49" s="609" t="s">
        <v>94</v>
      </c>
      <c r="D49" s="599">
        <v>2226</v>
      </c>
      <c r="E49" s="596"/>
      <c r="F49" s="597"/>
      <c r="G49" s="596"/>
      <c r="H49" s="598"/>
      <c r="I49" s="596"/>
      <c r="P49" s="30"/>
      <c r="Q49" s="30"/>
      <c r="R49" s="30"/>
      <c r="S49" s="30"/>
      <c r="T49" s="30"/>
      <c r="U49" s="30"/>
    </row>
    <row r="50" spans="1:21" x14ac:dyDescent="0.2">
      <c r="A50" s="878">
        <v>41</v>
      </c>
      <c r="B50" s="593" t="s">
        <v>95</v>
      </c>
      <c r="C50" s="594" t="s">
        <v>96</v>
      </c>
      <c r="D50" s="599">
        <v>2042</v>
      </c>
      <c r="E50" s="596"/>
      <c r="F50" s="597"/>
      <c r="G50" s="596"/>
      <c r="H50" s="598"/>
      <c r="I50" s="596"/>
      <c r="P50" s="30"/>
      <c r="Q50" s="30"/>
      <c r="R50" s="30"/>
      <c r="S50" s="30"/>
      <c r="T50" s="30"/>
      <c r="U50" s="30"/>
    </row>
    <row r="51" spans="1:21" x14ac:dyDescent="0.2">
      <c r="A51" s="878">
        <v>42</v>
      </c>
      <c r="B51" s="883" t="s">
        <v>97</v>
      </c>
      <c r="C51" s="603" t="s">
        <v>98</v>
      </c>
      <c r="D51" s="599"/>
      <c r="E51" s="596"/>
      <c r="F51" s="597"/>
      <c r="G51" s="596"/>
      <c r="H51" s="598"/>
      <c r="I51" s="596"/>
      <c r="P51" s="30"/>
      <c r="Q51" s="30"/>
      <c r="R51" s="30"/>
      <c r="S51" s="30"/>
      <c r="T51" s="30"/>
      <c r="U51" s="30"/>
    </row>
    <row r="52" spans="1:21" x14ac:dyDescent="0.2">
      <c r="A52" s="878">
        <v>43</v>
      </c>
      <c r="B52" s="600" t="s">
        <v>99</v>
      </c>
      <c r="C52" s="601" t="s">
        <v>100</v>
      </c>
      <c r="D52" s="599">
        <v>8474</v>
      </c>
      <c r="E52" s="596">
        <v>81</v>
      </c>
      <c r="F52" s="597"/>
      <c r="G52" s="596"/>
      <c r="H52" s="598"/>
      <c r="I52" s="596"/>
      <c r="P52" s="30"/>
      <c r="Q52" s="30"/>
      <c r="R52" s="30"/>
      <c r="S52" s="30"/>
      <c r="T52" s="30"/>
      <c r="U52" s="30"/>
    </row>
    <row r="53" spans="1:21" x14ac:dyDescent="0.2">
      <c r="A53" s="878">
        <v>44</v>
      </c>
      <c r="B53" s="593" t="s">
        <v>101</v>
      </c>
      <c r="C53" s="594" t="s">
        <v>102</v>
      </c>
      <c r="D53" s="599">
        <v>2678</v>
      </c>
      <c r="E53" s="596"/>
      <c r="F53" s="597"/>
      <c r="G53" s="596"/>
      <c r="H53" s="598"/>
      <c r="I53" s="596"/>
      <c r="P53" s="30"/>
      <c r="Q53" s="30"/>
      <c r="R53" s="30"/>
      <c r="S53" s="30"/>
      <c r="T53" s="30"/>
      <c r="U53" s="30"/>
    </row>
    <row r="54" spans="1:21" ht="11.25" customHeight="1" x14ac:dyDescent="0.2">
      <c r="A54" s="878">
        <v>45</v>
      </c>
      <c r="B54" s="600" t="s">
        <v>103</v>
      </c>
      <c r="C54" s="601" t="s">
        <v>104</v>
      </c>
      <c r="D54" s="599">
        <v>7412</v>
      </c>
      <c r="E54" s="596"/>
      <c r="F54" s="597"/>
      <c r="G54" s="596"/>
      <c r="H54" s="602">
        <v>56</v>
      </c>
      <c r="I54" s="596">
        <v>620</v>
      </c>
      <c r="P54" s="30"/>
      <c r="Q54" s="30"/>
      <c r="R54" s="30"/>
      <c r="S54" s="30"/>
      <c r="T54" s="30"/>
      <c r="U54" s="30"/>
    </row>
    <row r="55" spans="1:21" x14ac:dyDescent="0.2">
      <c r="A55" s="878">
        <v>46</v>
      </c>
      <c r="B55" s="593" t="s">
        <v>105</v>
      </c>
      <c r="C55" s="594" t="s">
        <v>106</v>
      </c>
      <c r="D55" s="599">
        <v>2271</v>
      </c>
      <c r="E55" s="596"/>
      <c r="F55" s="597"/>
      <c r="G55" s="596"/>
      <c r="H55" s="598"/>
      <c r="I55" s="596"/>
      <c r="P55" s="30"/>
      <c r="Q55" s="30"/>
      <c r="R55" s="30"/>
      <c r="S55" s="30"/>
      <c r="T55" s="30"/>
      <c r="U55" s="30"/>
    </row>
    <row r="56" spans="1:21" x14ac:dyDescent="0.2">
      <c r="A56" s="878">
        <v>47</v>
      </c>
      <c r="B56" s="593" t="s">
        <v>107</v>
      </c>
      <c r="C56" s="594" t="s">
        <v>108</v>
      </c>
      <c r="D56" s="599">
        <v>2491</v>
      </c>
      <c r="E56" s="596"/>
      <c r="F56" s="597"/>
      <c r="G56" s="596"/>
      <c r="H56" s="598"/>
      <c r="I56" s="596"/>
      <c r="P56" s="30"/>
      <c r="Q56" s="30"/>
      <c r="R56" s="30"/>
      <c r="S56" s="30"/>
      <c r="T56" s="30"/>
      <c r="U56" s="30"/>
    </row>
    <row r="57" spans="1:21" x14ac:dyDescent="0.2">
      <c r="A57" s="878">
        <v>48</v>
      </c>
      <c r="B57" s="600" t="s">
        <v>109</v>
      </c>
      <c r="C57" s="601" t="s">
        <v>110</v>
      </c>
      <c r="D57" s="599">
        <v>4282</v>
      </c>
      <c r="E57" s="596"/>
      <c r="F57" s="597"/>
      <c r="G57" s="596"/>
      <c r="H57" s="598"/>
      <c r="I57" s="596"/>
      <c r="P57" s="30"/>
      <c r="Q57" s="30"/>
      <c r="R57" s="30"/>
      <c r="S57" s="30"/>
      <c r="T57" s="30"/>
      <c r="U57" s="30"/>
    </row>
    <row r="58" spans="1:21" x14ac:dyDescent="0.2">
      <c r="A58" s="878">
        <v>49</v>
      </c>
      <c r="B58" s="600" t="s">
        <v>111</v>
      </c>
      <c r="C58" s="601" t="s">
        <v>112</v>
      </c>
      <c r="D58" s="599">
        <v>1260</v>
      </c>
      <c r="E58" s="596"/>
      <c r="F58" s="597"/>
      <c r="G58" s="596"/>
      <c r="H58" s="598"/>
      <c r="I58" s="596"/>
      <c r="P58" s="30"/>
      <c r="Q58" s="30"/>
      <c r="R58" s="30"/>
      <c r="S58" s="30"/>
      <c r="T58" s="30"/>
      <c r="U58" s="30"/>
    </row>
    <row r="59" spans="1:21" x14ac:dyDescent="0.2">
      <c r="A59" s="878">
        <v>50</v>
      </c>
      <c r="B59" s="593" t="s">
        <v>113</v>
      </c>
      <c r="C59" s="594" t="s">
        <v>114</v>
      </c>
      <c r="D59" s="599">
        <v>2499</v>
      </c>
      <c r="E59" s="596"/>
      <c r="F59" s="597"/>
      <c r="G59" s="596"/>
      <c r="H59" s="598"/>
      <c r="I59" s="596"/>
      <c r="P59" s="30"/>
      <c r="Q59" s="30"/>
      <c r="R59" s="30"/>
      <c r="S59" s="30"/>
      <c r="T59" s="30"/>
      <c r="U59" s="30"/>
    </row>
    <row r="60" spans="1:21" x14ac:dyDescent="0.2">
      <c r="A60" s="878">
        <v>51</v>
      </c>
      <c r="B60" s="600" t="s">
        <v>115</v>
      </c>
      <c r="C60" s="601" t="s">
        <v>116</v>
      </c>
      <c r="D60" s="599">
        <v>2776</v>
      </c>
      <c r="E60" s="596"/>
      <c r="F60" s="597"/>
      <c r="G60" s="596"/>
      <c r="H60" s="598"/>
      <c r="I60" s="596"/>
      <c r="P60" s="30"/>
      <c r="Q60" s="30"/>
      <c r="R60" s="30"/>
      <c r="S60" s="30"/>
      <c r="T60" s="30"/>
      <c r="U60" s="30"/>
    </row>
    <row r="61" spans="1:21" x14ac:dyDescent="0.2">
      <c r="A61" s="878">
        <v>52</v>
      </c>
      <c r="B61" s="593" t="s">
        <v>117</v>
      </c>
      <c r="C61" s="594" t="s">
        <v>118</v>
      </c>
      <c r="D61" s="599">
        <v>10783</v>
      </c>
      <c r="E61" s="596"/>
      <c r="F61" s="597"/>
      <c r="G61" s="596"/>
      <c r="H61" s="598"/>
      <c r="I61" s="596"/>
      <c r="P61" s="30"/>
      <c r="Q61" s="30"/>
      <c r="R61" s="30"/>
      <c r="S61" s="30"/>
      <c r="T61" s="30"/>
      <c r="U61" s="30"/>
    </row>
    <row r="62" spans="1:21" x14ac:dyDescent="0.2">
      <c r="A62" s="878">
        <v>53</v>
      </c>
      <c r="B62" s="600" t="s">
        <v>119</v>
      </c>
      <c r="C62" s="601" t="s">
        <v>120</v>
      </c>
      <c r="D62" s="599">
        <v>2097</v>
      </c>
      <c r="E62" s="596"/>
      <c r="F62" s="597"/>
      <c r="G62" s="596"/>
      <c r="H62" s="598"/>
      <c r="I62" s="596"/>
      <c r="P62" s="30"/>
      <c r="Q62" s="30"/>
      <c r="R62" s="30"/>
      <c r="S62" s="30"/>
      <c r="T62" s="30"/>
      <c r="U62" s="30"/>
    </row>
    <row r="63" spans="1:21" x14ac:dyDescent="0.2">
      <c r="A63" s="878">
        <v>54</v>
      </c>
      <c r="B63" s="600" t="s">
        <v>121</v>
      </c>
      <c r="C63" s="601" t="s">
        <v>122</v>
      </c>
      <c r="D63" s="610"/>
      <c r="E63" s="596"/>
      <c r="F63" s="597"/>
      <c r="G63" s="596"/>
      <c r="H63" s="598"/>
      <c r="I63" s="596"/>
      <c r="P63" s="30"/>
      <c r="Q63" s="30"/>
      <c r="R63" s="30"/>
      <c r="S63" s="30"/>
      <c r="T63" s="30"/>
      <c r="U63" s="30"/>
    </row>
    <row r="64" spans="1:21" x14ac:dyDescent="0.2">
      <c r="A64" s="878">
        <v>55</v>
      </c>
      <c r="B64" s="600" t="s">
        <v>123</v>
      </c>
      <c r="C64" s="601" t="s">
        <v>124</v>
      </c>
      <c r="D64" s="610"/>
      <c r="E64" s="596"/>
      <c r="F64" s="597"/>
      <c r="G64" s="596"/>
      <c r="H64" s="598"/>
      <c r="I64" s="596"/>
      <c r="P64" s="30"/>
      <c r="Q64" s="30"/>
      <c r="R64" s="30"/>
      <c r="S64" s="30"/>
      <c r="T64" s="30"/>
      <c r="U64" s="30"/>
    </row>
    <row r="65" spans="1:21" ht="25.5" x14ac:dyDescent="0.2">
      <c r="A65" s="878">
        <v>56</v>
      </c>
      <c r="B65" s="879" t="s">
        <v>125</v>
      </c>
      <c r="C65" s="611" t="s">
        <v>126</v>
      </c>
      <c r="D65" s="610"/>
      <c r="E65" s="596"/>
      <c r="F65" s="597"/>
      <c r="G65" s="596"/>
      <c r="H65" s="598"/>
      <c r="I65" s="596"/>
      <c r="P65" s="30"/>
      <c r="Q65" s="30"/>
      <c r="R65" s="30"/>
      <c r="S65" s="30"/>
      <c r="T65" s="30"/>
      <c r="U65" s="30"/>
    </row>
    <row r="66" spans="1:21" ht="25.5" x14ac:dyDescent="0.2">
      <c r="A66" s="878">
        <v>57</v>
      </c>
      <c r="B66" s="600" t="s">
        <v>127</v>
      </c>
      <c r="C66" s="601" t="s">
        <v>128</v>
      </c>
      <c r="D66" s="610"/>
      <c r="E66" s="596"/>
      <c r="F66" s="597"/>
      <c r="G66" s="596"/>
      <c r="H66" s="598"/>
      <c r="I66" s="596"/>
      <c r="P66" s="30"/>
      <c r="Q66" s="30"/>
      <c r="R66" s="30"/>
      <c r="S66" s="30"/>
      <c r="T66" s="30"/>
      <c r="U66" s="30"/>
    </row>
    <row r="67" spans="1:21" ht="25.5" x14ac:dyDescent="0.2">
      <c r="A67" s="878">
        <v>58</v>
      </c>
      <c r="B67" s="600" t="s">
        <v>129</v>
      </c>
      <c r="C67" s="601" t="s">
        <v>459</v>
      </c>
      <c r="D67" s="610"/>
      <c r="E67" s="596"/>
      <c r="F67" s="597"/>
      <c r="G67" s="596"/>
      <c r="H67" s="598"/>
      <c r="I67" s="596"/>
      <c r="P67" s="30"/>
      <c r="Q67" s="30"/>
      <c r="R67" s="30"/>
      <c r="S67" s="30"/>
      <c r="T67" s="30"/>
      <c r="U67" s="30"/>
    </row>
    <row r="68" spans="1:21" ht="25.5" x14ac:dyDescent="0.2">
      <c r="A68" s="878">
        <v>59</v>
      </c>
      <c r="B68" s="600" t="s">
        <v>131</v>
      </c>
      <c r="C68" s="601" t="s">
        <v>132</v>
      </c>
      <c r="D68" s="610"/>
      <c r="E68" s="596"/>
      <c r="F68" s="597"/>
      <c r="G68" s="596"/>
      <c r="H68" s="598"/>
      <c r="I68" s="596"/>
      <c r="P68" s="30"/>
      <c r="Q68" s="30"/>
      <c r="R68" s="30"/>
      <c r="S68" s="30"/>
      <c r="T68" s="30"/>
      <c r="U68" s="30"/>
    </row>
    <row r="69" spans="1:21" ht="25.5" x14ac:dyDescent="0.2">
      <c r="A69" s="878">
        <v>60</v>
      </c>
      <c r="B69" s="593" t="s">
        <v>133</v>
      </c>
      <c r="C69" s="601" t="s">
        <v>299</v>
      </c>
      <c r="D69" s="610"/>
      <c r="E69" s="596"/>
      <c r="F69" s="597"/>
      <c r="G69" s="596"/>
      <c r="H69" s="598"/>
      <c r="I69" s="596"/>
      <c r="P69" s="30"/>
      <c r="Q69" s="30"/>
      <c r="R69" s="30"/>
      <c r="S69" s="30"/>
      <c r="T69" s="30"/>
      <c r="U69" s="30"/>
    </row>
    <row r="70" spans="1:21" ht="25.5" x14ac:dyDescent="0.2">
      <c r="A70" s="878">
        <v>61</v>
      </c>
      <c r="B70" s="883" t="s">
        <v>135</v>
      </c>
      <c r="C70" s="601" t="s">
        <v>461</v>
      </c>
      <c r="D70" s="610"/>
      <c r="E70" s="596"/>
      <c r="F70" s="597"/>
      <c r="G70" s="596"/>
      <c r="H70" s="598"/>
      <c r="I70" s="596"/>
      <c r="P70" s="30"/>
      <c r="Q70" s="30"/>
      <c r="R70" s="30"/>
      <c r="S70" s="30"/>
      <c r="T70" s="30"/>
      <c r="U70" s="30"/>
    </row>
    <row r="71" spans="1:21" ht="38.25" x14ac:dyDescent="0.2">
      <c r="A71" s="878">
        <v>62</v>
      </c>
      <c r="B71" s="593" t="s">
        <v>137</v>
      </c>
      <c r="C71" s="601" t="s">
        <v>640</v>
      </c>
      <c r="D71" s="610"/>
      <c r="E71" s="596"/>
      <c r="F71" s="597"/>
      <c r="G71" s="596"/>
      <c r="H71" s="598"/>
      <c r="I71" s="596"/>
      <c r="P71" s="30"/>
      <c r="Q71" s="30"/>
      <c r="R71" s="30"/>
      <c r="S71" s="30"/>
      <c r="T71" s="30"/>
      <c r="U71" s="30"/>
    </row>
    <row r="72" spans="1:21" ht="38.25" x14ac:dyDescent="0.2">
      <c r="A72" s="878">
        <v>63</v>
      </c>
      <c r="B72" s="600" t="s">
        <v>139</v>
      </c>
      <c r="C72" s="601" t="s">
        <v>641</v>
      </c>
      <c r="D72" s="610"/>
      <c r="E72" s="596"/>
      <c r="F72" s="597"/>
      <c r="G72" s="596"/>
      <c r="H72" s="598"/>
      <c r="I72" s="596"/>
      <c r="P72" s="30"/>
      <c r="Q72" s="30"/>
      <c r="R72" s="30"/>
      <c r="S72" s="30"/>
      <c r="T72" s="30"/>
      <c r="U72" s="30"/>
    </row>
    <row r="73" spans="1:21" x14ac:dyDescent="0.2">
      <c r="A73" s="878">
        <v>64</v>
      </c>
      <c r="B73" s="593" t="s">
        <v>141</v>
      </c>
      <c r="C73" s="601" t="s">
        <v>456</v>
      </c>
      <c r="D73" s="610"/>
      <c r="E73" s="596"/>
      <c r="F73" s="597"/>
      <c r="G73" s="596"/>
      <c r="H73" s="598"/>
      <c r="I73" s="596"/>
      <c r="P73" s="30"/>
      <c r="Q73" s="30"/>
      <c r="R73" s="30"/>
      <c r="S73" s="30"/>
      <c r="T73" s="30"/>
      <c r="U73" s="30"/>
    </row>
    <row r="74" spans="1:21" x14ac:dyDescent="0.2">
      <c r="A74" s="878">
        <v>65</v>
      </c>
      <c r="B74" s="593" t="s">
        <v>143</v>
      </c>
      <c r="C74" s="601" t="s">
        <v>144</v>
      </c>
      <c r="D74" s="610"/>
      <c r="E74" s="596"/>
      <c r="F74" s="597"/>
      <c r="G74" s="596"/>
      <c r="H74" s="598"/>
      <c r="I74" s="596"/>
      <c r="P74" s="30"/>
      <c r="Q74" s="30"/>
      <c r="R74" s="30"/>
      <c r="S74" s="30"/>
      <c r="T74" s="30"/>
      <c r="U74" s="30"/>
    </row>
    <row r="75" spans="1:21" x14ac:dyDescent="0.2">
      <c r="A75" s="878">
        <v>66</v>
      </c>
      <c r="B75" s="593" t="s">
        <v>145</v>
      </c>
      <c r="C75" s="601" t="s">
        <v>457</v>
      </c>
      <c r="D75" s="610"/>
      <c r="E75" s="596"/>
      <c r="F75" s="597"/>
      <c r="G75" s="596"/>
      <c r="H75" s="598"/>
      <c r="I75" s="596"/>
      <c r="P75" s="30"/>
      <c r="Q75" s="30"/>
      <c r="R75" s="30"/>
      <c r="S75" s="30"/>
      <c r="T75" s="30"/>
      <c r="U75" s="30"/>
    </row>
    <row r="76" spans="1:21" ht="25.5" x14ac:dyDescent="0.2">
      <c r="A76" s="878">
        <v>67</v>
      </c>
      <c r="B76" s="593" t="s">
        <v>147</v>
      </c>
      <c r="C76" s="601" t="s">
        <v>642</v>
      </c>
      <c r="D76" s="610"/>
      <c r="E76" s="596"/>
      <c r="F76" s="597"/>
      <c r="G76" s="596"/>
      <c r="H76" s="598"/>
      <c r="I76" s="596"/>
      <c r="P76" s="30"/>
      <c r="Q76" s="30"/>
      <c r="R76" s="30"/>
      <c r="S76" s="30"/>
      <c r="T76" s="30"/>
      <c r="U76" s="30"/>
    </row>
    <row r="77" spans="1:21" ht="25.5" x14ac:dyDescent="0.2">
      <c r="A77" s="878">
        <v>68</v>
      </c>
      <c r="B77" s="593" t="s">
        <v>149</v>
      </c>
      <c r="C77" s="601" t="s">
        <v>463</v>
      </c>
      <c r="D77" s="610"/>
      <c r="E77" s="596"/>
      <c r="F77" s="597"/>
      <c r="G77" s="596"/>
      <c r="H77" s="598"/>
      <c r="I77" s="596"/>
      <c r="P77" s="30"/>
      <c r="Q77" s="30"/>
      <c r="R77" s="30"/>
      <c r="S77" s="30"/>
      <c r="T77" s="30"/>
      <c r="U77" s="30"/>
    </row>
    <row r="78" spans="1:21" ht="25.5" x14ac:dyDescent="0.2">
      <c r="A78" s="878">
        <v>69</v>
      </c>
      <c r="B78" s="593" t="s">
        <v>151</v>
      </c>
      <c r="C78" s="601" t="s">
        <v>643</v>
      </c>
      <c r="D78" s="610"/>
      <c r="E78" s="596"/>
      <c r="F78" s="597"/>
      <c r="G78" s="596"/>
      <c r="H78" s="598"/>
      <c r="I78" s="596"/>
      <c r="P78" s="30"/>
      <c r="Q78" s="30"/>
      <c r="R78" s="30"/>
      <c r="S78" s="30"/>
      <c r="T78" s="30"/>
      <c r="U78" s="30"/>
    </row>
    <row r="79" spans="1:21" ht="25.5" x14ac:dyDescent="0.2">
      <c r="A79" s="878">
        <v>70</v>
      </c>
      <c r="B79" s="593" t="s">
        <v>153</v>
      </c>
      <c r="C79" s="601" t="s">
        <v>644</v>
      </c>
      <c r="D79" s="610"/>
      <c r="E79" s="596"/>
      <c r="F79" s="597"/>
      <c r="G79" s="596"/>
      <c r="H79" s="598"/>
      <c r="I79" s="596"/>
      <c r="P79" s="30"/>
      <c r="Q79" s="30"/>
      <c r="R79" s="30"/>
      <c r="S79" s="30"/>
      <c r="T79" s="30"/>
      <c r="U79" s="30"/>
    </row>
    <row r="80" spans="1:21" ht="25.5" x14ac:dyDescent="0.2">
      <c r="A80" s="878">
        <v>71</v>
      </c>
      <c r="B80" s="600" t="s">
        <v>155</v>
      </c>
      <c r="C80" s="601" t="s">
        <v>645</v>
      </c>
      <c r="D80" s="610"/>
      <c r="E80" s="596"/>
      <c r="F80" s="597"/>
      <c r="G80" s="596"/>
      <c r="H80" s="598"/>
      <c r="I80" s="596"/>
      <c r="P80" s="30"/>
      <c r="Q80" s="30"/>
      <c r="R80" s="30"/>
      <c r="S80" s="30"/>
      <c r="T80" s="30"/>
      <c r="U80" s="30"/>
    </row>
    <row r="81" spans="1:21" ht="25.5" x14ac:dyDescent="0.2">
      <c r="A81" s="878">
        <v>72</v>
      </c>
      <c r="B81" s="593" t="s">
        <v>157</v>
      </c>
      <c r="C81" s="594" t="s">
        <v>646</v>
      </c>
      <c r="D81" s="610"/>
      <c r="E81" s="596"/>
      <c r="F81" s="597"/>
      <c r="G81" s="596"/>
      <c r="H81" s="598"/>
      <c r="I81" s="596"/>
      <c r="P81" s="30"/>
      <c r="Q81" s="30"/>
      <c r="R81" s="30"/>
      <c r="S81" s="30"/>
      <c r="T81" s="30"/>
      <c r="U81" s="30"/>
    </row>
    <row r="82" spans="1:21" ht="25.5" x14ac:dyDescent="0.2">
      <c r="A82" s="878">
        <v>73</v>
      </c>
      <c r="B82" s="600" t="s">
        <v>159</v>
      </c>
      <c r="C82" s="601" t="s">
        <v>647</v>
      </c>
      <c r="D82" s="610"/>
      <c r="E82" s="596"/>
      <c r="F82" s="597"/>
      <c r="G82" s="596"/>
      <c r="H82" s="598"/>
      <c r="I82" s="596"/>
      <c r="P82" s="30"/>
      <c r="Q82" s="30"/>
      <c r="R82" s="30"/>
      <c r="S82" s="30"/>
      <c r="T82" s="30"/>
      <c r="U82" s="30"/>
    </row>
    <row r="83" spans="1:21" ht="25.5" x14ac:dyDescent="0.2">
      <c r="A83" s="878">
        <v>74</v>
      </c>
      <c r="B83" s="593" t="s">
        <v>161</v>
      </c>
      <c r="C83" s="601" t="s">
        <v>162</v>
      </c>
      <c r="D83" s="610"/>
      <c r="E83" s="596"/>
      <c r="F83" s="597"/>
      <c r="G83" s="596"/>
      <c r="H83" s="598"/>
      <c r="I83" s="596"/>
      <c r="P83" s="30"/>
      <c r="Q83" s="30"/>
      <c r="R83" s="30"/>
      <c r="S83" s="30"/>
      <c r="T83" s="30"/>
      <c r="U83" s="30"/>
    </row>
    <row r="84" spans="1:21" x14ac:dyDescent="0.2">
      <c r="A84" s="878">
        <v>75</v>
      </c>
      <c r="B84" s="600" t="s">
        <v>163</v>
      </c>
      <c r="C84" s="601" t="s">
        <v>458</v>
      </c>
      <c r="D84" s="610"/>
      <c r="E84" s="596"/>
      <c r="F84" s="597"/>
      <c r="G84" s="596"/>
      <c r="H84" s="598"/>
      <c r="I84" s="596"/>
      <c r="P84" s="30"/>
      <c r="Q84" s="30"/>
      <c r="R84" s="30"/>
      <c r="S84" s="30"/>
      <c r="T84" s="30"/>
      <c r="U84" s="30"/>
    </row>
    <row r="85" spans="1:21" x14ac:dyDescent="0.2">
      <c r="A85" s="878">
        <v>76</v>
      </c>
      <c r="B85" s="600" t="s">
        <v>165</v>
      </c>
      <c r="C85" s="601" t="s">
        <v>166</v>
      </c>
      <c r="D85" s="610"/>
      <c r="E85" s="596"/>
      <c r="F85" s="597"/>
      <c r="G85" s="596"/>
      <c r="H85" s="598"/>
      <c r="I85" s="596"/>
      <c r="P85" s="30"/>
      <c r="Q85" s="30"/>
      <c r="R85" s="30"/>
      <c r="S85" s="30"/>
      <c r="T85" s="30"/>
      <c r="U85" s="30"/>
    </row>
    <row r="86" spans="1:21" x14ac:dyDescent="0.2">
      <c r="A86" s="878">
        <v>77</v>
      </c>
      <c r="B86" s="593" t="s">
        <v>167</v>
      </c>
      <c r="C86" s="601" t="s">
        <v>168</v>
      </c>
      <c r="D86" s="610"/>
      <c r="E86" s="596"/>
      <c r="F86" s="597"/>
      <c r="G86" s="596"/>
      <c r="H86" s="598"/>
      <c r="I86" s="596"/>
      <c r="P86" s="30"/>
      <c r="Q86" s="30"/>
      <c r="R86" s="30"/>
      <c r="S86" s="30"/>
      <c r="T86" s="30"/>
      <c r="U86" s="30"/>
    </row>
    <row r="87" spans="1:21" x14ac:dyDescent="0.2">
      <c r="A87" s="878">
        <v>78</v>
      </c>
      <c r="B87" s="593" t="s">
        <v>169</v>
      </c>
      <c r="C87" s="601" t="s">
        <v>170</v>
      </c>
      <c r="D87" s="610"/>
      <c r="E87" s="596"/>
      <c r="F87" s="597"/>
      <c r="G87" s="596"/>
      <c r="H87" s="598"/>
      <c r="I87" s="596"/>
      <c r="P87" s="30"/>
      <c r="Q87" s="30"/>
      <c r="R87" s="30"/>
      <c r="S87" s="30"/>
      <c r="T87" s="30"/>
      <c r="U87" s="30"/>
    </row>
    <row r="88" spans="1:21" x14ac:dyDescent="0.2">
      <c r="A88" s="878">
        <v>79</v>
      </c>
      <c r="B88" s="593" t="s">
        <v>171</v>
      </c>
      <c r="C88" s="601" t="s">
        <v>172</v>
      </c>
      <c r="D88" s="610"/>
      <c r="E88" s="596"/>
      <c r="F88" s="597"/>
      <c r="G88" s="596"/>
      <c r="H88" s="598"/>
      <c r="I88" s="596"/>
      <c r="P88" s="30"/>
      <c r="Q88" s="30"/>
      <c r="R88" s="30"/>
      <c r="S88" s="30"/>
      <c r="T88" s="30"/>
      <c r="U88" s="30"/>
    </row>
    <row r="89" spans="1:21" x14ac:dyDescent="0.2">
      <c r="A89" s="878">
        <v>80</v>
      </c>
      <c r="B89" s="593" t="s">
        <v>173</v>
      </c>
      <c r="C89" s="601" t="s">
        <v>617</v>
      </c>
      <c r="D89" s="610"/>
      <c r="E89" s="596"/>
      <c r="F89" s="597"/>
      <c r="G89" s="596"/>
      <c r="H89" s="598"/>
      <c r="I89" s="596"/>
      <c r="P89" s="30"/>
      <c r="Q89" s="30"/>
      <c r="R89" s="30"/>
      <c r="S89" s="30"/>
      <c r="T89" s="30"/>
      <c r="U89" s="30"/>
    </row>
    <row r="90" spans="1:21" x14ac:dyDescent="0.2">
      <c r="A90" s="878">
        <v>81</v>
      </c>
      <c r="B90" s="593" t="s">
        <v>175</v>
      </c>
      <c r="C90" s="601" t="s">
        <v>176</v>
      </c>
      <c r="D90" s="610"/>
      <c r="E90" s="596"/>
      <c r="F90" s="597"/>
      <c r="G90" s="596"/>
      <c r="H90" s="598"/>
      <c r="I90" s="596"/>
      <c r="P90" s="30"/>
      <c r="Q90" s="30"/>
      <c r="R90" s="30"/>
      <c r="S90" s="30"/>
      <c r="T90" s="30"/>
      <c r="U90" s="30"/>
    </row>
    <row r="91" spans="1:21" x14ac:dyDescent="0.2">
      <c r="A91" s="878">
        <v>82</v>
      </c>
      <c r="B91" s="612" t="s">
        <v>177</v>
      </c>
      <c r="C91" s="611" t="s">
        <v>752</v>
      </c>
      <c r="D91" s="610"/>
      <c r="E91" s="596"/>
      <c r="F91" s="597"/>
      <c r="G91" s="596"/>
      <c r="H91" s="598"/>
      <c r="I91" s="596"/>
      <c r="P91" s="30"/>
      <c r="Q91" s="30"/>
      <c r="R91" s="30"/>
      <c r="S91" s="30"/>
      <c r="T91" s="30"/>
      <c r="U91" s="30"/>
    </row>
    <row r="92" spans="1:21" ht="25.5" x14ac:dyDescent="0.2">
      <c r="A92" s="1171">
        <v>83</v>
      </c>
      <c r="B92" s="1172" t="s">
        <v>178</v>
      </c>
      <c r="C92" s="613" t="s">
        <v>753</v>
      </c>
      <c r="D92" s="610"/>
      <c r="E92" s="596"/>
      <c r="F92" s="597"/>
      <c r="G92" s="596"/>
      <c r="H92" s="598"/>
      <c r="I92" s="596"/>
      <c r="P92" s="30"/>
      <c r="Q92" s="30"/>
      <c r="R92" s="30"/>
      <c r="S92" s="30"/>
      <c r="T92" s="30"/>
      <c r="U92" s="30"/>
    </row>
    <row r="93" spans="1:21" ht="25.5" x14ac:dyDescent="0.2">
      <c r="A93" s="1171"/>
      <c r="B93" s="1172"/>
      <c r="C93" s="611" t="s">
        <v>179</v>
      </c>
      <c r="D93" s="610"/>
      <c r="E93" s="596"/>
      <c r="F93" s="597"/>
      <c r="G93" s="596"/>
      <c r="H93" s="598"/>
      <c r="I93" s="596"/>
      <c r="P93" s="30"/>
      <c r="Q93" s="30"/>
      <c r="R93" s="30"/>
      <c r="S93" s="30"/>
      <c r="T93" s="30"/>
      <c r="U93" s="30"/>
    </row>
    <row r="94" spans="1:21" ht="25.5" x14ac:dyDescent="0.2">
      <c r="A94" s="1171"/>
      <c r="B94" s="1172"/>
      <c r="C94" s="611" t="s">
        <v>180</v>
      </c>
      <c r="D94" s="610"/>
      <c r="E94" s="596"/>
      <c r="F94" s="597"/>
      <c r="G94" s="596"/>
      <c r="H94" s="598"/>
      <c r="I94" s="596"/>
      <c r="P94" s="30"/>
      <c r="Q94" s="30"/>
      <c r="R94" s="30"/>
      <c r="S94" s="30"/>
      <c r="T94" s="30"/>
      <c r="U94" s="30"/>
    </row>
    <row r="95" spans="1:21" ht="51" x14ac:dyDescent="0.2">
      <c r="A95" s="1171"/>
      <c r="B95" s="1172"/>
      <c r="C95" s="614" t="s">
        <v>509</v>
      </c>
      <c r="D95" s="610"/>
      <c r="E95" s="596"/>
      <c r="F95" s="597"/>
      <c r="G95" s="596"/>
      <c r="H95" s="598"/>
      <c r="I95" s="596"/>
      <c r="P95" s="30"/>
      <c r="Q95" s="30"/>
      <c r="R95" s="30"/>
      <c r="S95" s="30"/>
      <c r="T95" s="30"/>
      <c r="U95" s="30"/>
    </row>
    <row r="96" spans="1:21" ht="25.5" x14ac:dyDescent="0.2">
      <c r="A96" s="878">
        <v>84</v>
      </c>
      <c r="B96" s="600" t="s">
        <v>181</v>
      </c>
      <c r="C96" s="601" t="s">
        <v>182</v>
      </c>
      <c r="D96" s="610"/>
      <c r="E96" s="596"/>
      <c r="F96" s="597"/>
      <c r="G96" s="596"/>
      <c r="H96" s="598"/>
      <c r="I96" s="596"/>
      <c r="P96" s="30"/>
      <c r="Q96" s="30"/>
      <c r="R96" s="30"/>
      <c r="S96" s="30"/>
      <c r="T96" s="30"/>
      <c r="U96" s="30"/>
    </row>
    <row r="97" spans="1:21" x14ac:dyDescent="0.2">
      <c r="A97" s="878">
        <v>85</v>
      </c>
      <c r="B97" s="593" t="s">
        <v>183</v>
      </c>
      <c r="C97" s="601" t="s">
        <v>184</v>
      </c>
      <c r="D97" s="610"/>
      <c r="E97" s="596"/>
      <c r="F97" s="597"/>
      <c r="G97" s="596"/>
      <c r="H97" s="598"/>
      <c r="I97" s="596"/>
      <c r="P97" s="30"/>
      <c r="Q97" s="30"/>
      <c r="R97" s="30"/>
      <c r="S97" s="30"/>
      <c r="T97" s="30"/>
      <c r="U97" s="30"/>
    </row>
    <row r="98" spans="1:21" x14ac:dyDescent="0.2">
      <c r="A98" s="878">
        <v>86</v>
      </c>
      <c r="B98" s="600" t="s">
        <v>185</v>
      </c>
      <c r="C98" s="601" t="s">
        <v>186</v>
      </c>
      <c r="D98" s="610"/>
      <c r="E98" s="596"/>
      <c r="F98" s="597"/>
      <c r="G98" s="596"/>
      <c r="H98" s="598"/>
      <c r="I98" s="596"/>
      <c r="P98" s="30"/>
      <c r="Q98" s="30"/>
      <c r="R98" s="30"/>
      <c r="S98" s="30"/>
      <c r="T98" s="30"/>
      <c r="U98" s="30"/>
    </row>
    <row r="99" spans="1:21" x14ac:dyDescent="0.2">
      <c r="A99" s="878">
        <v>87</v>
      </c>
      <c r="B99" s="883" t="s">
        <v>187</v>
      </c>
      <c r="C99" s="603" t="s">
        <v>188</v>
      </c>
      <c r="D99" s="599">
        <v>1608</v>
      </c>
      <c r="E99" s="596"/>
      <c r="F99" s="597"/>
      <c r="G99" s="596"/>
      <c r="H99" s="598"/>
      <c r="I99" s="596"/>
      <c r="P99" s="30"/>
      <c r="Q99" s="30"/>
      <c r="R99" s="30"/>
      <c r="S99" s="30"/>
      <c r="T99" s="30"/>
      <c r="U99" s="30"/>
    </row>
    <row r="100" spans="1:21" x14ac:dyDescent="0.2">
      <c r="A100" s="878">
        <v>88</v>
      </c>
      <c r="B100" s="593" t="s">
        <v>189</v>
      </c>
      <c r="C100" s="601" t="s">
        <v>190</v>
      </c>
      <c r="D100" s="599">
        <v>2085</v>
      </c>
      <c r="E100" s="596"/>
      <c r="F100" s="597"/>
      <c r="G100" s="596"/>
      <c r="H100" s="598"/>
      <c r="I100" s="596"/>
      <c r="P100" s="30"/>
      <c r="Q100" s="30"/>
      <c r="R100" s="30"/>
      <c r="S100" s="30"/>
      <c r="T100" s="30"/>
      <c r="U100" s="30"/>
    </row>
    <row r="101" spans="1:21" x14ac:dyDescent="0.2">
      <c r="A101" s="878">
        <v>89</v>
      </c>
      <c r="B101" s="593" t="s">
        <v>191</v>
      </c>
      <c r="C101" s="601" t="s">
        <v>192</v>
      </c>
      <c r="D101" s="599">
        <v>3666</v>
      </c>
      <c r="E101" s="596"/>
      <c r="F101" s="597"/>
      <c r="G101" s="596"/>
      <c r="H101" s="598"/>
      <c r="I101" s="596"/>
      <c r="P101" s="30"/>
      <c r="Q101" s="30"/>
      <c r="R101" s="30"/>
      <c r="S101" s="30"/>
      <c r="T101" s="30"/>
      <c r="U101" s="30"/>
    </row>
    <row r="102" spans="1:21" x14ac:dyDescent="0.2">
      <c r="A102" s="878">
        <v>90</v>
      </c>
      <c r="B102" s="883" t="s">
        <v>193</v>
      </c>
      <c r="C102" s="603" t="s">
        <v>194</v>
      </c>
      <c r="D102" s="599">
        <f>1136+508</f>
        <v>1644</v>
      </c>
      <c r="E102" s="596"/>
      <c r="F102" s="597"/>
      <c r="G102" s="596"/>
      <c r="H102" s="598"/>
      <c r="I102" s="596"/>
      <c r="P102" s="30"/>
      <c r="Q102" s="30"/>
      <c r="R102" s="30"/>
      <c r="S102" s="30"/>
      <c r="T102" s="30"/>
      <c r="U102" s="30"/>
    </row>
    <row r="103" spans="1:21" x14ac:dyDescent="0.2">
      <c r="A103" s="878">
        <v>91</v>
      </c>
      <c r="B103" s="593" t="s">
        <v>195</v>
      </c>
      <c r="C103" s="601" t="s">
        <v>196</v>
      </c>
      <c r="D103" s="599">
        <v>2395</v>
      </c>
      <c r="E103" s="596"/>
      <c r="F103" s="597"/>
      <c r="G103" s="596"/>
      <c r="H103" s="598"/>
      <c r="I103" s="596"/>
      <c r="P103" s="30"/>
      <c r="Q103" s="30"/>
      <c r="R103" s="30"/>
      <c r="S103" s="30"/>
      <c r="T103" s="30"/>
      <c r="U103" s="30"/>
    </row>
    <row r="104" spans="1:21" x14ac:dyDescent="0.2">
      <c r="A104" s="878">
        <v>92</v>
      </c>
      <c r="B104" s="883" t="s">
        <v>197</v>
      </c>
      <c r="C104" s="603" t="s">
        <v>198</v>
      </c>
      <c r="D104" s="599">
        <f>4211+801</f>
        <v>5012</v>
      </c>
      <c r="E104" s="596"/>
      <c r="F104" s="597"/>
      <c r="G104" s="596"/>
      <c r="H104" s="598"/>
      <c r="I104" s="596"/>
      <c r="P104" s="30"/>
      <c r="Q104" s="30"/>
      <c r="R104" s="30"/>
      <c r="S104" s="30"/>
      <c r="T104" s="30"/>
      <c r="U104" s="30"/>
    </row>
    <row r="105" spans="1:21" x14ac:dyDescent="0.2">
      <c r="A105" s="878">
        <v>93</v>
      </c>
      <c r="B105" s="593" t="s">
        <v>199</v>
      </c>
      <c r="C105" s="601" t="s">
        <v>200</v>
      </c>
      <c r="D105" s="599">
        <f>2741+870</f>
        <v>3611</v>
      </c>
      <c r="E105" s="596"/>
      <c r="F105" s="597"/>
      <c r="G105" s="596"/>
      <c r="H105" s="598"/>
      <c r="I105" s="596"/>
      <c r="P105" s="30"/>
      <c r="Q105" s="30"/>
      <c r="R105" s="30"/>
      <c r="S105" s="30"/>
      <c r="T105" s="30"/>
      <c r="U105" s="30"/>
    </row>
    <row r="106" spans="1:21" x14ac:dyDescent="0.2">
      <c r="A106" s="878">
        <v>94</v>
      </c>
      <c r="B106" s="600" t="s">
        <v>201</v>
      </c>
      <c r="C106" s="601" t="s">
        <v>202</v>
      </c>
      <c r="D106" s="599">
        <v>1628</v>
      </c>
      <c r="E106" s="596"/>
      <c r="F106" s="597"/>
      <c r="G106" s="596"/>
      <c r="H106" s="598"/>
      <c r="I106" s="596"/>
      <c r="P106" s="30"/>
      <c r="Q106" s="30"/>
      <c r="R106" s="30"/>
      <c r="S106" s="30"/>
      <c r="T106" s="30"/>
      <c r="U106" s="30"/>
    </row>
    <row r="107" spans="1:21" x14ac:dyDescent="0.2">
      <c r="A107" s="878">
        <v>95</v>
      </c>
      <c r="B107" s="593" t="s">
        <v>203</v>
      </c>
      <c r="C107" s="594" t="s">
        <v>204</v>
      </c>
      <c r="D107" s="599">
        <v>2232</v>
      </c>
      <c r="E107" s="596"/>
      <c r="F107" s="597"/>
      <c r="G107" s="596"/>
      <c r="H107" s="598"/>
      <c r="I107" s="596"/>
      <c r="P107" s="30"/>
      <c r="Q107" s="30"/>
      <c r="R107" s="30"/>
      <c r="S107" s="30"/>
      <c r="T107" s="30"/>
      <c r="U107" s="30"/>
    </row>
    <row r="108" spans="1:21" x14ac:dyDescent="0.2">
      <c r="A108" s="878">
        <v>96</v>
      </c>
      <c r="B108" s="593" t="s">
        <v>205</v>
      </c>
      <c r="C108" s="603" t="s">
        <v>206</v>
      </c>
      <c r="D108" s="599">
        <f>1320+382</f>
        <v>1702</v>
      </c>
      <c r="E108" s="596"/>
      <c r="F108" s="597"/>
      <c r="G108" s="596"/>
      <c r="H108" s="598"/>
      <c r="I108" s="596"/>
      <c r="P108" s="30"/>
      <c r="Q108" s="30"/>
      <c r="R108" s="30"/>
      <c r="S108" s="30"/>
      <c r="T108" s="30"/>
      <c r="U108" s="30"/>
    </row>
    <row r="109" spans="1:21" x14ac:dyDescent="0.2">
      <c r="A109" s="878">
        <v>97</v>
      </c>
      <c r="B109" s="600" t="s">
        <v>207</v>
      </c>
      <c r="C109" s="601" t="s">
        <v>208</v>
      </c>
      <c r="D109" s="599">
        <v>2611</v>
      </c>
      <c r="E109" s="596">
        <v>81</v>
      </c>
      <c r="F109" s="597"/>
      <c r="G109" s="596"/>
      <c r="H109" s="598"/>
      <c r="I109" s="596"/>
      <c r="P109" s="30"/>
      <c r="Q109" s="30"/>
      <c r="R109" s="30"/>
      <c r="S109" s="30"/>
      <c r="T109" s="30"/>
      <c r="U109" s="30"/>
    </row>
    <row r="110" spans="1:21" x14ac:dyDescent="0.2">
      <c r="A110" s="878">
        <v>98</v>
      </c>
      <c r="B110" s="593" t="s">
        <v>209</v>
      </c>
      <c r="C110" s="594" t="s">
        <v>210</v>
      </c>
      <c r="D110" s="599">
        <v>4619</v>
      </c>
      <c r="E110" s="596"/>
      <c r="F110" s="597"/>
      <c r="G110" s="596"/>
      <c r="H110" s="598"/>
      <c r="I110" s="596"/>
      <c r="P110" s="30"/>
      <c r="Q110" s="30"/>
      <c r="R110" s="30"/>
      <c r="S110" s="30"/>
      <c r="T110" s="30"/>
      <c r="U110" s="30"/>
    </row>
    <row r="111" spans="1:21" x14ac:dyDescent="0.2">
      <c r="A111" s="878">
        <v>99</v>
      </c>
      <c r="B111" s="600" t="s">
        <v>211</v>
      </c>
      <c r="C111" s="601" t="s">
        <v>212</v>
      </c>
      <c r="D111" s="599">
        <v>2053</v>
      </c>
      <c r="E111" s="596"/>
      <c r="F111" s="597"/>
      <c r="G111" s="596"/>
      <c r="H111" s="598"/>
      <c r="I111" s="596"/>
      <c r="P111" s="30"/>
      <c r="Q111" s="30"/>
      <c r="R111" s="30"/>
      <c r="S111" s="30"/>
      <c r="T111" s="30"/>
      <c r="U111" s="30"/>
    </row>
    <row r="112" spans="1:21" x14ac:dyDescent="0.2">
      <c r="A112" s="878">
        <v>100</v>
      </c>
      <c r="B112" s="600" t="s">
        <v>213</v>
      </c>
      <c r="C112" s="601" t="s">
        <v>214</v>
      </c>
      <c r="D112" s="599">
        <v>4655</v>
      </c>
      <c r="E112" s="596"/>
      <c r="F112" s="597"/>
      <c r="G112" s="596"/>
      <c r="H112" s="598"/>
      <c r="I112" s="596"/>
      <c r="P112" s="30"/>
      <c r="Q112" s="30"/>
      <c r="R112" s="30"/>
      <c r="S112" s="30"/>
      <c r="T112" s="30"/>
      <c r="U112" s="30"/>
    </row>
    <row r="113" spans="1:21" x14ac:dyDescent="0.2">
      <c r="A113" s="878">
        <v>101</v>
      </c>
      <c r="B113" s="593" t="s">
        <v>215</v>
      </c>
      <c r="C113" s="603" t="s">
        <v>216</v>
      </c>
      <c r="D113" s="599">
        <v>1553</v>
      </c>
      <c r="E113" s="596"/>
      <c r="F113" s="597"/>
      <c r="G113" s="596"/>
      <c r="H113" s="598"/>
      <c r="I113" s="596"/>
      <c r="P113" s="30"/>
      <c r="Q113" s="30"/>
      <c r="R113" s="30"/>
      <c r="S113" s="30"/>
      <c r="T113" s="30"/>
      <c r="U113" s="30"/>
    </row>
    <row r="114" spans="1:21" x14ac:dyDescent="0.2">
      <c r="A114" s="878">
        <v>102</v>
      </c>
      <c r="B114" s="593" t="s">
        <v>217</v>
      </c>
      <c r="C114" s="594" t="s">
        <v>218</v>
      </c>
      <c r="D114" s="599"/>
      <c r="E114" s="596"/>
      <c r="F114" s="597"/>
      <c r="G114" s="596"/>
      <c r="H114" s="598"/>
      <c r="I114" s="596"/>
      <c r="P114" s="30"/>
      <c r="Q114" s="30"/>
      <c r="R114" s="30"/>
      <c r="S114" s="30"/>
      <c r="T114" s="30"/>
      <c r="U114" s="30"/>
    </row>
    <row r="115" spans="1:21" x14ac:dyDescent="0.2">
      <c r="A115" s="878">
        <v>103</v>
      </c>
      <c r="B115" s="593" t="s">
        <v>219</v>
      </c>
      <c r="C115" s="594" t="s">
        <v>220</v>
      </c>
      <c r="D115" s="599"/>
      <c r="E115" s="596"/>
      <c r="F115" s="597"/>
      <c r="G115" s="596"/>
      <c r="H115" s="598"/>
      <c r="I115" s="596"/>
      <c r="P115" s="30"/>
      <c r="Q115" s="30"/>
      <c r="R115" s="30"/>
      <c r="S115" s="30"/>
      <c r="T115" s="30"/>
      <c r="U115" s="30"/>
    </row>
    <row r="116" spans="1:21" x14ac:dyDescent="0.2">
      <c r="A116" s="878">
        <v>104</v>
      </c>
      <c r="B116" s="593" t="s">
        <v>221</v>
      </c>
      <c r="C116" s="594" t="s">
        <v>222</v>
      </c>
      <c r="D116" s="599"/>
      <c r="E116" s="596"/>
      <c r="F116" s="597"/>
      <c r="G116" s="596"/>
      <c r="H116" s="598"/>
      <c r="I116" s="596"/>
      <c r="P116" s="30"/>
      <c r="Q116" s="30"/>
      <c r="R116" s="30"/>
      <c r="S116" s="30"/>
      <c r="T116" s="30"/>
      <c r="U116" s="30"/>
    </row>
    <row r="117" spans="1:21" x14ac:dyDescent="0.2">
      <c r="A117" s="878">
        <v>105</v>
      </c>
      <c r="B117" s="600" t="s">
        <v>223</v>
      </c>
      <c r="C117" s="601" t="s">
        <v>224</v>
      </c>
      <c r="D117" s="599"/>
      <c r="E117" s="596"/>
      <c r="F117" s="597"/>
      <c r="G117" s="596"/>
      <c r="H117" s="598"/>
      <c r="I117" s="596"/>
      <c r="P117" s="30"/>
      <c r="Q117" s="30"/>
      <c r="R117" s="30"/>
      <c r="S117" s="30"/>
      <c r="T117" s="30"/>
      <c r="U117" s="30"/>
    </row>
    <row r="118" spans="1:21" x14ac:dyDescent="0.2">
      <c r="A118" s="878">
        <v>106</v>
      </c>
      <c r="B118" s="883" t="s">
        <v>225</v>
      </c>
      <c r="C118" s="603" t="s">
        <v>226</v>
      </c>
      <c r="D118" s="599"/>
      <c r="E118" s="596"/>
      <c r="F118" s="597"/>
      <c r="G118" s="596"/>
      <c r="H118" s="598"/>
      <c r="I118" s="596"/>
      <c r="P118" s="30"/>
      <c r="Q118" s="30"/>
      <c r="R118" s="30"/>
      <c r="S118" s="30"/>
      <c r="T118" s="30"/>
      <c r="U118" s="30"/>
    </row>
    <row r="119" spans="1:21" ht="25.5" x14ac:dyDescent="0.2">
      <c r="A119" s="878">
        <v>107</v>
      </c>
      <c r="B119" s="593" t="s">
        <v>227</v>
      </c>
      <c r="C119" s="594" t="s">
        <v>228</v>
      </c>
      <c r="D119" s="599"/>
      <c r="E119" s="596"/>
      <c r="F119" s="597"/>
      <c r="G119" s="596"/>
      <c r="H119" s="598"/>
      <c r="I119" s="596"/>
      <c r="P119" s="30"/>
      <c r="Q119" s="30"/>
      <c r="R119" s="30"/>
      <c r="S119" s="30"/>
      <c r="T119" s="30"/>
      <c r="U119" s="30"/>
    </row>
    <row r="120" spans="1:21" x14ac:dyDescent="0.2">
      <c r="A120" s="878">
        <v>108</v>
      </c>
      <c r="B120" s="593" t="s">
        <v>229</v>
      </c>
      <c r="C120" s="594" t="s">
        <v>230</v>
      </c>
      <c r="D120" s="599"/>
      <c r="E120" s="596"/>
      <c r="F120" s="597"/>
      <c r="G120" s="596"/>
      <c r="H120" s="598"/>
      <c r="I120" s="596"/>
      <c r="P120" s="30"/>
      <c r="Q120" s="30"/>
      <c r="R120" s="30"/>
      <c r="S120" s="30"/>
      <c r="T120" s="30"/>
      <c r="U120" s="30"/>
    </row>
    <row r="121" spans="1:21" x14ac:dyDescent="0.2">
      <c r="A121" s="878">
        <v>109</v>
      </c>
      <c r="B121" s="600" t="s">
        <v>231</v>
      </c>
      <c r="C121" s="601" t="s">
        <v>232</v>
      </c>
      <c r="D121" s="599"/>
      <c r="E121" s="596"/>
      <c r="F121" s="597"/>
      <c r="G121" s="596"/>
      <c r="H121" s="598"/>
      <c r="I121" s="596"/>
      <c r="P121" s="30"/>
      <c r="Q121" s="30"/>
      <c r="R121" s="30"/>
      <c r="S121" s="30"/>
      <c r="T121" s="30"/>
      <c r="U121" s="30"/>
    </row>
    <row r="122" spans="1:21" x14ac:dyDescent="0.2">
      <c r="A122" s="878">
        <v>110</v>
      </c>
      <c r="B122" s="600" t="s">
        <v>233</v>
      </c>
      <c r="C122" s="601" t="s">
        <v>234</v>
      </c>
      <c r="D122" s="599"/>
      <c r="E122" s="596"/>
      <c r="F122" s="597"/>
      <c r="G122" s="596"/>
      <c r="H122" s="598"/>
      <c r="I122" s="596"/>
      <c r="P122" s="30"/>
      <c r="Q122" s="30"/>
      <c r="R122" s="30"/>
      <c r="S122" s="30"/>
      <c r="T122" s="30"/>
      <c r="U122" s="30"/>
    </row>
    <row r="123" spans="1:21" x14ac:dyDescent="0.2">
      <c r="A123" s="878">
        <v>111</v>
      </c>
      <c r="B123" s="615" t="s">
        <v>235</v>
      </c>
      <c r="C123" s="594" t="s">
        <v>236</v>
      </c>
      <c r="D123" s="599"/>
      <c r="E123" s="596"/>
      <c r="F123" s="597"/>
      <c r="G123" s="596"/>
      <c r="H123" s="598"/>
      <c r="I123" s="596"/>
      <c r="P123" s="30"/>
      <c r="Q123" s="30"/>
      <c r="R123" s="30"/>
      <c r="S123" s="30"/>
      <c r="T123" s="30"/>
      <c r="U123" s="30"/>
    </row>
    <row r="124" spans="1:21" x14ac:dyDescent="0.2">
      <c r="A124" s="878">
        <v>112</v>
      </c>
      <c r="B124" s="593" t="s">
        <v>237</v>
      </c>
      <c r="C124" s="594" t="s">
        <v>238</v>
      </c>
      <c r="D124" s="599"/>
      <c r="E124" s="596"/>
      <c r="F124" s="597"/>
      <c r="G124" s="596"/>
      <c r="H124" s="598"/>
      <c r="I124" s="596"/>
      <c r="P124" s="30"/>
      <c r="Q124" s="30"/>
      <c r="R124" s="30"/>
      <c r="S124" s="30"/>
      <c r="T124" s="30"/>
      <c r="U124" s="30"/>
    </row>
    <row r="125" spans="1:21" x14ac:dyDescent="0.2">
      <c r="A125" s="878">
        <v>113</v>
      </c>
      <c r="B125" s="593" t="s">
        <v>239</v>
      </c>
      <c r="C125" s="601" t="s">
        <v>240</v>
      </c>
      <c r="D125" s="599"/>
      <c r="E125" s="596"/>
      <c r="F125" s="597"/>
      <c r="G125" s="596"/>
      <c r="H125" s="598"/>
      <c r="I125" s="596"/>
      <c r="P125" s="30"/>
      <c r="Q125" s="30"/>
      <c r="R125" s="30"/>
      <c r="S125" s="30"/>
      <c r="T125" s="30"/>
      <c r="U125" s="30"/>
    </row>
    <row r="126" spans="1:21" ht="25.5" x14ac:dyDescent="0.2">
      <c r="A126" s="878">
        <v>114</v>
      </c>
      <c r="B126" s="593" t="s">
        <v>241</v>
      </c>
      <c r="C126" s="594" t="s">
        <v>242</v>
      </c>
      <c r="D126" s="599"/>
      <c r="E126" s="596"/>
      <c r="F126" s="597"/>
      <c r="G126" s="596"/>
      <c r="H126" s="598"/>
      <c r="I126" s="596"/>
      <c r="P126" s="30"/>
      <c r="Q126" s="30"/>
      <c r="R126" s="30"/>
      <c r="S126" s="30"/>
      <c r="T126" s="30"/>
      <c r="U126" s="30"/>
    </row>
    <row r="127" spans="1:21" x14ac:dyDescent="0.2">
      <c r="A127" s="878">
        <v>115</v>
      </c>
      <c r="B127" s="879" t="s">
        <v>243</v>
      </c>
      <c r="C127" s="611" t="s">
        <v>385</v>
      </c>
      <c r="D127" s="599"/>
      <c r="E127" s="596"/>
      <c r="F127" s="597"/>
      <c r="G127" s="596"/>
      <c r="H127" s="598"/>
      <c r="I127" s="596"/>
      <c r="P127" s="30"/>
      <c r="Q127" s="30"/>
      <c r="R127" s="30"/>
      <c r="S127" s="30"/>
      <c r="T127" s="30"/>
      <c r="U127" s="30"/>
    </row>
    <row r="128" spans="1:21" x14ac:dyDescent="0.2">
      <c r="A128" s="878">
        <v>116</v>
      </c>
      <c r="B128" s="600" t="s">
        <v>244</v>
      </c>
      <c r="C128" s="601" t="s">
        <v>649</v>
      </c>
      <c r="D128" s="599"/>
      <c r="E128" s="596"/>
      <c r="F128" s="597"/>
      <c r="G128" s="596"/>
      <c r="H128" s="598"/>
      <c r="I128" s="596"/>
      <c r="P128" s="30"/>
      <c r="Q128" s="30"/>
      <c r="R128" s="30"/>
      <c r="S128" s="30"/>
      <c r="T128" s="30"/>
      <c r="U128" s="30"/>
    </row>
    <row r="129" spans="1:21" x14ac:dyDescent="0.2">
      <c r="A129" s="878">
        <v>117</v>
      </c>
      <c r="B129" s="600" t="s">
        <v>246</v>
      </c>
      <c r="C129" s="601" t="s">
        <v>247</v>
      </c>
      <c r="D129" s="599"/>
      <c r="E129" s="596"/>
      <c r="F129" s="597"/>
      <c r="G129" s="596"/>
      <c r="H129" s="598"/>
      <c r="I129" s="596"/>
      <c r="P129" s="30"/>
      <c r="Q129" s="30"/>
      <c r="R129" s="30"/>
      <c r="S129" s="30"/>
      <c r="T129" s="30"/>
      <c r="U129" s="30"/>
    </row>
    <row r="130" spans="1:21" x14ac:dyDescent="0.2">
      <c r="A130" s="878">
        <v>118</v>
      </c>
      <c r="B130" s="600" t="s">
        <v>248</v>
      </c>
      <c r="C130" s="601" t="s">
        <v>249</v>
      </c>
      <c r="D130" s="599"/>
      <c r="E130" s="596"/>
      <c r="F130" s="597"/>
      <c r="G130" s="596"/>
      <c r="H130" s="598"/>
      <c r="I130" s="596"/>
      <c r="P130" s="30"/>
      <c r="Q130" s="30"/>
      <c r="R130" s="30"/>
      <c r="S130" s="30"/>
      <c r="T130" s="30"/>
      <c r="U130" s="30"/>
    </row>
    <row r="131" spans="1:21" x14ac:dyDescent="0.2">
      <c r="A131" s="878">
        <v>119</v>
      </c>
      <c r="B131" s="600" t="s">
        <v>250</v>
      </c>
      <c r="C131" s="601" t="s">
        <v>251</v>
      </c>
      <c r="D131" s="599"/>
      <c r="E131" s="596"/>
      <c r="F131" s="597"/>
      <c r="G131" s="596"/>
      <c r="H131" s="598"/>
      <c r="I131" s="596"/>
      <c r="P131" s="30"/>
      <c r="Q131" s="30"/>
      <c r="R131" s="30"/>
      <c r="S131" s="30"/>
      <c r="T131" s="30"/>
      <c r="U131" s="30"/>
    </row>
    <row r="132" spans="1:21" x14ac:dyDescent="0.2">
      <c r="A132" s="878">
        <v>120</v>
      </c>
      <c r="B132" s="616" t="s">
        <v>252</v>
      </c>
      <c r="C132" s="617" t="s">
        <v>253</v>
      </c>
      <c r="D132" s="599"/>
      <c r="E132" s="596"/>
      <c r="F132" s="597"/>
      <c r="G132" s="596"/>
      <c r="H132" s="598"/>
      <c r="I132" s="596"/>
      <c r="P132" s="30"/>
      <c r="Q132" s="30"/>
      <c r="R132" s="30"/>
      <c r="S132" s="30"/>
      <c r="T132" s="30"/>
      <c r="U132" s="30"/>
    </row>
    <row r="133" spans="1:21" x14ac:dyDescent="0.2">
      <c r="A133" s="878">
        <v>121</v>
      </c>
      <c r="B133" s="593" t="s">
        <v>254</v>
      </c>
      <c r="C133" s="594" t="s">
        <v>255</v>
      </c>
      <c r="D133" s="599"/>
      <c r="E133" s="596"/>
      <c r="F133" s="597"/>
      <c r="G133" s="596"/>
      <c r="H133" s="598"/>
      <c r="I133" s="596"/>
      <c r="P133" s="30"/>
      <c r="Q133" s="30"/>
      <c r="R133" s="30"/>
      <c r="S133" s="30"/>
      <c r="T133" s="30"/>
      <c r="U133" s="30"/>
    </row>
    <row r="134" spans="1:21" x14ac:dyDescent="0.2">
      <c r="A134" s="878">
        <v>122</v>
      </c>
      <c r="B134" s="600" t="s">
        <v>256</v>
      </c>
      <c r="C134" s="601" t="s">
        <v>257</v>
      </c>
      <c r="D134" s="599"/>
      <c r="E134" s="596"/>
      <c r="F134" s="597"/>
      <c r="G134" s="596"/>
      <c r="H134" s="598"/>
      <c r="I134" s="596"/>
      <c r="P134" s="30"/>
      <c r="Q134" s="30"/>
      <c r="R134" s="30"/>
      <c r="S134" s="30"/>
      <c r="T134" s="30"/>
      <c r="U134" s="30"/>
    </row>
    <row r="135" spans="1:21" x14ac:dyDescent="0.2">
      <c r="A135" s="878">
        <v>123</v>
      </c>
      <c r="B135" s="593" t="s">
        <v>258</v>
      </c>
      <c r="C135" s="601" t="s">
        <v>259</v>
      </c>
      <c r="D135" s="599"/>
      <c r="E135" s="596"/>
      <c r="F135" s="597"/>
      <c r="G135" s="596"/>
      <c r="H135" s="598"/>
      <c r="I135" s="596"/>
      <c r="P135" s="30"/>
      <c r="Q135" s="30"/>
      <c r="R135" s="30"/>
      <c r="S135" s="30"/>
      <c r="T135" s="30"/>
      <c r="U135" s="30"/>
    </row>
    <row r="136" spans="1:21" x14ac:dyDescent="0.2">
      <c r="A136" s="878">
        <v>124</v>
      </c>
      <c r="B136" s="600" t="s">
        <v>260</v>
      </c>
      <c r="C136" s="601" t="s">
        <v>261</v>
      </c>
      <c r="D136" s="599"/>
      <c r="E136" s="596"/>
      <c r="F136" s="597"/>
      <c r="G136" s="596"/>
      <c r="H136" s="598"/>
      <c r="I136" s="596"/>
      <c r="P136" s="30"/>
      <c r="Q136" s="30"/>
      <c r="R136" s="30"/>
      <c r="S136" s="30"/>
      <c r="T136" s="30"/>
      <c r="U136" s="30"/>
    </row>
    <row r="137" spans="1:21" x14ac:dyDescent="0.2">
      <c r="A137" s="878">
        <v>125</v>
      </c>
      <c r="B137" s="600" t="s">
        <v>262</v>
      </c>
      <c r="C137" s="601" t="s">
        <v>263</v>
      </c>
      <c r="D137" s="599"/>
      <c r="E137" s="596"/>
      <c r="F137" s="597"/>
      <c r="G137" s="596"/>
      <c r="H137" s="598"/>
      <c r="I137" s="596"/>
      <c r="P137" s="30"/>
      <c r="Q137" s="30"/>
      <c r="R137" s="30"/>
      <c r="S137" s="30"/>
      <c r="T137" s="30"/>
      <c r="U137" s="30"/>
    </row>
    <row r="138" spans="1:21" x14ac:dyDescent="0.2">
      <c r="A138" s="878">
        <v>126</v>
      </c>
      <c r="B138" s="593" t="s">
        <v>264</v>
      </c>
      <c r="C138" s="601" t="s">
        <v>265</v>
      </c>
      <c r="D138" s="599"/>
      <c r="E138" s="596"/>
      <c r="F138" s="597"/>
      <c r="G138" s="596"/>
      <c r="H138" s="598"/>
      <c r="I138" s="596"/>
      <c r="P138" s="30"/>
      <c r="Q138" s="30"/>
      <c r="R138" s="30"/>
      <c r="S138" s="30"/>
      <c r="T138" s="30"/>
      <c r="U138" s="30"/>
    </row>
    <row r="139" spans="1:21" x14ac:dyDescent="0.2">
      <c r="A139" s="878">
        <v>127</v>
      </c>
      <c r="B139" s="600" t="s">
        <v>266</v>
      </c>
      <c r="C139" s="601" t="s">
        <v>267</v>
      </c>
      <c r="D139" s="599">
        <v>93850</v>
      </c>
      <c r="E139" s="596">
        <v>8852</v>
      </c>
      <c r="F139" s="597">
        <v>1859</v>
      </c>
      <c r="G139" s="596">
        <v>27880</v>
      </c>
      <c r="H139" s="618">
        <v>197</v>
      </c>
      <c r="I139" s="596">
        <v>2170</v>
      </c>
      <c r="P139" s="30"/>
      <c r="Q139" s="30"/>
      <c r="R139" s="30"/>
      <c r="S139" s="30"/>
      <c r="T139" s="30"/>
      <c r="U139" s="30"/>
    </row>
    <row r="140" spans="1:21" x14ac:dyDescent="0.2">
      <c r="A140" s="878">
        <v>128</v>
      </c>
      <c r="B140" s="593" t="s">
        <v>268</v>
      </c>
      <c r="C140" s="594" t="s">
        <v>269</v>
      </c>
      <c r="D140" s="599"/>
      <c r="E140" s="596"/>
      <c r="F140" s="597"/>
      <c r="G140" s="596"/>
      <c r="H140" s="598"/>
      <c r="I140" s="596"/>
      <c r="P140" s="30"/>
      <c r="Q140" s="30"/>
      <c r="R140" s="30"/>
      <c r="S140" s="30"/>
      <c r="T140" s="30"/>
      <c r="U140" s="30"/>
    </row>
    <row r="141" spans="1:21" x14ac:dyDescent="0.2">
      <c r="A141" s="878">
        <v>129</v>
      </c>
      <c r="B141" s="593" t="s">
        <v>270</v>
      </c>
      <c r="C141" s="594" t="s">
        <v>271</v>
      </c>
      <c r="D141" s="599"/>
      <c r="E141" s="596"/>
      <c r="F141" s="597"/>
      <c r="G141" s="596"/>
      <c r="H141" s="598"/>
      <c r="I141" s="596"/>
      <c r="P141" s="30"/>
      <c r="Q141" s="30"/>
      <c r="R141" s="30"/>
      <c r="S141" s="30"/>
      <c r="T141" s="30"/>
      <c r="U141" s="30"/>
    </row>
    <row r="142" spans="1:21" x14ac:dyDescent="0.2">
      <c r="A142" s="878">
        <v>130</v>
      </c>
      <c r="B142" s="600" t="s">
        <v>272</v>
      </c>
      <c r="C142" s="601" t="s">
        <v>273</v>
      </c>
      <c r="D142" s="599"/>
      <c r="E142" s="596"/>
      <c r="F142" s="597"/>
      <c r="G142" s="596"/>
      <c r="H142" s="598"/>
      <c r="I142" s="596"/>
      <c r="P142" s="30"/>
      <c r="Q142" s="30"/>
      <c r="R142" s="30"/>
      <c r="S142" s="30"/>
      <c r="T142" s="30"/>
      <c r="U142" s="30"/>
    </row>
    <row r="143" spans="1:21" x14ac:dyDescent="0.2">
      <c r="A143" s="878">
        <v>131</v>
      </c>
      <c r="B143" s="600" t="s">
        <v>274</v>
      </c>
      <c r="C143" s="601" t="s">
        <v>275</v>
      </c>
      <c r="D143" s="599"/>
      <c r="E143" s="596"/>
      <c r="F143" s="597"/>
      <c r="G143" s="596"/>
      <c r="H143" s="598"/>
      <c r="I143" s="596"/>
      <c r="P143" s="30"/>
      <c r="Q143" s="30"/>
      <c r="R143" s="30"/>
      <c r="S143" s="30"/>
      <c r="T143" s="30"/>
      <c r="U143" s="30"/>
    </row>
    <row r="144" spans="1:21" x14ac:dyDescent="0.2">
      <c r="A144" s="878">
        <v>132</v>
      </c>
      <c r="B144" s="600" t="s">
        <v>276</v>
      </c>
      <c r="C144" s="601" t="s">
        <v>277</v>
      </c>
      <c r="D144" s="599"/>
      <c r="E144" s="596"/>
      <c r="F144" s="597"/>
      <c r="G144" s="596"/>
      <c r="H144" s="598"/>
      <c r="I144" s="596"/>
      <c r="P144" s="30"/>
      <c r="Q144" s="30"/>
      <c r="R144" s="30"/>
      <c r="S144" s="30"/>
      <c r="T144" s="30"/>
      <c r="U144" s="30"/>
    </row>
    <row r="145" spans="1:21" x14ac:dyDescent="0.2">
      <c r="A145" s="878">
        <v>133</v>
      </c>
      <c r="B145" s="600" t="s">
        <v>278</v>
      </c>
      <c r="C145" s="601" t="s">
        <v>279</v>
      </c>
      <c r="D145" s="599">
        <v>4697</v>
      </c>
      <c r="E145" s="596"/>
      <c r="F145" s="597"/>
      <c r="G145" s="596"/>
      <c r="H145" s="598"/>
      <c r="I145" s="596"/>
      <c r="P145" s="30"/>
      <c r="Q145" s="30"/>
      <c r="R145" s="30"/>
      <c r="S145" s="30"/>
      <c r="T145" s="30"/>
      <c r="U145" s="30"/>
    </row>
    <row r="146" spans="1:21" x14ac:dyDescent="0.2">
      <c r="A146" s="878">
        <v>134</v>
      </c>
      <c r="B146" s="600" t="s">
        <v>280</v>
      </c>
      <c r="C146" s="601" t="s">
        <v>281</v>
      </c>
      <c r="D146" s="610"/>
      <c r="E146" s="596"/>
      <c r="F146" s="597"/>
      <c r="G146" s="596"/>
      <c r="H146" s="598"/>
      <c r="I146" s="596"/>
      <c r="P146" s="30"/>
      <c r="Q146" s="30"/>
      <c r="R146" s="30"/>
      <c r="S146" s="30"/>
      <c r="T146" s="30"/>
      <c r="U146" s="30"/>
    </row>
    <row r="147" spans="1:21" x14ac:dyDescent="0.2">
      <c r="A147" s="878">
        <v>135</v>
      </c>
      <c r="B147" s="593" t="s">
        <v>282</v>
      </c>
      <c r="C147" s="594" t="s">
        <v>283</v>
      </c>
      <c r="D147" s="610"/>
      <c r="E147" s="596"/>
      <c r="F147" s="597"/>
      <c r="G147" s="596"/>
      <c r="H147" s="598"/>
      <c r="I147" s="596"/>
      <c r="P147" s="30"/>
      <c r="Q147" s="30"/>
      <c r="R147" s="30"/>
      <c r="S147" s="30"/>
      <c r="T147" s="30"/>
      <c r="U147" s="30"/>
    </row>
    <row r="148" spans="1:21" x14ac:dyDescent="0.2">
      <c r="A148" s="878">
        <v>136</v>
      </c>
      <c r="B148" s="600" t="s">
        <v>284</v>
      </c>
      <c r="C148" s="601" t="s">
        <v>285</v>
      </c>
      <c r="D148" s="610"/>
      <c r="E148" s="596"/>
      <c r="F148" s="597"/>
      <c r="G148" s="596"/>
      <c r="H148" s="598"/>
      <c r="I148" s="596"/>
      <c r="P148" s="30"/>
      <c r="Q148" s="30"/>
      <c r="R148" s="30"/>
      <c r="S148" s="30"/>
      <c r="T148" s="30"/>
      <c r="U148" s="30"/>
    </row>
    <row r="149" spans="1:21" x14ac:dyDescent="0.2">
      <c r="A149" s="878">
        <v>137</v>
      </c>
      <c r="B149" s="619" t="s">
        <v>387</v>
      </c>
      <c r="C149" s="609" t="s">
        <v>388</v>
      </c>
      <c r="D149" s="610"/>
      <c r="E149" s="596"/>
      <c r="F149" s="597"/>
      <c r="G149" s="596"/>
      <c r="H149" s="598"/>
      <c r="I149" s="596"/>
      <c r="P149" s="30"/>
      <c r="Q149" s="30"/>
      <c r="R149" s="30"/>
      <c r="S149" s="30"/>
      <c r="T149" s="30"/>
      <c r="U149" s="30"/>
    </row>
    <row r="150" spans="1:21" x14ac:dyDescent="0.2">
      <c r="A150" s="878">
        <v>138</v>
      </c>
      <c r="B150" s="620" t="s">
        <v>389</v>
      </c>
      <c r="C150" s="621" t="s">
        <v>390</v>
      </c>
      <c r="D150" s="610"/>
      <c r="E150" s="596"/>
      <c r="F150" s="597"/>
      <c r="G150" s="596"/>
      <c r="H150" s="598"/>
      <c r="I150" s="596"/>
      <c r="P150" s="30"/>
      <c r="Q150" s="30"/>
      <c r="R150" s="30"/>
      <c r="S150" s="30"/>
      <c r="T150" s="30"/>
      <c r="U150" s="30"/>
    </row>
    <row r="151" spans="1:21" x14ac:dyDescent="0.2">
      <c r="A151" s="878">
        <v>139</v>
      </c>
      <c r="B151" s="619" t="s">
        <v>391</v>
      </c>
      <c r="C151" s="609" t="s">
        <v>392</v>
      </c>
      <c r="D151" s="610"/>
      <c r="E151" s="596"/>
      <c r="F151" s="597"/>
      <c r="G151" s="596"/>
      <c r="H151" s="598"/>
      <c r="I151" s="596"/>
      <c r="P151" s="30"/>
      <c r="Q151" s="30"/>
      <c r="R151" s="30"/>
      <c r="S151" s="30"/>
      <c r="T151" s="30"/>
      <c r="U151" s="30"/>
    </row>
    <row r="152" spans="1:21" ht="13.5" thickBot="1" x14ac:dyDescent="0.25">
      <c r="A152" s="622">
        <v>140</v>
      </c>
      <c r="B152" s="623" t="s">
        <v>393</v>
      </c>
      <c r="C152" s="624" t="s">
        <v>394</v>
      </c>
      <c r="D152" s="625"/>
      <c r="E152" s="626"/>
      <c r="F152" s="627"/>
      <c r="G152" s="626"/>
      <c r="H152" s="628"/>
      <c r="I152" s="626"/>
      <c r="P152" s="30"/>
      <c r="Q152" s="30"/>
      <c r="R152" s="30"/>
      <c r="S152" s="30"/>
      <c r="T152" s="30"/>
      <c r="U152" s="30"/>
    </row>
    <row r="153" spans="1:21" x14ac:dyDescent="0.2">
      <c r="P153" s="30"/>
      <c r="Q153" s="30"/>
      <c r="R153" s="30"/>
      <c r="S153" s="30"/>
      <c r="T153" s="30"/>
      <c r="U153" s="30"/>
    </row>
    <row r="154" spans="1:21" x14ac:dyDescent="0.2">
      <c r="P154" s="30"/>
      <c r="Q154" s="30"/>
      <c r="R154" s="30"/>
      <c r="S154" s="30"/>
      <c r="T154" s="30"/>
      <c r="U154" s="30"/>
    </row>
    <row r="155" spans="1:21" x14ac:dyDescent="0.2">
      <c r="P155" s="30"/>
      <c r="Q155" s="30"/>
      <c r="R155" s="30"/>
      <c r="S155" s="30"/>
      <c r="T155" s="30"/>
      <c r="U155" s="30"/>
    </row>
    <row r="156" spans="1:21" x14ac:dyDescent="0.2">
      <c r="P156" s="30"/>
      <c r="Q156" s="30"/>
      <c r="R156" s="30"/>
      <c r="S156" s="30"/>
      <c r="T156" s="30"/>
      <c r="U156" s="30"/>
    </row>
    <row r="157" spans="1:21" x14ac:dyDescent="0.2">
      <c r="P157" s="30"/>
      <c r="Q157" s="30"/>
      <c r="R157" s="30"/>
      <c r="S157" s="30"/>
      <c r="T157" s="30"/>
      <c r="U157" s="30"/>
    </row>
    <row r="158" spans="1:21" x14ac:dyDescent="0.2">
      <c r="P158" s="30"/>
      <c r="Q158" s="30"/>
      <c r="R158" s="30"/>
      <c r="S158" s="30"/>
      <c r="T158" s="30"/>
      <c r="U158" s="30"/>
    </row>
    <row r="159" spans="1:21" x14ac:dyDescent="0.2">
      <c r="P159" s="30"/>
      <c r="Q159" s="30"/>
      <c r="R159" s="30"/>
      <c r="S159" s="30"/>
      <c r="T159" s="30"/>
      <c r="U159" s="30"/>
    </row>
    <row r="160" spans="1:21" x14ac:dyDescent="0.2">
      <c r="P160" s="30"/>
      <c r="Q160" s="30"/>
      <c r="R160" s="30"/>
      <c r="S160" s="30"/>
      <c r="T160" s="30"/>
      <c r="U160" s="30"/>
    </row>
    <row r="161" spans="16:21" x14ac:dyDescent="0.2">
      <c r="P161" s="30"/>
      <c r="Q161" s="30"/>
      <c r="R161" s="30"/>
      <c r="S161" s="30"/>
      <c r="T161" s="30"/>
      <c r="U161" s="30"/>
    </row>
    <row r="162" spans="16:21" x14ac:dyDescent="0.2">
      <c r="P162" s="30"/>
      <c r="Q162" s="30"/>
      <c r="R162" s="30"/>
      <c r="S162" s="30"/>
      <c r="T162" s="30"/>
      <c r="U162" s="30"/>
    </row>
    <row r="163" spans="16:21" x14ac:dyDescent="0.2">
      <c r="P163" s="30"/>
      <c r="Q163" s="30"/>
      <c r="R163" s="30"/>
      <c r="S163" s="30"/>
      <c r="T163" s="30"/>
      <c r="U163" s="30"/>
    </row>
    <row r="164" spans="16:21" x14ac:dyDescent="0.2">
      <c r="P164" s="30"/>
      <c r="Q164" s="30"/>
      <c r="R164" s="30"/>
      <c r="S164" s="30"/>
      <c r="T164" s="30"/>
      <c r="U164" s="30"/>
    </row>
    <row r="165" spans="16:21" x14ac:dyDescent="0.2">
      <c r="P165" s="30"/>
      <c r="Q165" s="30"/>
      <c r="R165" s="30"/>
      <c r="S165" s="30"/>
      <c r="T165" s="30"/>
      <c r="U165" s="30"/>
    </row>
    <row r="166" spans="16:21" x14ac:dyDescent="0.2">
      <c r="P166" s="30"/>
      <c r="Q166" s="30"/>
      <c r="R166" s="30"/>
      <c r="S166" s="30"/>
      <c r="T166" s="30"/>
      <c r="U166" s="30"/>
    </row>
    <row r="167" spans="16:21" x14ac:dyDescent="0.2">
      <c r="P167" s="30"/>
      <c r="Q167" s="30"/>
      <c r="R167" s="30"/>
      <c r="S167" s="30"/>
      <c r="T167" s="30"/>
      <c r="U167" s="30"/>
    </row>
    <row r="168" spans="16:21" x14ac:dyDescent="0.2">
      <c r="P168" s="30"/>
      <c r="Q168" s="30"/>
      <c r="R168" s="30"/>
      <c r="S168" s="30"/>
      <c r="T168" s="30"/>
      <c r="U168" s="30"/>
    </row>
    <row r="169" spans="16:21" x14ac:dyDescent="0.2">
      <c r="P169" s="30"/>
      <c r="Q169" s="30"/>
      <c r="R169" s="30"/>
      <c r="S169" s="30"/>
      <c r="T169" s="30"/>
      <c r="U169" s="30"/>
    </row>
    <row r="170" spans="16:21" x14ac:dyDescent="0.2">
      <c r="P170" s="30"/>
      <c r="Q170" s="30"/>
      <c r="R170" s="30"/>
      <c r="S170" s="30"/>
      <c r="T170" s="30"/>
      <c r="U170" s="30"/>
    </row>
    <row r="171" spans="16:21" x14ac:dyDescent="0.2">
      <c r="P171" s="30"/>
      <c r="Q171" s="30"/>
      <c r="R171" s="30"/>
      <c r="S171" s="30"/>
      <c r="T171" s="30"/>
      <c r="U171" s="30"/>
    </row>
    <row r="172" spans="16:21" x14ac:dyDescent="0.2">
      <c r="P172" s="30"/>
      <c r="Q172" s="30"/>
      <c r="R172" s="30"/>
      <c r="S172" s="30"/>
      <c r="T172" s="30"/>
      <c r="U172" s="30"/>
    </row>
    <row r="173" spans="16:21" x14ac:dyDescent="0.2">
      <c r="P173" s="30"/>
      <c r="Q173" s="30"/>
      <c r="R173" s="30"/>
      <c r="S173" s="30"/>
      <c r="T173" s="30"/>
      <c r="U173" s="30"/>
    </row>
    <row r="174" spans="16:21" x14ac:dyDescent="0.2">
      <c r="P174" s="30"/>
      <c r="Q174" s="30"/>
      <c r="R174" s="30"/>
      <c r="S174" s="30"/>
      <c r="T174" s="30"/>
      <c r="U174" s="30"/>
    </row>
    <row r="175" spans="16:21" x14ac:dyDescent="0.2">
      <c r="P175" s="30"/>
      <c r="Q175" s="30"/>
      <c r="R175" s="30"/>
      <c r="S175" s="30"/>
      <c r="T175" s="30"/>
      <c r="U175" s="30"/>
    </row>
    <row r="176" spans="16:21" x14ac:dyDescent="0.2">
      <c r="P176" s="30"/>
      <c r="Q176" s="30"/>
      <c r="R176" s="30"/>
      <c r="S176" s="30"/>
      <c r="T176" s="30"/>
      <c r="U176" s="30"/>
    </row>
    <row r="177" spans="16:21" x14ac:dyDescent="0.2">
      <c r="P177" s="30"/>
      <c r="Q177" s="30"/>
      <c r="R177" s="30"/>
      <c r="S177" s="30"/>
      <c r="T177" s="30"/>
      <c r="U177" s="30"/>
    </row>
    <row r="178" spans="16:21" x14ac:dyDescent="0.2">
      <c r="P178" s="30"/>
      <c r="Q178" s="30"/>
      <c r="R178" s="30"/>
      <c r="S178" s="30"/>
      <c r="T178" s="30"/>
      <c r="U178" s="30"/>
    </row>
    <row r="179" spans="16:21" x14ac:dyDescent="0.2">
      <c r="P179" s="30"/>
      <c r="Q179" s="30"/>
      <c r="R179" s="30"/>
      <c r="S179" s="30"/>
      <c r="T179" s="30"/>
      <c r="U179" s="30"/>
    </row>
    <row r="180" spans="16:21" x14ac:dyDescent="0.2">
      <c r="P180" s="30"/>
      <c r="Q180" s="30"/>
      <c r="R180" s="30"/>
      <c r="S180" s="30"/>
      <c r="T180" s="30"/>
      <c r="U180" s="30"/>
    </row>
    <row r="181" spans="16:21" x14ac:dyDescent="0.2">
      <c r="P181" s="30"/>
      <c r="Q181" s="30"/>
      <c r="R181" s="30"/>
      <c r="S181" s="30"/>
      <c r="T181" s="30"/>
      <c r="U181" s="30"/>
    </row>
    <row r="182" spans="16:21" x14ac:dyDescent="0.2">
      <c r="P182" s="30"/>
      <c r="Q182" s="30"/>
      <c r="R182" s="30"/>
      <c r="S182" s="30"/>
      <c r="T182" s="30"/>
      <c r="U182" s="30"/>
    </row>
    <row r="183" spans="16:21" x14ac:dyDescent="0.2">
      <c r="P183" s="30"/>
      <c r="Q183" s="30"/>
      <c r="R183" s="30"/>
      <c r="S183" s="30"/>
      <c r="T183" s="30"/>
      <c r="U183" s="30"/>
    </row>
    <row r="184" spans="16:21" x14ac:dyDescent="0.2">
      <c r="P184" s="30"/>
      <c r="Q184" s="30"/>
      <c r="R184" s="30"/>
      <c r="S184" s="30"/>
      <c r="T184" s="30"/>
      <c r="U184" s="30"/>
    </row>
    <row r="185" spans="16:21" x14ac:dyDescent="0.2">
      <c r="P185" s="30"/>
      <c r="Q185" s="30"/>
      <c r="R185" s="30"/>
      <c r="S185" s="30"/>
      <c r="T185" s="30"/>
      <c r="U185" s="30"/>
    </row>
    <row r="186" spans="16:21" x14ac:dyDescent="0.2">
      <c r="P186" s="30"/>
      <c r="Q186" s="30"/>
      <c r="R186" s="30"/>
      <c r="S186" s="30"/>
      <c r="T186" s="30"/>
      <c r="U186" s="30"/>
    </row>
    <row r="187" spans="16:21" x14ac:dyDescent="0.2">
      <c r="P187" s="30"/>
      <c r="Q187" s="30"/>
      <c r="R187" s="30"/>
      <c r="S187" s="30"/>
      <c r="T187" s="30"/>
      <c r="U187" s="30"/>
    </row>
    <row r="188" spans="16:21" x14ac:dyDescent="0.2">
      <c r="P188" s="30"/>
      <c r="Q188" s="30"/>
      <c r="R188" s="30"/>
      <c r="S188" s="30"/>
      <c r="T188" s="30"/>
      <c r="U188" s="30"/>
    </row>
    <row r="189" spans="16:21" x14ac:dyDescent="0.2">
      <c r="P189" s="30"/>
      <c r="Q189" s="30"/>
      <c r="R189" s="30"/>
      <c r="S189" s="30"/>
      <c r="T189" s="30"/>
      <c r="U189" s="30"/>
    </row>
    <row r="190" spans="16:21" x14ac:dyDescent="0.2">
      <c r="P190" s="30"/>
      <c r="Q190" s="30"/>
      <c r="R190" s="30"/>
      <c r="S190" s="30"/>
      <c r="T190" s="30"/>
      <c r="U190" s="30"/>
    </row>
    <row r="191" spans="16:21" x14ac:dyDescent="0.2">
      <c r="P191" s="30"/>
      <c r="Q191" s="30"/>
      <c r="R191" s="30"/>
      <c r="S191" s="30"/>
      <c r="T191" s="30"/>
      <c r="U191" s="30"/>
    </row>
    <row r="192" spans="16:21" x14ac:dyDescent="0.2">
      <c r="P192" s="30"/>
      <c r="Q192" s="30"/>
      <c r="R192" s="30"/>
      <c r="S192" s="30"/>
      <c r="T192" s="30"/>
      <c r="U192" s="30"/>
    </row>
    <row r="193" spans="16:21" x14ac:dyDescent="0.2">
      <c r="P193" s="30"/>
      <c r="Q193" s="30"/>
      <c r="R193" s="30"/>
      <c r="S193" s="30"/>
      <c r="T193" s="30"/>
      <c r="U193" s="30"/>
    </row>
    <row r="194" spans="16:21" x14ac:dyDescent="0.2">
      <c r="P194" s="30"/>
      <c r="Q194" s="30"/>
      <c r="R194" s="30"/>
      <c r="S194" s="30"/>
      <c r="T194" s="30"/>
      <c r="U194" s="30"/>
    </row>
    <row r="195" spans="16:21" x14ac:dyDescent="0.2">
      <c r="P195" s="30"/>
      <c r="Q195" s="30"/>
      <c r="R195" s="30"/>
      <c r="S195" s="30"/>
      <c r="T195" s="30"/>
      <c r="U195" s="30"/>
    </row>
    <row r="196" spans="16:21" x14ac:dyDescent="0.2">
      <c r="P196" s="30"/>
      <c r="Q196" s="30"/>
      <c r="R196" s="30"/>
      <c r="S196" s="30"/>
      <c r="T196" s="30"/>
      <c r="U196" s="30"/>
    </row>
    <row r="197" spans="16:21" x14ac:dyDescent="0.2">
      <c r="P197" s="30"/>
      <c r="Q197" s="30"/>
      <c r="R197" s="30"/>
      <c r="S197" s="30"/>
      <c r="T197" s="30"/>
      <c r="U197" s="30"/>
    </row>
    <row r="198" spans="16:21" x14ac:dyDescent="0.2">
      <c r="P198" s="30"/>
      <c r="Q198" s="30"/>
      <c r="R198" s="30"/>
      <c r="S198" s="30"/>
      <c r="T198" s="30"/>
      <c r="U198" s="30"/>
    </row>
    <row r="199" spans="16:21" x14ac:dyDescent="0.2">
      <c r="P199" s="30"/>
      <c r="Q199" s="30"/>
      <c r="R199" s="30"/>
      <c r="S199" s="30"/>
      <c r="T199" s="30"/>
      <c r="U199" s="30"/>
    </row>
    <row r="200" spans="16:21" x14ac:dyDescent="0.2">
      <c r="P200" s="30"/>
      <c r="Q200" s="30"/>
      <c r="R200" s="30"/>
      <c r="S200" s="30"/>
      <c r="T200" s="30"/>
      <c r="U200" s="30"/>
    </row>
    <row r="201" spans="16:21" x14ac:dyDescent="0.2">
      <c r="P201" s="30"/>
      <c r="Q201" s="30"/>
      <c r="R201" s="30"/>
      <c r="S201" s="30"/>
      <c r="T201" s="30"/>
      <c r="U201" s="30"/>
    </row>
    <row r="202" spans="16:21" x14ac:dyDescent="0.2">
      <c r="P202" s="30"/>
      <c r="Q202" s="30"/>
      <c r="R202" s="30"/>
      <c r="S202" s="30"/>
      <c r="T202" s="30"/>
      <c r="U202" s="30"/>
    </row>
    <row r="203" spans="16:21" x14ac:dyDescent="0.2">
      <c r="P203" s="30"/>
      <c r="Q203" s="30"/>
      <c r="R203" s="30"/>
      <c r="S203" s="30"/>
      <c r="T203" s="30"/>
      <c r="U203" s="30"/>
    </row>
    <row r="204" spans="16:21" x14ac:dyDescent="0.2">
      <c r="P204" s="30"/>
      <c r="Q204" s="30"/>
      <c r="R204" s="30"/>
      <c r="S204" s="30"/>
      <c r="T204" s="30"/>
      <c r="U204" s="30"/>
    </row>
    <row r="205" spans="16:21" x14ac:dyDescent="0.2">
      <c r="P205" s="30"/>
      <c r="Q205" s="30"/>
      <c r="R205" s="30"/>
      <c r="S205" s="30"/>
      <c r="T205" s="30"/>
      <c r="U205" s="30"/>
    </row>
    <row r="206" spans="16:21" x14ac:dyDescent="0.2">
      <c r="P206" s="30"/>
      <c r="Q206" s="30"/>
      <c r="R206" s="30"/>
      <c r="S206" s="30"/>
      <c r="T206" s="30"/>
      <c r="U206" s="30"/>
    </row>
    <row r="207" spans="16:21" x14ac:dyDescent="0.2">
      <c r="P207" s="30"/>
      <c r="Q207" s="30"/>
      <c r="R207" s="30"/>
      <c r="S207" s="30"/>
      <c r="T207" s="30"/>
      <c r="U207" s="30"/>
    </row>
    <row r="208" spans="16:21" x14ac:dyDescent="0.2">
      <c r="P208" s="30"/>
      <c r="Q208" s="30"/>
      <c r="R208" s="30"/>
      <c r="S208" s="30"/>
      <c r="T208" s="30"/>
      <c r="U208" s="30"/>
    </row>
    <row r="209" spans="16:21" x14ac:dyDescent="0.2">
      <c r="P209" s="30"/>
      <c r="Q209" s="30"/>
      <c r="R209" s="30"/>
      <c r="S209" s="30"/>
      <c r="T209" s="30"/>
      <c r="U209" s="30"/>
    </row>
    <row r="210" spans="16:21" x14ac:dyDescent="0.2">
      <c r="P210" s="30"/>
      <c r="Q210" s="30"/>
      <c r="R210" s="30"/>
      <c r="S210" s="30"/>
      <c r="T210" s="30"/>
      <c r="U210" s="30"/>
    </row>
    <row r="211" spans="16:21" x14ac:dyDescent="0.2">
      <c r="P211" s="30"/>
      <c r="Q211" s="30"/>
      <c r="R211" s="30"/>
      <c r="S211" s="30"/>
      <c r="T211" s="30"/>
      <c r="U211" s="30"/>
    </row>
    <row r="212" spans="16:21" x14ac:dyDescent="0.2">
      <c r="P212" s="30"/>
      <c r="Q212" s="30"/>
      <c r="R212" s="30"/>
      <c r="S212" s="30"/>
      <c r="T212" s="30"/>
      <c r="U212" s="30"/>
    </row>
    <row r="213" spans="16:21" x14ac:dyDescent="0.2">
      <c r="P213" s="30"/>
      <c r="Q213" s="30"/>
      <c r="R213" s="30"/>
      <c r="S213" s="30"/>
      <c r="T213" s="30"/>
      <c r="U213" s="30"/>
    </row>
    <row r="214" spans="16:21" x14ac:dyDescent="0.2">
      <c r="P214" s="30"/>
      <c r="Q214" s="30"/>
      <c r="R214" s="30"/>
      <c r="S214" s="30"/>
      <c r="T214" s="30"/>
      <c r="U214" s="30"/>
    </row>
    <row r="215" spans="16:21" x14ac:dyDescent="0.2">
      <c r="P215" s="30"/>
      <c r="Q215" s="30"/>
      <c r="R215" s="30"/>
      <c r="S215" s="30"/>
      <c r="T215" s="30"/>
      <c r="U215" s="30"/>
    </row>
    <row r="216" spans="16:21" x14ac:dyDescent="0.2">
      <c r="P216" s="30"/>
      <c r="Q216" s="30"/>
      <c r="R216" s="30"/>
      <c r="S216" s="30"/>
      <c r="T216" s="30"/>
      <c r="U216" s="30"/>
    </row>
    <row r="217" spans="16:21" x14ac:dyDescent="0.2">
      <c r="P217" s="30"/>
      <c r="Q217" s="30"/>
      <c r="R217" s="30"/>
      <c r="S217" s="30"/>
      <c r="T217" s="30"/>
      <c r="U217" s="30"/>
    </row>
    <row r="218" spans="16:21" x14ac:dyDescent="0.2">
      <c r="P218" s="30"/>
      <c r="Q218" s="30"/>
      <c r="R218" s="30"/>
      <c r="S218" s="30"/>
      <c r="T218" s="30"/>
      <c r="U218" s="30"/>
    </row>
    <row r="219" spans="16:21" x14ac:dyDescent="0.2">
      <c r="P219" s="30"/>
      <c r="Q219" s="30"/>
      <c r="R219" s="30"/>
      <c r="S219" s="30"/>
      <c r="T219" s="30"/>
      <c r="U219" s="30"/>
    </row>
    <row r="220" spans="16:21" x14ac:dyDescent="0.2">
      <c r="P220" s="30"/>
      <c r="Q220" s="30"/>
      <c r="R220" s="30"/>
      <c r="S220" s="30"/>
      <c r="T220" s="30"/>
      <c r="U220" s="30"/>
    </row>
    <row r="221" spans="16:21" x14ac:dyDescent="0.2">
      <c r="P221" s="30"/>
      <c r="Q221" s="30"/>
      <c r="R221" s="30"/>
      <c r="S221" s="30"/>
      <c r="T221" s="30"/>
      <c r="U221" s="30"/>
    </row>
    <row r="222" spans="16:21" x14ac:dyDescent="0.2">
      <c r="P222" s="30"/>
      <c r="Q222" s="30"/>
      <c r="R222" s="30"/>
      <c r="S222" s="30"/>
      <c r="T222" s="30"/>
      <c r="U222" s="30"/>
    </row>
    <row r="223" spans="16:21" x14ac:dyDescent="0.2">
      <c r="P223" s="30"/>
      <c r="Q223" s="30"/>
      <c r="R223" s="30"/>
      <c r="S223" s="30"/>
      <c r="T223" s="30"/>
      <c r="U223" s="30"/>
    </row>
    <row r="224" spans="16:21" x14ac:dyDescent="0.2">
      <c r="P224" s="30"/>
      <c r="Q224" s="30"/>
      <c r="R224" s="30"/>
      <c r="S224" s="30"/>
      <c r="T224" s="30"/>
      <c r="U224" s="30"/>
    </row>
    <row r="225" spans="16:21" x14ac:dyDescent="0.2">
      <c r="P225" s="30"/>
      <c r="Q225" s="30"/>
      <c r="R225" s="30"/>
      <c r="S225" s="30"/>
      <c r="T225" s="30"/>
      <c r="U225" s="30"/>
    </row>
    <row r="226" spans="16:21" x14ac:dyDescent="0.2">
      <c r="P226" s="30"/>
      <c r="Q226" s="30"/>
      <c r="R226" s="30"/>
      <c r="S226" s="30"/>
      <c r="T226" s="30"/>
      <c r="U226" s="30"/>
    </row>
    <row r="227" spans="16:21" x14ac:dyDescent="0.2">
      <c r="P227" s="30"/>
      <c r="Q227" s="30"/>
      <c r="R227" s="30"/>
      <c r="S227" s="30"/>
      <c r="T227" s="30"/>
      <c r="U227" s="30"/>
    </row>
    <row r="228" spans="16:21" x14ac:dyDescent="0.2">
      <c r="P228" s="30"/>
      <c r="Q228" s="30"/>
      <c r="R228" s="30"/>
      <c r="S228" s="30"/>
      <c r="T228" s="30"/>
      <c r="U228" s="30"/>
    </row>
    <row r="229" spans="16:21" x14ac:dyDescent="0.2">
      <c r="P229" s="30"/>
      <c r="Q229" s="30"/>
      <c r="R229" s="30"/>
      <c r="S229" s="30"/>
      <c r="T229" s="30"/>
      <c r="U229" s="30"/>
    </row>
    <row r="230" spans="16:21" x14ac:dyDescent="0.2">
      <c r="P230" s="30"/>
      <c r="Q230" s="30"/>
      <c r="R230" s="30"/>
      <c r="S230" s="30"/>
      <c r="T230" s="30"/>
      <c r="U230" s="30"/>
    </row>
    <row r="231" spans="16:21" x14ac:dyDescent="0.2">
      <c r="P231" s="30"/>
      <c r="Q231" s="30"/>
      <c r="R231" s="30"/>
      <c r="S231" s="30"/>
      <c r="T231" s="30"/>
      <c r="U231" s="30"/>
    </row>
    <row r="232" spans="16:21" x14ac:dyDescent="0.2">
      <c r="P232" s="30"/>
      <c r="Q232" s="30"/>
      <c r="R232" s="30"/>
      <c r="S232" s="30"/>
      <c r="T232" s="30"/>
      <c r="U232" s="30"/>
    </row>
    <row r="233" spans="16:21" x14ac:dyDescent="0.2">
      <c r="P233" s="30"/>
      <c r="Q233" s="30"/>
      <c r="R233" s="30"/>
      <c r="S233" s="30"/>
      <c r="T233" s="30"/>
      <c r="U233" s="30"/>
    </row>
    <row r="234" spans="16:21" x14ac:dyDescent="0.2">
      <c r="P234" s="30"/>
      <c r="Q234" s="30"/>
      <c r="R234" s="30"/>
      <c r="S234" s="30"/>
      <c r="T234" s="30"/>
      <c r="U234" s="30"/>
    </row>
    <row r="235" spans="16:21" x14ac:dyDescent="0.2">
      <c r="P235" s="30"/>
      <c r="Q235" s="30"/>
      <c r="R235" s="30"/>
      <c r="S235" s="30"/>
      <c r="T235" s="30"/>
      <c r="U235" s="30"/>
    </row>
    <row r="236" spans="16:21" x14ac:dyDescent="0.2">
      <c r="P236" s="30"/>
      <c r="Q236" s="30"/>
      <c r="R236" s="30"/>
      <c r="S236" s="30"/>
      <c r="T236" s="30"/>
      <c r="U236" s="30"/>
    </row>
    <row r="237" spans="16:21" x14ac:dyDescent="0.2">
      <c r="P237" s="30"/>
      <c r="Q237" s="30"/>
      <c r="R237" s="30"/>
      <c r="S237" s="30"/>
      <c r="T237" s="30"/>
      <c r="U237" s="30"/>
    </row>
    <row r="238" spans="16:21" x14ac:dyDescent="0.2">
      <c r="P238" s="30"/>
      <c r="Q238" s="30"/>
      <c r="R238" s="30"/>
      <c r="S238" s="30"/>
      <c r="T238" s="30"/>
      <c r="U238" s="30"/>
    </row>
    <row r="239" spans="16:21" x14ac:dyDescent="0.2">
      <c r="P239" s="30"/>
      <c r="Q239" s="30"/>
      <c r="R239" s="30"/>
      <c r="S239" s="30"/>
      <c r="T239" s="30"/>
      <c r="U239" s="30"/>
    </row>
    <row r="240" spans="16:21" x14ac:dyDescent="0.2">
      <c r="P240" s="30"/>
      <c r="Q240" s="30"/>
      <c r="R240" s="30"/>
      <c r="S240" s="30"/>
      <c r="T240" s="30"/>
      <c r="U240" s="30"/>
    </row>
    <row r="241" spans="16:21" x14ac:dyDescent="0.2">
      <c r="P241" s="30"/>
      <c r="Q241" s="30"/>
      <c r="R241" s="30"/>
      <c r="S241" s="30"/>
      <c r="T241" s="30"/>
      <c r="U241" s="30"/>
    </row>
    <row r="242" spans="16:21" x14ac:dyDescent="0.2">
      <c r="P242" s="30"/>
      <c r="Q242" s="30"/>
      <c r="R242" s="30"/>
      <c r="S242" s="30"/>
      <c r="T242" s="30"/>
      <c r="U242" s="30"/>
    </row>
    <row r="243" spans="16:21" x14ac:dyDescent="0.2">
      <c r="P243" s="30"/>
      <c r="Q243" s="30"/>
      <c r="R243" s="30"/>
      <c r="S243" s="30"/>
      <c r="T243" s="30"/>
      <c r="U243" s="30"/>
    </row>
    <row r="244" spans="16:21" x14ac:dyDescent="0.2">
      <c r="P244" s="30"/>
      <c r="Q244" s="30"/>
      <c r="R244" s="30"/>
      <c r="S244" s="30"/>
      <c r="T244" s="30"/>
      <c r="U244" s="30"/>
    </row>
    <row r="245" spans="16:21" x14ac:dyDescent="0.2">
      <c r="P245" s="30"/>
      <c r="Q245" s="30"/>
      <c r="R245" s="30"/>
      <c r="S245" s="30"/>
      <c r="T245" s="30"/>
      <c r="U245" s="30"/>
    </row>
    <row r="246" spans="16:21" x14ac:dyDescent="0.2">
      <c r="P246" s="30"/>
      <c r="Q246" s="30"/>
      <c r="R246" s="30"/>
      <c r="S246" s="30"/>
      <c r="T246" s="30"/>
      <c r="U246" s="30"/>
    </row>
    <row r="247" spans="16:21" x14ac:dyDescent="0.2">
      <c r="P247" s="30"/>
      <c r="Q247" s="30"/>
      <c r="R247" s="30"/>
      <c r="S247" s="30"/>
      <c r="T247" s="30"/>
      <c r="U247" s="30"/>
    </row>
    <row r="248" spans="16:21" x14ac:dyDescent="0.2">
      <c r="P248" s="30"/>
      <c r="Q248" s="30"/>
      <c r="R248" s="30"/>
      <c r="S248" s="30"/>
      <c r="T248" s="30"/>
      <c r="U248" s="30"/>
    </row>
    <row r="249" spans="16:21" x14ac:dyDescent="0.2">
      <c r="P249" s="30"/>
      <c r="Q249" s="30"/>
      <c r="R249" s="30"/>
      <c r="S249" s="30"/>
      <c r="T249" s="30"/>
      <c r="U249" s="30"/>
    </row>
    <row r="250" spans="16:21" x14ac:dyDescent="0.2">
      <c r="P250" s="30"/>
      <c r="Q250" s="30"/>
      <c r="R250" s="30"/>
      <c r="S250" s="30"/>
      <c r="T250" s="30"/>
      <c r="U250" s="30"/>
    </row>
    <row r="251" spans="16:21" x14ac:dyDescent="0.2">
      <c r="P251" s="30"/>
      <c r="Q251" s="30"/>
      <c r="R251" s="30"/>
      <c r="S251" s="30"/>
      <c r="T251" s="30"/>
      <c r="U251" s="30"/>
    </row>
    <row r="252" spans="16:21" x14ac:dyDescent="0.2">
      <c r="P252" s="30"/>
      <c r="Q252" s="30"/>
      <c r="R252" s="30"/>
      <c r="S252" s="30"/>
      <c r="T252" s="30"/>
      <c r="U252" s="30"/>
    </row>
    <row r="253" spans="16:21" x14ac:dyDescent="0.2">
      <c r="P253" s="30"/>
      <c r="Q253" s="30"/>
      <c r="R253" s="30"/>
      <c r="S253" s="30"/>
      <c r="T253" s="30"/>
      <c r="U253" s="30"/>
    </row>
    <row r="254" spans="16:21" x14ac:dyDescent="0.2">
      <c r="P254" s="30"/>
      <c r="Q254" s="30"/>
      <c r="R254" s="30"/>
      <c r="S254" s="30"/>
      <c r="T254" s="30"/>
      <c r="U254" s="30"/>
    </row>
    <row r="255" spans="16:21" x14ac:dyDescent="0.2">
      <c r="P255" s="30"/>
      <c r="Q255" s="30"/>
      <c r="R255" s="30"/>
      <c r="S255" s="30"/>
      <c r="T255" s="30"/>
      <c r="U255" s="30"/>
    </row>
    <row r="256" spans="16:21" x14ac:dyDescent="0.2">
      <c r="P256" s="30"/>
      <c r="Q256" s="30"/>
      <c r="R256" s="30"/>
      <c r="S256" s="30"/>
      <c r="T256" s="30"/>
      <c r="U256" s="30"/>
    </row>
    <row r="257" spans="16:21" x14ac:dyDescent="0.2">
      <c r="P257" s="30"/>
      <c r="Q257" s="30"/>
      <c r="R257" s="30"/>
      <c r="S257" s="30"/>
      <c r="T257" s="30"/>
      <c r="U257" s="30"/>
    </row>
    <row r="258" spans="16:21" x14ac:dyDescent="0.2">
      <c r="P258" s="30"/>
      <c r="Q258" s="30"/>
      <c r="R258" s="30"/>
      <c r="S258" s="30"/>
      <c r="T258" s="30"/>
      <c r="U258" s="30"/>
    </row>
    <row r="259" spans="16:21" x14ac:dyDescent="0.2">
      <c r="P259" s="30"/>
      <c r="Q259" s="30"/>
      <c r="R259" s="30"/>
      <c r="S259" s="30"/>
      <c r="T259" s="30"/>
      <c r="U259" s="30"/>
    </row>
    <row r="260" spans="16:21" x14ac:dyDescent="0.2">
      <c r="P260" s="30"/>
      <c r="Q260" s="30"/>
      <c r="R260" s="30"/>
      <c r="S260" s="30"/>
      <c r="T260" s="30"/>
      <c r="U260" s="30"/>
    </row>
    <row r="261" spans="16:21" x14ac:dyDescent="0.2">
      <c r="P261" s="30"/>
      <c r="Q261" s="30"/>
      <c r="R261" s="30"/>
      <c r="S261" s="30"/>
      <c r="T261" s="30"/>
      <c r="U261" s="30"/>
    </row>
    <row r="262" spans="16:21" x14ac:dyDescent="0.2">
      <c r="P262" s="30"/>
      <c r="Q262" s="30"/>
      <c r="R262" s="30"/>
      <c r="S262" s="30"/>
      <c r="T262" s="30"/>
      <c r="U262" s="30"/>
    </row>
    <row r="263" spans="16:21" x14ac:dyDescent="0.2">
      <c r="P263" s="30"/>
      <c r="Q263" s="30"/>
      <c r="R263" s="30"/>
      <c r="S263" s="30"/>
      <c r="T263" s="30"/>
      <c r="U263" s="30"/>
    </row>
    <row r="264" spans="16:21" x14ac:dyDescent="0.2">
      <c r="P264" s="30"/>
      <c r="Q264" s="30"/>
      <c r="R264" s="30"/>
      <c r="S264" s="30"/>
      <c r="T264" s="30"/>
      <c r="U264" s="30"/>
    </row>
    <row r="265" spans="16:21" x14ac:dyDescent="0.2">
      <c r="P265" s="30"/>
      <c r="Q265" s="30"/>
      <c r="R265" s="30"/>
      <c r="S265" s="30"/>
      <c r="T265" s="30"/>
      <c r="U265" s="30"/>
    </row>
    <row r="266" spans="16:21" x14ac:dyDescent="0.2">
      <c r="P266" s="30"/>
      <c r="Q266" s="30"/>
      <c r="R266" s="30"/>
      <c r="S266" s="30"/>
      <c r="T266" s="30"/>
      <c r="U266" s="30"/>
    </row>
    <row r="267" spans="16:21" x14ac:dyDescent="0.2">
      <c r="P267" s="30"/>
      <c r="Q267" s="30"/>
      <c r="R267" s="30"/>
      <c r="S267" s="30"/>
      <c r="T267" s="30"/>
      <c r="U267" s="30"/>
    </row>
    <row r="268" spans="16:21" x14ac:dyDescent="0.2">
      <c r="P268" s="30"/>
      <c r="Q268" s="30"/>
      <c r="R268" s="30"/>
      <c r="S268" s="30"/>
      <c r="T268" s="30"/>
      <c r="U268" s="30"/>
    </row>
    <row r="269" spans="16:21" x14ac:dyDescent="0.2">
      <c r="P269" s="30"/>
      <c r="Q269" s="30"/>
      <c r="R269" s="30"/>
      <c r="S269" s="30"/>
      <c r="T269" s="30"/>
      <c r="U269" s="30"/>
    </row>
    <row r="270" spans="16:21" x14ac:dyDescent="0.2">
      <c r="P270" s="30"/>
      <c r="Q270" s="30"/>
      <c r="R270" s="30"/>
      <c r="S270" s="30"/>
      <c r="T270" s="30"/>
      <c r="U270" s="30"/>
    </row>
    <row r="271" spans="16:21" x14ac:dyDescent="0.2">
      <c r="P271" s="30"/>
      <c r="Q271" s="30"/>
      <c r="R271" s="30"/>
      <c r="S271" s="30"/>
      <c r="T271" s="30"/>
      <c r="U271" s="30"/>
    </row>
    <row r="272" spans="16:21" x14ac:dyDescent="0.2">
      <c r="P272" s="30"/>
      <c r="Q272" s="30"/>
      <c r="R272" s="30"/>
      <c r="S272" s="30"/>
      <c r="T272" s="30"/>
      <c r="U272" s="30"/>
    </row>
    <row r="273" spans="16:21" x14ac:dyDescent="0.2">
      <c r="P273" s="30"/>
      <c r="Q273" s="30"/>
      <c r="R273" s="30"/>
      <c r="S273" s="30"/>
      <c r="T273" s="30"/>
      <c r="U273" s="30"/>
    </row>
    <row r="274" spans="16:21" x14ac:dyDescent="0.2">
      <c r="P274" s="30"/>
      <c r="Q274" s="30"/>
      <c r="R274" s="30"/>
      <c r="S274" s="30"/>
      <c r="T274" s="30"/>
      <c r="U274" s="30"/>
    </row>
    <row r="275" spans="16:21" x14ac:dyDescent="0.2">
      <c r="P275" s="30"/>
      <c r="Q275" s="30"/>
      <c r="R275" s="30"/>
      <c r="S275" s="30"/>
      <c r="T275" s="30"/>
      <c r="U275" s="30"/>
    </row>
    <row r="276" spans="16:21" x14ac:dyDescent="0.2">
      <c r="P276" s="30"/>
      <c r="Q276" s="30"/>
      <c r="R276" s="30"/>
      <c r="S276" s="30"/>
      <c r="T276" s="30"/>
      <c r="U276" s="30"/>
    </row>
    <row r="277" spans="16:21" x14ac:dyDescent="0.2">
      <c r="P277" s="30"/>
      <c r="Q277" s="30"/>
      <c r="R277" s="30"/>
      <c r="S277" s="30"/>
      <c r="T277" s="30"/>
      <c r="U277" s="30"/>
    </row>
    <row r="278" spans="16:21" x14ac:dyDescent="0.2">
      <c r="P278" s="30"/>
      <c r="Q278" s="30"/>
      <c r="R278" s="30"/>
      <c r="S278" s="30"/>
      <c r="T278" s="30"/>
      <c r="U278" s="30"/>
    </row>
    <row r="279" spans="16:21" x14ac:dyDescent="0.2">
      <c r="P279" s="30"/>
      <c r="Q279" s="30"/>
      <c r="R279" s="30"/>
      <c r="S279" s="30"/>
      <c r="T279" s="30"/>
      <c r="U279" s="30"/>
    </row>
    <row r="280" spans="16:21" x14ac:dyDescent="0.2">
      <c r="P280" s="30"/>
      <c r="Q280" s="30"/>
      <c r="R280" s="30"/>
      <c r="S280" s="30"/>
      <c r="T280" s="30"/>
      <c r="U280" s="30"/>
    </row>
    <row r="281" spans="16:21" x14ac:dyDescent="0.2">
      <c r="P281" s="30"/>
      <c r="Q281" s="30"/>
      <c r="R281" s="30"/>
      <c r="S281" s="30"/>
      <c r="T281" s="30"/>
      <c r="U281" s="30"/>
    </row>
    <row r="282" spans="16:21" x14ac:dyDescent="0.2">
      <c r="P282" s="30"/>
      <c r="Q282" s="30"/>
      <c r="R282" s="30"/>
      <c r="S282" s="30"/>
      <c r="T282" s="30"/>
      <c r="U282" s="30"/>
    </row>
    <row r="283" spans="16:21" x14ac:dyDescent="0.2">
      <c r="P283" s="30"/>
      <c r="Q283" s="30"/>
      <c r="R283" s="30"/>
      <c r="S283" s="30"/>
      <c r="T283" s="30"/>
      <c r="U283" s="30"/>
    </row>
    <row r="284" spans="16:21" x14ac:dyDescent="0.2">
      <c r="P284" s="30"/>
      <c r="Q284" s="30"/>
      <c r="R284" s="30"/>
      <c r="S284" s="30"/>
      <c r="T284" s="30"/>
      <c r="U284" s="30"/>
    </row>
    <row r="285" spans="16:21" x14ac:dyDescent="0.2">
      <c r="P285" s="30"/>
      <c r="Q285" s="30"/>
      <c r="R285" s="30"/>
      <c r="S285" s="30"/>
      <c r="T285" s="30"/>
      <c r="U285" s="30"/>
    </row>
    <row r="286" spans="16:21" x14ac:dyDescent="0.2">
      <c r="P286" s="30"/>
      <c r="Q286" s="30"/>
      <c r="R286" s="30"/>
      <c r="S286" s="30"/>
      <c r="T286" s="30"/>
      <c r="U286" s="30"/>
    </row>
    <row r="287" spans="16:21" x14ac:dyDescent="0.2">
      <c r="P287" s="30"/>
      <c r="Q287" s="30"/>
      <c r="R287" s="30"/>
      <c r="S287" s="30"/>
      <c r="T287" s="30"/>
      <c r="U287" s="30"/>
    </row>
    <row r="288" spans="16:21" x14ac:dyDescent="0.2">
      <c r="P288" s="30"/>
      <c r="Q288" s="30"/>
      <c r="R288" s="30"/>
      <c r="S288" s="30"/>
      <c r="T288" s="30"/>
      <c r="U288" s="30"/>
    </row>
    <row r="289" spans="16:21" x14ac:dyDescent="0.2">
      <c r="P289" s="30"/>
      <c r="Q289" s="30"/>
      <c r="R289" s="30"/>
      <c r="S289" s="30"/>
      <c r="T289" s="30"/>
      <c r="U289" s="30"/>
    </row>
    <row r="290" spans="16:21" x14ac:dyDescent="0.2">
      <c r="P290" s="30"/>
      <c r="Q290" s="30"/>
      <c r="R290" s="30"/>
      <c r="S290" s="30"/>
      <c r="T290" s="30"/>
      <c r="U290" s="3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3"/>
  <sheetViews>
    <sheetView zoomScaleNormal="100" zoomScaleSheetLayoutView="70" workbookViewId="0">
      <pane xSplit="3" ySplit="3" topLeftCell="D5" activePane="bottomRight" state="frozen"/>
      <selection activeCell="AB31" sqref="AB31"/>
      <selection pane="topRight" activeCell="AB31" sqref="AB31"/>
      <selection pane="bottomLeft" activeCell="AB31" sqref="AB31"/>
      <selection pane="bottomRight" activeCell="AF112" sqref="AF112"/>
    </sheetView>
  </sheetViews>
  <sheetFormatPr defaultRowHeight="12.75" x14ac:dyDescent="0.2"/>
  <cols>
    <col min="1" max="1" width="6" style="409" hidden="1" customWidth="1"/>
    <col min="2" max="2" width="7.28515625" style="456" customWidth="1"/>
    <col min="3" max="3" width="12.85546875" style="412" customWidth="1"/>
    <col min="4" max="8" width="9" style="453" customWidth="1"/>
    <col min="9" max="9" width="9" style="454" customWidth="1"/>
    <col min="10" max="12" width="9" style="453" customWidth="1"/>
    <col min="13" max="13" width="9" style="454" customWidth="1"/>
    <col min="14" max="14" width="9" style="453" customWidth="1"/>
    <col min="15" max="15" width="9" style="412" customWidth="1"/>
    <col min="16" max="16" width="9" style="449" customWidth="1"/>
    <col min="17" max="17" width="9" style="454" customWidth="1"/>
    <col min="18" max="19" width="9" style="453" customWidth="1"/>
    <col min="20" max="21" width="10.85546875" style="453" customWidth="1"/>
    <col min="22" max="22" width="10.85546875" style="412" customWidth="1"/>
    <col min="23" max="25" width="9" style="412" customWidth="1"/>
    <col min="26" max="26" width="9" style="411" customWidth="1"/>
    <col min="27" max="27" width="11.85546875" style="411" hidden="1" customWidth="1"/>
    <col min="28" max="28" width="9" style="412" customWidth="1"/>
    <col min="29" max="29" width="9" style="411" customWidth="1"/>
    <col min="30" max="31" width="9" style="453" customWidth="1"/>
    <col min="32" max="32" width="11.140625" style="412" customWidth="1"/>
    <col min="33" max="33" width="9" style="412" customWidth="1"/>
    <col min="34" max="35" width="9" style="411" customWidth="1"/>
    <col min="36" max="16384" width="9.140625" style="412"/>
  </cols>
  <sheetData>
    <row r="1" spans="1:35" ht="17.25" customHeight="1" x14ac:dyDescent="0.2">
      <c r="B1" s="944" t="s">
        <v>395</v>
      </c>
      <c r="C1" s="944"/>
      <c r="D1" s="944"/>
      <c r="E1" s="944"/>
      <c r="F1" s="944"/>
      <c r="G1" s="944"/>
      <c r="H1" s="944"/>
      <c r="I1" s="944"/>
      <c r="J1" s="944"/>
      <c r="K1" s="944"/>
      <c r="L1" s="944"/>
      <c r="M1" s="944"/>
      <c r="N1" s="944"/>
      <c r="O1" s="944"/>
      <c r="P1" s="944"/>
      <c r="Q1" s="683"/>
      <c r="R1" s="683"/>
      <c r="S1" s="683"/>
      <c r="T1" s="683"/>
      <c r="U1" s="410"/>
      <c r="V1" s="410"/>
      <c r="W1" s="410"/>
      <c r="X1" s="410"/>
      <c r="Y1" s="410"/>
      <c r="AD1" s="683"/>
      <c r="AE1" s="683"/>
      <c r="AF1" s="683"/>
      <c r="AG1" s="410"/>
    </row>
    <row r="2" spans="1:35" s="415" customFormat="1" ht="38.25" customHeight="1" x14ac:dyDescent="0.2">
      <c r="A2" s="413"/>
      <c r="B2" s="945" t="s">
        <v>396</v>
      </c>
      <c r="C2" s="945" t="s">
        <v>397</v>
      </c>
      <c r="D2" s="697" t="s">
        <v>259</v>
      </c>
      <c r="E2" s="697" t="s">
        <v>277</v>
      </c>
      <c r="F2" s="697" t="s">
        <v>269</v>
      </c>
      <c r="G2" s="697" t="s">
        <v>263</v>
      </c>
      <c r="H2" s="697" t="s">
        <v>398</v>
      </c>
      <c r="I2" s="697" t="s">
        <v>267</v>
      </c>
      <c r="J2" s="697" t="s">
        <v>275</v>
      </c>
      <c r="K2" s="697" t="s">
        <v>399</v>
      </c>
      <c r="L2" s="697" t="s">
        <v>400</v>
      </c>
      <c r="M2" s="697" t="s">
        <v>401</v>
      </c>
      <c r="N2" s="697" t="s">
        <v>402</v>
      </c>
      <c r="O2" s="697" t="s">
        <v>761</v>
      </c>
      <c r="P2" s="697" t="s">
        <v>762</v>
      </c>
      <c r="Q2" s="697" t="s">
        <v>775</v>
      </c>
      <c r="R2" s="697" t="s">
        <v>208</v>
      </c>
      <c r="S2" s="697" t="s">
        <v>403</v>
      </c>
      <c r="T2" s="697" t="s">
        <v>800</v>
      </c>
      <c r="U2" s="697" t="s">
        <v>404</v>
      </c>
      <c r="V2" s="697" t="s">
        <v>405</v>
      </c>
      <c r="W2" s="697" t="s">
        <v>406</v>
      </c>
      <c r="X2" s="697" t="s">
        <v>407</v>
      </c>
      <c r="Y2" s="697" t="s">
        <v>408</v>
      </c>
      <c r="Z2" s="697" t="s">
        <v>84</v>
      </c>
      <c r="AA2" s="697" t="s">
        <v>409</v>
      </c>
      <c r="AB2" s="697" t="s">
        <v>206</v>
      </c>
      <c r="AC2" s="697" t="s">
        <v>410</v>
      </c>
      <c r="AD2" s="697" t="s">
        <v>411</v>
      </c>
      <c r="AE2" s="697" t="s">
        <v>124</v>
      </c>
      <c r="AF2" s="697" t="s">
        <v>722</v>
      </c>
      <c r="AG2" s="697" t="s">
        <v>412</v>
      </c>
      <c r="AH2" s="697" t="s">
        <v>413</v>
      </c>
      <c r="AI2" s="698" t="s">
        <v>414</v>
      </c>
    </row>
    <row r="3" spans="1:35" s="415" customFormat="1" ht="100.5" customHeight="1" x14ac:dyDescent="0.2">
      <c r="A3" s="413"/>
      <c r="B3" s="946"/>
      <c r="C3" s="946"/>
      <c r="D3" s="414" t="s">
        <v>415</v>
      </c>
      <c r="E3" s="414" t="s">
        <v>415</v>
      </c>
      <c r="F3" s="414" t="s">
        <v>415</v>
      </c>
      <c r="G3" s="414" t="s">
        <v>415</v>
      </c>
      <c r="H3" s="414" t="s">
        <v>415</v>
      </c>
      <c r="I3" s="414" t="s">
        <v>415</v>
      </c>
      <c r="J3" s="414" t="s">
        <v>415</v>
      </c>
      <c r="K3" s="414" t="s">
        <v>415</v>
      </c>
      <c r="L3" s="414" t="s">
        <v>415</v>
      </c>
      <c r="M3" s="414" t="s">
        <v>415</v>
      </c>
      <c r="N3" s="414" t="s">
        <v>415</v>
      </c>
      <c r="O3" s="414" t="s">
        <v>415</v>
      </c>
      <c r="P3" s="414" t="s">
        <v>415</v>
      </c>
      <c r="Q3" s="414" t="s">
        <v>415</v>
      </c>
      <c r="R3" s="414" t="s">
        <v>415</v>
      </c>
      <c r="S3" s="414" t="s">
        <v>415</v>
      </c>
      <c r="T3" s="414" t="s">
        <v>415</v>
      </c>
      <c r="U3" s="414" t="s">
        <v>415</v>
      </c>
      <c r="V3" s="414" t="s">
        <v>415</v>
      </c>
      <c r="W3" s="414" t="s">
        <v>415</v>
      </c>
      <c r="X3" s="414" t="s">
        <v>415</v>
      </c>
      <c r="Y3" s="414" t="s">
        <v>415</v>
      </c>
      <c r="Z3" s="414" t="s">
        <v>415</v>
      </c>
      <c r="AA3" s="414" t="s">
        <v>415</v>
      </c>
      <c r="AB3" s="414" t="s">
        <v>415</v>
      </c>
      <c r="AC3" s="414" t="s">
        <v>415</v>
      </c>
      <c r="AD3" s="414" t="s">
        <v>415</v>
      </c>
      <c r="AE3" s="414" t="s">
        <v>415</v>
      </c>
      <c r="AF3" s="414" t="s">
        <v>415</v>
      </c>
      <c r="AG3" s="414" t="s">
        <v>415</v>
      </c>
      <c r="AH3" s="414" t="s">
        <v>415</v>
      </c>
      <c r="AI3" s="414" t="s">
        <v>415</v>
      </c>
    </row>
    <row r="4" spans="1:35" s="419" customFormat="1" ht="11.25" hidden="1" customHeight="1" x14ac:dyDescent="0.2">
      <c r="A4" s="416"/>
      <c r="B4" s="417">
        <v>1</v>
      </c>
      <c r="C4" s="418">
        <v>2</v>
      </c>
      <c r="D4" s="417">
        <v>3</v>
      </c>
      <c r="E4" s="418">
        <v>5</v>
      </c>
      <c r="F4" s="417">
        <v>7</v>
      </c>
      <c r="G4" s="417">
        <v>9</v>
      </c>
      <c r="H4" s="418">
        <v>11</v>
      </c>
      <c r="I4" s="417">
        <v>13</v>
      </c>
      <c r="J4" s="418">
        <v>15</v>
      </c>
      <c r="K4" s="417">
        <v>17</v>
      </c>
      <c r="L4" s="417">
        <v>19</v>
      </c>
      <c r="M4" s="417">
        <v>21</v>
      </c>
      <c r="N4" s="417">
        <v>23</v>
      </c>
      <c r="O4" s="418">
        <v>25</v>
      </c>
      <c r="P4" s="417">
        <v>27</v>
      </c>
      <c r="Q4" s="417">
        <v>29</v>
      </c>
      <c r="R4" s="418">
        <v>31</v>
      </c>
      <c r="S4" s="417">
        <v>33</v>
      </c>
      <c r="T4" s="418">
        <v>35</v>
      </c>
      <c r="U4" s="417">
        <v>37</v>
      </c>
      <c r="V4" s="417">
        <v>39</v>
      </c>
      <c r="W4" s="418">
        <v>41</v>
      </c>
      <c r="X4" s="417">
        <v>43</v>
      </c>
      <c r="Y4" s="417">
        <v>45</v>
      </c>
      <c r="Z4" s="417">
        <v>47</v>
      </c>
      <c r="AA4" s="417">
        <v>49</v>
      </c>
      <c r="AB4" s="417">
        <v>51</v>
      </c>
      <c r="AC4" s="417">
        <v>53</v>
      </c>
      <c r="AD4" s="417">
        <v>55</v>
      </c>
      <c r="AE4" s="417">
        <v>57</v>
      </c>
      <c r="AF4" s="417">
        <v>59</v>
      </c>
      <c r="AG4" s="417">
        <v>61</v>
      </c>
      <c r="AH4" s="417">
        <v>63</v>
      </c>
      <c r="AI4" s="417">
        <v>65</v>
      </c>
    </row>
    <row r="5" spans="1:35" s="422" customFormat="1" ht="24" customHeight="1" x14ac:dyDescent="0.2">
      <c r="A5" s="420"/>
      <c r="B5" s="939" t="s">
        <v>416</v>
      </c>
      <c r="C5" s="940"/>
      <c r="D5" s="421">
        <f>D6+D7</f>
        <v>384</v>
      </c>
      <c r="E5" s="421">
        <f t="shared" ref="E5:AH5" si="0">E6+E7</f>
        <v>0</v>
      </c>
      <c r="F5" s="421">
        <f t="shared" si="0"/>
        <v>271</v>
      </c>
      <c r="G5" s="421">
        <f t="shared" si="0"/>
        <v>0</v>
      </c>
      <c r="H5" s="421">
        <f t="shared" si="0"/>
        <v>0</v>
      </c>
      <c r="I5" s="421">
        <f t="shared" si="0"/>
        <v>0</v>
      </c>
      <c r="J5" s="421">
        <f t="shared" si="0"/>
        <v>0</v>
      </c>
      <c r="K5" s="421">
        <f t="shared" si="0"/>
        <v>53</v>
      </c>
      <c r="L5" s="421">
        <f t="shared" si="0"/>
        <v>0</v>
      </c>
      <c r="M5" s="421">
        <f t="shared" si="0"/>
        <v>0</v>
      </c>
      <c r="N5" s="421">
        <f t="shared" si="0"/>
        <v>30</v>
      </c>
      <c r="O5" s="421">
        <f t="shared" si="0"/>
        <v>129</v>
      </c>
      <c r="P5" s="421">
        <f t="shared" si="0"/>
        <v>52</v>
      </c>
      <c r="Q5" s="421">
        <f t="shared" si="0"/>
        <v>40</v>
      </c>
      <c r="R5" s="421">
        <v>0</v>
      </c>
      <c r="S5" s="421">
        <f t="shared" si="0"/>
        <v>0</v>
      </c>
      <c r="T5" s="421">
        <f t="shared" si="0"/>
        <v>0</v>
      </c>
      <c r="U5" s="421">
        <f t="shared" si="0"/>
        <v>0</v>
      </c>
      <c r="V5" s="421">
        <f t="shared" si="0"/>
        <v>0</v>
      </c>
      <c r="W5" s="421">
        <v>0</v>
      </c>
      <c r="X5" s="421">
        <f t="shared" si="0"/>
        <v>0</v>
      </c>
      <c r="Y5" s="421">
        <f t="shared" si="0"/>
        <v>0</v>
      </c>
      <c r="Z5" s="421">
        <f t="shared" si="0"/>
        <v>0</v>
      </c>
      <c r="AA5" s="421">
        <f t="shared" si="0"/>
        <v>0</v>
      </c>
      <c r="AB5" s="421">
        <f t="shared" si="0"/>
        <v>0</v>
      </c>
      <c r="AC5" s="421">
        <f t="shared" si="0"/>
        <v>0</v>
      </c>
      <c r="AD5" s="421">
        <f t="shared" si="0"/>
        <v>190</v>
      </c>
      <c r="AE5" s="421">
        <f t="shared" si="0"/>
        <v>0</v>
      </c>
      <c r="AF5" s="421">
        <f t="shared" si="0"/>
        <v>0</v>
      </c>
      <c r="AG5" s="421">
        <f>AG6+AG7</f>
        <v>1149</v>
      </c>
      <c r="AH5" s="421">
        <f t="shared" si="0"/>
        <v>0</v>
      </c>
      <c r="AI5" s="421">
        <f>AI6+AI7</f>
        <v>1149</v>
      </c>
    </row>
    <row r="6" spans="1:35" s="419" customFormat="1" ht="13.5" customHeight="1" x14ac:dyDescent="0.2">
      <c r="A6" s="416">
        <v>3</v>
      </c>
      <c r="B6" s="423">
        <v>1</v>
      </c>
      <c r="C6" s="424">
        <f>[9]стоимость!J5</f>
        <v>154599</v>
      </c>
      <c r="D6" s="425">
        <v>304</v>
      </c>
      <c r="E6" s="425"/>
      <c r="F6" s="425">
        <v>131</v>
      </c>
      <c r="G6" s="425"/>
      <c r="H6" s="425"/>
      <c r="I6" s="425"/>
      <c r="J6" s="425"/>
      <c r="K6" s="425"/>
      <c r="L6" s="425"/>
      <c r="M6" s="425"/>
      <c r="N6" s="425">
        <v>13</v>
      </c>
      <c r="O6" s="425">
        <v>100</v>
      </c>
      <c r="P6" s="425">
        <v>20</v>
      </c>
      <c r="Q6" s="425">
        <v>40</v>
      </c>
      <c r="R6" s="425"/>
      <c r="S6" s="425"/>
      <c r="T6" s="425"/>
      <c r="U6" s="425"/>
      <c r="V6" s="425"/>
      <c r="W6" s="426"/>
      <c r="X6" s="426"/>
      <c r="Y6" s="426"/>
      <c r="Z6" s="427"/>
      <c r="AA6" s="427"/>
      <c r="AB6" s="427"/>
      <c r="AC6" s="427"/>
      <c r="AD6" s="426">
        <v>150</v>
      </c>
      <c r="AE6" s="426"/>
      <c r="AF6" s="425"/>
      <c r="AG6" s="428">
        <f>D6+E6+F6+G6+H6+I6+J6+K6+L6+M6+N6+O6+P6+Q6+R6+S6+T6+U6+V6+W6+X6+Y6+Z6+AA6+AB6+AC6+AD6+AE6+AF6</f>
        <v>758</v>
      </c>
      <c r="AH6" s="427"/>
      <c r="AI6" s="429">
        <f>AG6+AH6</f>
        <v>758</v>
      </c>
    </row>
    <row r="7" spans="1:35" s="419" customFormat="1" ht="13.5" customHeight="1" x14ac:dyDescent="0.2">
      <c r="A7" s="416">
        <v>4</v>
      </c>
      <c r="B7" s="423">
        <v>2</v>
      </c>
      <c r="C7" s="424">
        <f>[9]стоимость!J6</f>
        <v>235945</v>
      </c>
      <c r="D7" s="426">
        <v>80</v>
      </c>
      <c r="E7" s="426"/>
      <c r="F7" s="426">
        <v>140</v>
      </c>
      <c r="G7" s="425"/>
      <c r="H7" s="426"/>
      <c r="I7" s="430"/>
      <c r="J7" s="426"/>
      <c r="K7" s="426">
        <v>53</v>
      </c>
      <c r="L7" s="426"/>
      <c r="M7" s="425"/>
      <c r="N7" s="426">
        <v>17</v>
      </c>
      <c r="O7" s="425">
        <v>29</v>
      </c>
      <c r="P7" s="426">
        <v>32</v>
      </c>
      <c r="Q7" s="425"/>
      <c r="R7" s="426"/>
      <c r="S7" s="426"/>
      <c r="T7" s="426"/>
      <c r="U7" s="426"/>
      <c r="V7" s="425"/>
      <c r="W7" s="426"/>
      <c r="X7" s="426"/>
      <c r="Y7" s="426"/>
      <c r="Z7" s="427"/>
      <c r="AA7" s="427"/>
      <c r="AB7" s="427"/>
      <c r="AC7" s="427"/>
      <c r="AD7" s="426">
        <v>40</v>
      </c>
      <c r="AE7" s="426"/>
      <c r="AF7" s="425"/>
      <c r="AG7" s="428">
        <f>D7+E7+F7+G7+H7+I7+J7+K7+L7+M7+N7+O7+P7+Q7+R7+S7+T7+U7+V7+W7+X7+Y7+Z7+AA7+AB7+AC7+AD7+AE7+AF7</f>
        <v>391</v>
      </c>
      <c r="AH7" s="427"/>
      <c r="AI7" s="429">
        <f>AG7+AH7</f>
        <v>391</v>
      </c>
    </row>
    <row r="8" spans="1:35" s="419" customFormat="1" ht="20.25" customHeight="1" x14ac:dyDescent="0.2">
      <c r="A8" s="416"/>
      <c r="B8" s="939" t="s">
        <v>417</v>
      </c>
      <c r="C8" s="940"/>
      <c r="D8" s="421">
        <f t="shared" ref="D8:AI8" si="1">D9</f>
        <v>50</v>
      </c>
      <c r="E8" s="421">
        <f t="shared" si="1"/>
        <v>0</v>
      </c>
      <c r="F8" s="421">
        <f t="shared" si="1"/>
        <v>0</v>
      </c>
      <c r="G8" s="421">
        <f t="shared" si="1"/>
        <v>0</v>
      </c>
      <c r="H8" s="421">
        <f t="shared" si="1"/>
        <v>0</v>
      </c>
      <c r="I8" s="421">
        <f t="shared" si="1"/>
        <v>0</v>
      </c>
      <c r="J8" s="421">
        <f t="shared" si="1"/>
        <v>0</v>
      </c>
      <c r="K8" s="421">
        <f t="shared" si="1"/>
        <v>34</v>
      </c>
      <c r="L8" s="421">
        <f t="shared" si="1"/>
        <v>0</v>
      </c>
      <c r="M8" s="421">
        <f t="shared" si="1"/>
        <v>0</v>
      </c>
      <c r="N8" s="421">
        <f t="shared" si="1"/>
        <v>0</v>
      </c>
      <c r="O8" s="421">
        <f t="shared" si="1"/>
        <v>0</v>
      </c>
      <c r="P8" s="421">
        <f t="shared" si="1"/>
        <v>60</v>
      </c>
      <c r="Q8" s="421">
        <f t="shared" si="1"/>
        <v>0</v>
      </c>
      <c r="R8" s="421">
        <v>0</v>
      </c>
      <c r="S8" s="421">
        <f t="shared" si="1"/>
        <v>0</v>
      </c>
      <c r="T8" s="421">
        <f t="shared" si="1"/>
        <v>0</v>
      </c>
      <c r="U8" s="421">
        <f t="shared" si="1"/>
        <v>0</v>
      </c>
      <c r="V8" s="421">
        <f t="shared" si="1"/>
        <v>0</v>
      </c>
      <c r="W8" s="421">
        <v>0</v>
      </c>
      <c r="X8" s="421">
        <f t="shared" si="1"/>
        <v>0</v>
      </c>
      <c r="Y8" s="421">
        <f t="shared" si="1"/>
        <v>0</v>
      </c>
      <c r="Z8" s="421">
        <f t="shared" si="1"/>
        <v>0</v>
      </c>
      <c r="AA8" s="421">
        <f t="shared" si="1"/>
        <v>0</v>
      </c>
      <c r="AB8" s="421">
        <f t="shared" si="1"/>
        <v>0</v>
      </c>
      <c r="AC8" s="421">
        <f t="shared" si="1"/>
        <v>0</v>
      </c>
      <c r="AD8" s="421">
        <f t="shared" si="1"/>
        <v>0</v>
      </c>
      <c r="AE8" s="421">
        <f t="shared" si="1"/>
        <v>0</v>
      </c>
      <c r="AF8" s="421">
        <f t="shared" si="1"/>
        <v>0</v>
      </c>
      <c r="AG8" s="421">
        <f t="shared" si="1"/>
        <v>144</v>
      </c>
      <c r="AH8" s="421">
        <f t="shared" si="1"/>
        <v>0</v>
      </c>
      <c r="AI8" s="421">
        <f t="shared" si="1"/>
        <v>144</v>
      </c>
    </row>
    <row r="9" spans="1:35" s="419" customFormat="1" ht="15" customHeight="1" x14ac:dyDescent="0.2">
      <c r="A9" s="416">
        <v>5</v>
      </c>
      <c r="B9" s="423">
        <v>3</v>
      </c>
      <c r="C9" s="424">
        <f>[9]стоимость!J7</f>
        <v>159235</v>
      </c>
      <c r="D9" s="426">
        <v>50</v>
      </c>
      <c r="E9" s="426"/>
      <c r="F9" s="426"/>
      <c r="G9" s="426"/>
      <c r="H9" s="426"/>
      <c r="I9" s="426"/>
      <c r="J9" s="426"/>
      <c r="K9" s="426">
        <v>34</v>
      </c>
      <c r="L9" s="426"/>
      <c r="M9" s="426"/>
      <c r="N9" s="426"/>
      <c r="O9" s="425"/>
      <c r="P9" s="426">
        <v>60</v>
      </c>
      <c r="Q9" s="426"/>
      <c r="R9" s="426"/>
      <c r="S9" s="426"/>
      <c r="T9" s="426"/>
      <c r="U9" s="426"/>
      <c r="V9" s="425"/>
      <c r="W9" s="426"/>
      <c r="X9" s="426"/>
      <c r="Y9" s="426"/>
      <c r="Z9" s="427"/>
      <c r="AA9" s="427"/>
      <c r="AB9" s="427"/>
      <c r="AC9" s="427"/>
      <c r="AD9" s="426"/>
      <c r="AE9" s="426"/>
      <c r="AF9" s="425"/>
      <c r="AG9" s="428">
        <f>D9+E9+F9+G9+H9+I9+J9+K9+L9+M9+N9+O9+P9+Q9+R9+S9+T9+U9+V9+W9+X9+Y9+Z9+AA9+AB9+AC9+AD9+AE9+AF9</f>
        <v>144</v>
      </c>
      <c r="AH9" s="427"/>
      <c r="AI9" s="428">
        <f>AG9+AH9</f>
        <v>144</v>
      </c>
    </row>
    <row r="10" spans="1:35" s="419" customFormat="1" ht="20.25" customHeight="1" x14ac:dyDescent="0.2">
      <c r="A10" s="416"/>
      <c r="B10" s="939" t="s">
        <v>418</v>
      </c>
      <c r="C10" s="940"/>
      <c r="D10" s="421">
        <f>D11+D12</f>
        <v>31</v>
      </c>
      <c r="E10" s="421">
        <f t="shared" ref="E10:AH10" si="2">E11+E12</f>
        <v>0</v>
      </c>
      <c r="F10" s="421">
        <f t="shared" si="2"/>
        <v>0</v>
      </c>
      <c r="G10" s="421">
        <f t="shared" si="2"/>
        <v>0</v>
      </c>
      <c r="H10" s="421">
        <f t="shared" si="2"/>
        <v>0</v>
      </c>
      <c r="I10" s="421">
        <f t="shared" si="2"/>
        <v>0</v>
      </c>
      <c r="J10" s="421">
        <f t="shared" si="2"/>
        <v>0</v>
      </c>
      <c r="K10" s="421">
        <f t="shared" si="2"/>
        <v>12</v>
      </c>
      <c r="L10" s="421">
        <f t="shared" si="2"/>
        <v>0</v>
      </c>
      <c r="M10" s="421">
        <f t="shared" si="2"/>
        <v>0</v>
      </c>
      <c r="N10" s="421">
        <f t="shared" si="2"/>
        <v>21</v>
      </c>
      <c r="O10" s="421">
        <f t="shared" si="2"/>
        <v>0</v>
      </c>
      <c r="P10" s="421">
        <f t="shared" si="2"/>
        <v>0</v>
      </c>
      <c r="Q10" s="421">
        <f t="shared" si="2"/>
        <v>0</v>
      </c>
      <c r="R10" s="421">
        <v>0</v>
      </c>
      <c r="S10" s="421">
        <f t="shared" si="2"/>
        <v>0</v>
      </c>
      <c r="T10" s="421">
        <f t="shared" si="2"/>
        <v>0</v>
      </c>
      <c r="U10" s="421">
        <f t="shared" si="2"/>
        <v>0</v>
      </c>
      <c r="V10" s="421">
        <f t="shared" si="2"/>
        <v>0</v>
      </c>
      <c r="W10" s="421">
        <v>0</v>
      </c>
      <c r="X10" s="421">
        <f t="shared" si="2"/>
        <v>0</v>
      </c>
      <c r="Y10" s="421">
        <f t="shared" si="2"/>
        <v>0</v>
      </c>
      <c r="Z10" s="421">
        <f t="shared" si="2"/>
        <v>0</v>
      </c>
      <c r="AA10" s="421">
        <f t="shared" si="2"/>
        <v>0</v>
      </c>
      <c r="AB10" s="421">
        <f t="shared" si="2"/>
        <v>0</v>
      </c>
      <c r="AC10" s="421">
        <f t="shared" si="2"/>
        <v>0</v>
      </c>
      <c r="AD10" s="421">
        <f t="shared" si="2"/>
        <v>0</v>
      </c>
      <c r="AE10" s="421">
        <f t="shared" si="2"/>
        <v>0</v>
      </c>
      <c r="AF10" s="421">
        <f t="shared" si="2"/>
        <v>0</v>
      </c>
      <c r="AG10" s="421">
        <f t="shared" si="2"/>
        <v>64</v>
      </c>
      <c r="AH10" s="421">
        <f t="shared" si="2"/>
        <v>0</v>
      </c>
      <c r="AI10" s="421">
        <f>AI11+AI12</f>
        <v>64</v>
      </c>
    </row>
    <row r="11" spans="1:35" s="419" customFormat="1" ht="12.75" customHeight="1" x14ac:dyDescent="0.2">
      <c r="A11" s="416">
        <v>6</v>
      </c>
      <c r="B11" s="423">
        <v>4</v>
      </c>
      <c r="C11" s="424">
        <f>[9]стоимость!J8</f>
        <v>180406</v>
      </c>
      <c r="D11" s="426">
        <v>31</v>
      </c>
      <c r="E11" s="426"/>
      <c r="F11" s="426"/>
      <c r="G11" s="425"/>
      <c r="H11" s="426"/>
      <c r="I11" s="426"/>
      <c r="J11" s="426"/>
      <c r="K11" s="426">
        <v>12</v>
      </c>
      <c r="L11" s="426"/>
      <c r="M11" s="426"/>
      <c r="N11" s="426">
        <v>21</v>
      </c>
      <c r="O11" s="425"/>
      <c r="P11" s="426"/>
      <c r="Q11" s="426"/>
      <c r="R11" s="426"/>
      <c r="S11" s="426"/>
      <c r="T11" s="426"/>
      <c r="U11" s="426"/>
      <c r="V11" s="425"/>
      <c r="W11" s="426"/>
      <c r="X11" s="426"/>
      <c r="Y11" s="426"/>
      <c r="Z11" s="427"/>
      <c r="AA11" s="427"/>
      <c r="AB11" s="427"/>
      <c r="AC11" s="427"/>
      <c r="AD11" s="426"/>
      <c r="AE11" s="426"/>
      <c r="AF11" s="425"/>
      <c r="AG11" s="428">
        <f>D11+E11+F11+G11+H11+I11+J11+K11+L11+M11+N11+O11+P11+Q11+R11+S11+T11+U11+V11+W11+X11+Y11+Z11+AA11+AB11+AC11+AD11+AE11+AF11</f>
        <v>64</v>
      </c>
      <c r="AH11" s="427"/>
      <c r="AI11" s="428">
        <f>AG11+AH11</f>
        <v>64</v>
      </c>
    </row>
    <row r="12" spans="1:35" s="419" customFormat="1" ht="18.75" customHeight="1" x14ac:dyDescent="0.2">
      <c r="A12" s="416">
        <v>7</v>
      </c>
      <c r="B12" s="423">
        <v>5</v>
      </c>
      <c r="C12" s="424">
        <f>[9]стоимость!J9</f>
        <v>517784</v>
      </c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5"/>
      <c r="P12" s="426"/>
      <c r="Q12" s="426"/>
      <c r="R12" s="426"/>
      <c r="S12" s="426"/>
      <c r="T12" s="426"/>
      <c r="U12" s="426"/>
      <c r="V12" s="425"/>
      <c r="W12" s="426"/>
      <c r="X12" s="426"/>
      <c r="Y12" s="426"/>
      <c r="Z12" s="427"/>
      <c r="AA12" s="427"/>
      <c r="AB12" s="427"/>
      <c r="AC12" s="427"/>
      <c r="AD12" s="426"/>
      <c r="AE12" s="426"/>
      <c r="AF12" s="425"/>
      <c r="AG12" s="428">
        <f>D12+E12+F12+G12+H12+I12+J12+K12+L12+M12+N12+O12+P12+Q12+R12+S12+T12+U12+V12+W12+X12+Y12+Z12+AA12+AB12+AC12+AD12+AE12+AF12</f>
        <v>0</v>
      </c>
      <c r="AH12" s="427"/>
      <c r="AI12" s="428">
        <f>AG12+AH12</f>
        <v>0</v>
      </c>
    </row>
    <row r="13" spans="1:35" s="419" customFormat="1" ht="21.75" customHeight="1" x14ac:dyDescent="0.2">
      <c r="A13" s="416"/>
      <c r="B13" s="939" t="s">
        <v>419</v>
      </c>
      <c r="C13" s="940"/>
      <c r="D13" s="421">
        <f>D14</f>
        <v>0</v>
      </c>
      <c r="E13" s="421">
        <f t="shared" ref="E13:AI13" si="3">E14</f>
        <v>0</v>
      </c>
      <c r="F13" s="421">
        <f t="shared" si="3"/>
        <v>0</v>
      </c>
      <c r="G13" s="421">
        <f t="shared" si="3"/>
        <v>0</v>
      </c>
      <c r="H13" s="421">
        <f t="shared" si="3"/>
        <v>0</v>
      </c>
      <c r="I13" s="421">
        <f t="shared" si="3"/>
        <v>0</v>
      </c>
      <c r="J13" s="421">
        <f t="shared" si="3"/>
        <v>0</v>
      </c>
      <c r="K13" s="421">
        <f t="shared" si="3"/>
        <v>4</v>
      </c>
      <c r="L13" s="421">
        <f t="shared" si="3"/>
        <v>0</v>
      </c>
      <c r="M13" s="421">
        <f t="shared" si="3"/>
        <v>0</v>
      </c>
      <c r="N13" s="421">
        <f t="shared" si="3"/>
        <v>0</v>
      </c>
      <c r="O13" s="421">
        <f t="shared" si="3"/>
        <v>0</v>
      </c>
      <c r="P13" s="421">
        <f t="shared" si="3"/>
        <v>0</v>
      </c>
      <c r="Q13" s="421">
        <f t="shared" si="3"/>
        <v>0</v>
      </c>
      <c r="R13" s="421">
        <v>0</v>
      </c>
      <c r="S13" s="421">
        <f t="shared" si="3"/>
        <v>0</v>
      </c>
      <c r="T13" s="421">
        <f t="shared" si="3"/>
        <v>0</v>
      </c>
      <c r="U13" s="421">
        <f t="shared" si="3"/>
        <v>0</v>
      </c>
      <c r="V13" s="421">
        <f t="shared" si="3"/>
        <v>0</v>
      </c>
      <c r="W13" s="421">
        <v>0</v>
      </c>
      <c r="X13" s="421">
        <f t="shared" si="3"/>
        <v>0</v>
      </c>
      <c r="Y13" s="421">
        <f t="shared" si="3"/>
        <v>0</v>
      </c>
      <c r="Z13" s="421">
        <f t="shared" si="3"/>
        <v>0</v>
      </c>
      <c r="AA13" s="421">
        <f t="shared" si="3"/>
        <v>0</v>
      </c>
      <c r="AB13" s="421">
        <f t="shared" si="3"/>
        <v>0</v>
      </c>
      <c r="AC13" s="421">
        <f t="shared" si="3"/>
        <v>0</v>
      </c>
      <c r="AD13" s="421">
        <f t="shared" si="3"/>
        <v>0</v>
      </c>
      <c r="AE13" s="421">
        <f t="shared" si="3"/>
        <v>0</v>
      </c>
      <c r="AF13" s="421">
        <f t="shared" si="3"/>
        <v>0</v>
      </c>
      <c r="AG13" s="421">
        <f t="shared" si="3"/>
        <v>4</v>
      </c>
      <c r="AH13" s="421">
        <f t="shared" si="3"/>
        <v>0</v>
      </c>
      <c r="AI13" s="421">
        <f t="shared" si="3"/>
        <v>4</v>
      </c>
    </row>
    <row r="14" spans="1:35" s="415" customFormat="1" ht="14.25" customHeight="1" x14ac:dyDescent="0.2">
      <c r="A14" s="413">
        <v>8</v>
      </c>
      <c r="B14" s="423">
        <v>6</v>
      </c>
      <c r="C14" s="424">
        <f>[9]стоимость!J10</f>
        <v>321904</v>
      </c>
      <c r="D14" s="426"/>
      <c r="E14" s="426"/>
      <c r="F14" s="426"/>
      <c r="G14" s="426"/>
      <c r="H14" s="426"/>
      <c r="I14" s="426"/>
      <c r="J14" s="426"/>
      <c r="K14" s="426">
        <v>4</v>
      </c>
      <c r="L14" s="426"/>
      <c r="M14" s="426"/>
      <c r="N14" s="426"/>
      <c r="O14" s="425"/>
      <c r="P14" s="426"/>
      <c r="Q14" s="426"/>
      <c r="R14" s="426"/>
      <c r="S14" s="426"/>
      <c r="T14" s="426"/>
      <c r="U14" s="426"/>
      <c r="V14" s="425"/>
      <c r="W14" s="426"/>
      <c r="X14" s="426"/>
      <c r="Y14" s="425"/>
      <c r="Z14" s="431"/>
      <c r="AA14" s="431"/>
      <c r="AB14" s="431"/>
      <c r="AC14" s="431"/>
      <c r="AD14" s="426"/>
      <c r="AE14" s="426"/>
      <c r="AF14" s="425"/>
      <c r="AG14" s="428">
        <f>D14+E14+F14+G14+H14+I14+J14+K14+L14+M14+N14+O14+P14+Q14+R14+S14+T14+U14+V14+W14+X14+Y14+Z14+AA14+AB14+AC14+AD14+AE14+AF14</f>
        <v>4</v>
      </c>
      <c r="AH14" s="431"/>
      <c r="AI14" s="425">
        <f>AG14+AH14</f>
        <v>4</v>
      </c>
    </row>
    <row r="15" spans="1:35" s="419" customFormat="1" ht="18" customHeight="1" x14ac:dyDescent="0.2">
      <c r="A15" s="416"/>
      <c r="B15" s="939" t="s">
        <v>420</v>
      </c>
      <c r="C15" s="940"/>
      <c r="D15" s="421">
        <f t="shared" ref="D15:AI15" si="4">D16</f>
        <v>0</v>
      </c>
      <c r="E15" s="421">
        <f t="shared" si="4"/>
        <v>0</v>
      </c>
      <c r="F15" s="421">
        <f t="shared" si="4"/>
        <v>0</v>
      </c>
      <c r="G15" s="421">
        <f t="shared" si="4"/>
        <v>0</v>
      </c>
      <c r="H15" s="421">
        <f t="shared" si="4"/>
        <v>0</v>
      </c>
      <c r="I15" s="421">
        <f t="shared" si="4"/>
        <v>48</v>
      </c>
      <c r="J15" s="421">
        <f t="shared" si="4"/>
        <v>0</v>
      </c>
      <c r="K15" s="421">
        <f t="shared" si="4"/>
        <v>0</v>
      </c>
      <c r="L15" s="421">
        <f t="shared" si="4"/>
        <v>0</v>
      </c>
      <c r="M15" s="421">
        <f t="shared" si="4"/>
        <v>0</v>
      </c>
      <c r="N15" s="421">
        <f t="shared" si="4"/>
        <v>0</v>
      </c>
      <c r="O15" s="421">
        <f t="shared" si="4"/>
        <v>0</v>
      </c>
      <c r="P15" s="421">
        <f t="shared" si="4"/>
        <v>0</v>
      </c>
      <c r="Q15" s="421">
        <f t="shared" si="4"/>
        <v>0</v>
      </c>
      <c r="R15" s="421">
        <v>0</v>
      </c>
      <c r="S15" s="421">
        <f t="shared" si="4"/>
        <v>0</v>
      </c>
      <c r="T15" s="421">
        <f t="shared" si="4"/>
        <v>0</v>
      </c>
      <c r="U15" s="421">
        <f t="shared" si="4"/>
        <v>0</v>
      </c>
      <c r="V15" s="421">
        <f t="shared" si="4"/>
        <v>0</v>
      </c>
      <c r="W15" s="421">
        <v>0</v>
      </c>
      <c r="X15" s="421">
        <f t="shared" si="4"/>
        <v>0</v>
      </c>
      <c r="Y15" s="421">
        <f t="shared" si="4"/>
        <v>0</v>
      </c>
      <c r="Z15" s="421">
        <f t="shared" si="4"/>
        <v>0</v>
      </c>
      <c r="AA15" s="421">
        <f t="shared" si="4"/>
        <v>0</v>
      </c>
      <c r="AB15" s="421">
        <f t="shared" si="4"/>
        <v>0</v>
      </c>
      <c r="AC15" s="421">
        <f t="shared" si="4"/>
        <v>0</v>
      </c>
      <c r="AD15" s="421">
        <f t="shared" si="4"/>
        <v>0</v>
      </c>
      <c r="AE15" s="421">
        <f t="shared" si="4"/>
        <v>0</v>
      </c>
      <c r="AF15" s="421">
        <f t="shared" si="4"/>
        <v>0</v>
      </c>
      <c r="AG15" s="421">
        <f t="shared" si="4"/>
        <v>48</v>
      </c>
      <c r="AH15" s="421">
        <f t="shared" si="4"/>
        <v>0</v>
      </c>
      <c r="AI15" s="421">
        <f t="shared" si="4"/>
        <v>48</v>
      </c>
    </row>
    <row r="16" spans="1:35" s="419" customFormat="1" ht="15.75" customHeight="1" x14ac:dyDescent="0.2">
      <c r="A16" s="416">
        <v>9</v>
      </c>
      <c r="B16" s="423">
        <v>7</v>
      </c>
      <c r="C16" s="424">
        <f>[9]стоимость!J11</f>
        <v>122477</v>
      </c>
      <c r="D16" s="426"/>
      <c r="E16" s="426"/>
      <c r="F16" s="426"/>
      <c r="G16" s="426"/>
      <c r="H16" s="426"/>
      <c r="I16" s="426">
        <v>48</v>
      </c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5"/>
      <c r="W16" s="426"/>
      <c r="X16" s="426"/>
      <c r="Y16" s="426"/>
      <c r="Z16" s="427"/>
      <c r="AA16" s="427"/>
      <c r="AB16" s="427"/>
      <c r="AC16" s="427"/>
      <c r="AD16" s="426"/>
      <c r="AE16" s="426"/>
      <c r="AF16" s="425"/>
      <c r="AG16" s="428">
        <f>D16+E16+F16+G16+H16+I16+J16+K16+L16+M16+N16+O16+P16+Q16+R16+S16+T16+U16+V16+W16+X16+Y16+Z16+AA16+AB16+AC16+AD16+AE16+AF16</f>
        <v>48</v>
      </c>
      <c r="AH16" s="427"/>
      <c r="AI16" s="428">
        <f>AG16+AH16</f>
        <v>48</v>
      </c>
    </row>
    <row r="17" spans="1:35" s="419" customFormat="1" ht="17.25" customHeight="1" x14ac:dyDescent="0.2">
      <c r="A17" s="416"/>
      <c r="B17" s="939" t="s">
        <v>421</v>
      </c>
      <c r="C17" s="940"/>
      <c r="D17" s="421">
        <f t="shared" ref="D17:AI17" si="5">D18+D19</f>
        <v>0</v>
      </c>
      <c r="E17" s="421">
        <f t="shared" si="5"/>
        <v>0</v>
      </c>
      <c r="F17" s="421">
        <f t="shared" si="5"/>
        <v>0</v>
      </c>
      <c r="G17" s="421">
        <f t="shared" si="5"/>
        <v>0</v>
      </c>
      <c r="H17" s="421">
        <f t="shared" si="5"/>
        <v>0</v>
      </c>
      <c r="I17" s="421">
        <f t="shared" si="5"/>
        <v>0</v>
      </c>
      <c r="J17" s="421">
        <f t="shared" si="5"/>
        <v>0</v>
      </c>
      <c r="K17" s="421">
        <f t="shared" si="5"/>
        <v>0</v>
      </c>
      <c r="L17" s="421">
        <f t="shared" si="5"/>
        <v>0</v>
      </c>
      <c r="M17" s="421">
        <f t="shared" si="5"/>
        <v>0</v>
      </c>
      <c r="N17" s="421">
        <f t="shared" si="5"/>
        <v>0</v>
      </c>
      <c r="O17" s="421">
        <f t="shared" si="5"/>
        <v>125</v>
      </c>
      <c r="P17" s="421">
        <f t="shared" si="5"/>
        <v>0</v>
      </c>
      <c r="Q17" s="421">
        <f t="shared" si="5"/>
        <v>0</v>
      </c>
      <c r="R17" s="421">
        <v>0</v>
      </c>
      <c r="S17" s="421">
        <f t="shared" si="5"/>
        <v>0</v>
      </c>
      <c r="T17" s="421">
        <f t="shared" si="5"/>
        <v>27</v>
      </c>
      <c r="U17" s="421">
        <f t="shared" si="5"/>
        <v>0</v>
      </c>
      <c r="V17" s="421">
        <f t="shared" si="5"/>
        <v>0</v>
      </c>
      <c r="W17" s="421">
        <v>0</v>
      </c>
      <c r="X17" s="421">
        <f t="shared" si="5"/>
        <v>0</v>
      </c>
      <c r="Y17" s="421">
        <f t="shared" si="5"/>
        <v>0</v>
      </c>
      <c r="Z17" s="421">
        <f t="shared" si="5"/>
        <v>0</v>
      </c>
      <c r="AA17" s="421">
        <f t="shared" si="5"/>
        <v>0</v>
      </c>
      <c r="AB17" s="421">
        <f t="shared" si="5"/>
        <v>0</v>
      </c>
      <c r="AC17" s="421">
        <f t="shared" si="5"/>
        <v>0</v>
      </c>
      <c r="AD17" s="421">
        <f t="shared" si="5"/>
        <v>0</v>
      </c>
      <c r="AE17" s="421">
        <f t="shared" si="5"/>
        <v>0</v>
      </c>
      <c r="AF17" s="421">
        <f t="shared" si="5"/>
        <v>0</v>
      </c>
      <c r="AG17" s="421">
        <f t="shared" si="5"/>
        <v>152</v>
      </c>
      <c r="AH17" s="421">
        <f t="shared" si="5"/>
        <v>0</v>
      </c>
      <c r="AI17" s="421">
        <f t="shared" si="5"/>
        <v>152</v>
      </c>
    </row>
    <row r="18" spans="1:35" s="419" customFormat="1" ht="14.25" customHeight="1" x14ac:dyDescent="0.2">
      <c r="A18" s="416">
        <v>10</v>
      </c>
      <c r="B18" s="423">
        <v>8</v>
      </c>
      <c r="C18" s="424">
        <f>[9]стоимость!J12</f>
        <v>655793</v>
      </c>
      <c r="D18" s="426"/>
      <c r="E18" s="426"/>
      <c r="F18" s="426"/>
      <c r="G18" s="426"/>
      <c r="H18" s="426"/>
      <c r="I18" s="430"/>
      <c r="J18" s="426"/>
      <c r="K18" s="426"/>
      <c r="L18" s="426"/>
      <c r="M18" s="430"/>
      <c r="N18" s="426"/>
      <c r="O18" s="426">
        <v>90</v>
      </c>
      <c r="P18" s="430"/>
      <c r="Q18" s="430"/>
      <c r="R18" s="426"/>
      <c r="S18" s="425"/>
      <c r="T18" s="426">
        <v>27</v>
      </c>
      <c r="U18" s="426"/>
      <c r="V18" s="425"/>
      <c r="W18" s="426"/>
      <c r="X18" s="426"/>
      <c r="Y18" s="426"/>
      <c r="Z18" s="427"/>
      <c r="AA18" s="427"/>
      <c r="AB18" s="427"/>
      <c r="AC18" s="427"/>
      <c r="AD18" s="426"/>
      <c r="AE18" s="426"/>
      <c r="AF18" s="425"/>
      <c r="AG18" s="428">
        <f>D18+E18+F18+G18+H18+I18+J18+K18+L18+M18+N18+O18+P18+Q18+R18+S18+T18+U18+V18+W18+X18+Y18+Z18+AA18+AB18+AC18+AD18+AE18+AF18</f>
        <v>117</v>
      </c>
      <c r="AH18" s="427"/>
      <c r="AI18" s="428">
        <f>AG18+AH18</f>
        <v>117</v>
      </c>
    </row>
    <row r="19" spans="1:35" s="419" customFormat="1" ht="14.25" customHeight="1" x14ac:dyDescent="0.2">
      <c r="A19" s="416">
        <v>11</v>
      </c>
      <c r="B19" s="423">
        <v>9</v>
      </c>
      <c r="C19" s="424">
        <f>[9]стоимость!J13</f>
        <v>1881627</v>
      </c>
      <c r="D19" s="432"/>
      <c r="E19" s="432"/>
      <c r="F19" s="432"/>
      <c r="G19" s="432"/>
      <c r="H19" s="432"/>
      <c r="I19" s="433"/>
      <c r="J19" s="432"/>
      <c r="K19" s="432"/>
      <c r="L19" s="432"/>
      <c r="M19" s="433"/>
      <c r="N19" s="432"/>
      <c r="O19" s="426">
        <v>35</v>
      </c>
      <c r="P19" s="433"/>
      <c r="Q19" s="433"/>
      <c r="R19" s="432"/>
      <c r="S19" s="425"/>
      <c r="T19" s="432"/>
      <c r="U19" s="432"/>
      <c r="V19" s="425"/>
      <c r="W19" s="426"/>
      <c r="X19" s="426"/>
      <c r="Y19" s="426"/>
      <c r="Z19" s="427"/>
      <c r="AA19" s="427"/>
      <c r="AB19" s="427"/>
      <c r="AC19" s="427"/>
      <c r="AD19" s="426"/>
      <c r="AE19" s="426"/>
      <c r="AF19" s="425"/>
      <c r="AG19" s="428">
        <f>D19+E19+F19+G19+H19+I19+J19+K19+L19+M19+N19+O19+P19+Q19+R19+S19+T19+U19+V19+W19+X19+Y19+Z19+AA19+AB19+AC19+AD19+AE19+AF19</f>
        <v>35</v>
      </c>
      <c r="AH19" s="427"/>
      <c r="AI19" s="428">
        <f>AG19+AH19</f>
        <v>35</v>
      </c>
    </row>
    <row r="20" spans="1:35" s="415" customFormat="1" ht="21" customHeight="1" x14ac:dyDescent="0.2">
      <c r="A20" s="413"/>
      <c r="B20" s="939" t="s">
        <v>422</v>
      </c>
      <c r="C20" s="940"/>
      <c r="D20" s="421">
        <f>SUM(D21:D26)</f>
        <v>267</v>
      </c>
      <c r="E20" s="421">
        <f t="shared" ref="E20:AH20" si="6">SUM(E21:E26)</f>
        <v>165</v>
      </c>
      <c r="F20" s="421">
        <f t="shared" si="6"/>
        <v>0</v>
      </c>
      <c r="G20" s="421">
        <f t="shared" si="6"/>
        <v>0</v>
      </c>
      <c r="H20" s="421">
        <f t="shared" si="6"/>
        <v>0</v>
      </c>
      <c r="I20" s="421">
        <f t="shared" si="6"/>
        <v>0</v>
      </c>
      <c r="J20" s="421">
        <f t="shared" si="6"/>
        <v>0</v>
      </c>
      <c r="K20" s="421">
        <f t="shared" si="6"/>
        <v>138</v>
      </c>
      <c r="L20" s="421">
        <f t="shared" si="6"/>
        <v>17</v>
      </c>
      <c r="M20" s="421">
        <f t="shared" si="6"/>
        <v>0</v>
      </c>
      <c r="N20" s="421">
        <f t="shared" si="6"/>
        <v>0</v>
      </c>
      <c r="O20" s="421">
        <f t="shared" si="6"/>
        <v>0</v>
      </c>
      <c r="P20" s="421">
        <f t="shared" si="6"/>
        <v>119</v>
      </c>
      <c r="Q20" s="421">
        <f t="shared" si="6"/>
        <v>0</v>
      </c>
      <c r="R20" s="421">
        <v>3</v>
      </c>
      <c r="S20" s="421">
        <f t="shared" si="6"/>
        <v>0</v>
      </c>
      <c r="T20" s="421">
        <f t="shared" si="6"/>
        <v>158</v>
      </c>
      <c r="U20" s="421">
        <f t="shared" si="6"/>
        <v>19</v>
      </c>
      <c r="V20" s="421">
        <f t="shared" si="6"/>
        <v>0</v>
      </c>
      <c r="W20" s="421">
        <v>0</v>
      </c>
      <c r="X20" s="421">
        <f t="shared" si="6"/>
        <v>0</v>
      </c>
      <c r="Y20" s="421">
        <f t="shared" si="6"/>
        <v>0</v>
      </c>
      <c r="Z20" s="421">
        <f t="shared" si="6"/>
        <v>0</v>
      </c>
      <c r="AA20" s="421">
        <f t="shared" si="6"/>
        <v>0</v>
      </c>
      <c r="AB20" s="421">
        <f t="shared" si="6"/>
        <v>0</v>
      </c>
      <c r="AC20" s="421">
        <f t="shared" si="6"/>
        <v>0</v>
      </c>
      <c r="AD20" s="421">
        <f t="shared" si="6"/>
        <v>0</v>
      </c>
      <c r="AE20" s="421">
        <f t="shared" si="6"/>
        <v>0</v>
      </c>
      <c r="AF20" s="421">
        <f t="shared" si="6"/>
        <v>0</v>
      </c>
      <c r="AG20" s="421">
        <f t="shared" si="6"/>
        <v>886</v>
      </c>
      <c r="AH20" s="421">
        <f t="shared" si="6"/>
        <v>0</v>
      </c>
      <c r="AI20" s="421">
        <f>SUM(AI21:AI26)</f>
        <v>886</v>
      </c>
    </row>
    <row r="21" spans="1:35" s="419" customFormat="1" ht="14.25" customHeight="1" x14ac:dyDescent="0.2">
      <c r="A21" s="416">
        <v>12</v>
      </c>
      <c r="B21" s="423">
        <v>10</v>
      </c>
      <c r="C21" s="424">
        <f>[9]стоимость!J14</f>
        <v>193886</v>
      </c>
      <c r="D21" s="425">
        <f>255-15+12</f>
        <v>252</v>
      </c>
      <c r="E21" s="425">
        <v>143</v>
      </c>
      <c r="F21" s="425"/>
      <c r="G21" s="425"/>
      <c r="H21" s="425">
        <f>13-13</f>
        <v>0</v>
      </c>
      <c r="I21" s="425"/>
      <c r="J21" s="425"/>
      <c r="K21" s="425">
        <v>83</v>
      </c>
      <c r="L21" s="434">
        <v>4</v>
      </c>
      <c r="M21" s="425"/>
      <c r="N21" s="425"/>
      <c r="O21" s="426"/>
      <c r="P21" s="425">
        <v>103</v>
      </c>
      <c r="Q21" s="425"/>
      <c r="R21" s="425">
        <v>0</v>
      </c>
      <c r="S21" s="425"/>
      <c r="T21" s="425">
        <f>137-1</f>
        <v>136</v>
      </c>
      <c r="U21" s="426">
        <v>2</v>
      </c>
      <c r="V21" s="426"/>
      <c r="W21" s="426"/>
      <c r="X21" s="426"/>
      <c r="Y21" s="426"/>
      <c r="Z21" s="427"/>
      <c r="AA21" s="427"/>
      <c r="AB21" s="427"/>
      <c r="AC21" s="427"/>
      <c r="AD21" s="426"/>
      <c r="AE21" s="426"/>
      <c r="AF21" s="425"/>
      <c r="AG21" s="428">
        <f t="shared" ref="AG21:AG26" si="7">D21+E21+F21+G21+H21+I21+J21+K21+L21+M21+N21+O21+P21+Q21+R21+S21+T21+U21+V21+W21+X21+Y21+Z21+AA21+AB21+AC21+AD21+AE21+AF21</f>
        <v>723</v>
      </c>
      <c r="AH21" s="427"/>
      <c r="AI21" s="428">
        <f t="shared" ref="AI21:AI26" si="8">AG21+AH21</f>
        <v>723</v>
      </c>
    </row>
    <row r="22" spans="1:35" s="419" customFormat="1" ht="14.25" customHeight="1" x14ac:dyDescent="0.2">
      <c r="A22" s="416">
        <v>13</v>
      </c>
      <c r="B22" s="423">
        <v>11</v>
      </c>
      <c r="C22" s="424">
        <f>[9]стоимость!J15</f>
        <v>295102</v>
      </c>
      <c r="D22" s="425"/>
      <c r="E22" s="425"/>
      <c r="F22" s="425"/>
      <c r="G22" s="425"/>
      <c r="H22" s="425"/>
      <c r="I22" s="435"/>
      <c r="J22" s="425"/>
      <c r="K22" s="425"/>
      <c r="L22" s="434"/>
      <c r="M22" s="435"/>
      <c r="N22" s="425"/>
      <c r="O22" s="426"/>
      <c r="P22" s="435"/>
      <c r="Q22" s="435"/>
      <c r="R22" s="425"/>
      <c r="S22" s="425"/>
      <c r="T22" s="425"/>
      <c r="U22" s="426"/>
      <c r="V22" s="426"/>
      <c r="W22" s="426"/>
      <c r="X22" s="426"/>
      <c r="Y22" s="426"/>
      <c r="Z22" s="427"/>
      <c r="AA22" s="427"/>
      <c r="AB22" s="427"/>
      <c r="AC22" s="427"/>
      <c r="AD22" s="426"/>
      <c r="AE22" s="426"/>
      <c r="AF22" s="425"/>
      <c r="AG22" s="428">
        <f t="shared" si="7"/>
        <v>0</v>
      </c>
      <c r="AH22" s="427"/>
      <c r="AI22" s="428">
        <f t="shared" si="8"/>
        <v>0</v>
      </c>
    </row>
    <row r="23" spans="1:35" s="419" customFormat="1" ht="14.25" customHeight="1" x14ac:dyDescent="0.2">
      <c r="A23" s="416">
        <v>14</v>
      </c>
      <c r="B23" s="423">
        <v>12</v>
      </c>
      <c r="C23" s="424">
        <f>[9]стоимость!J16</f>
        <v>188542</v>
      </c>
      <c r="D23" s="426">
        <f>10-5</f>
        <v>5</v>
      </c>
      <c r="E23" s="426">
        <f>3+10</f>
        <v>13</v>
      </c>
      <c r="F23" s="426"/>
      <c r="G23" s="426"/>
      <c r="H23" s="426"/>
      <c r="I23" s="430"/>
      <c r="J23" s="426"/>
      <c r="K23" s="426"/>
      <c r="L23" s="434"/>
      <c r="M23" s="430"/>
      <c r="N23" s="426"/>
      <c r="O23" s="426"/>
      <c r="P23" s="426">
        <v>6</v>
      </c>
      <c r="Q23" s="430"/>
      <c r="R23" s="426"/>
      <c r="S23" s="426"/>
      <c r="T23" s="426">
        <v>10</v>
      </c>
      <c r="U23" s="426"/>
      <c r="V23" s="426"/>
      <c r="W23" s="426"/>
      <c r="X23" s="426"/>
      <c r="Y23" s="426"/>
      <c r="Z23" s="427"/>
      <c r="AA23" s="427"/>
      <c r="AB23" s="427"/>
      <c r="AC23" s="427"/>
      <c r="AD23" s="426"/>
      <c r="AE23" s="426"/>
      <c r="AF23" s="425"/>
      <c r="AG23" s="428">
        <f t="shared" si="7"/>
        <v>34</v>
      </c>
      <c r="AH23" s="427"/>
      <c r="AI23" s="428">
        <f t="shared" si="8"/>
        <v>34</v>
      </c>
    </row>
    <row r="24" spans="1:35" s="419" customFormat="1" ht="12.75" customHeight="1" x14ac:dyDescent="0.2">
      <c r="A24" s="416">
        <v>15</v>
      </c>
      <c r="B24" s="423">
        <v>13</v>
      </c>
      <c r="C24" s="424">
        <f>[9]стоимость!J17</f>
        <v>270597</v>
      </c>
      <c r="D24" s="432"/>
      <c r="E24" s="432"/>
      <c r="F24" s="432"/>
      <c r="G24" s="432"/>
      <c r="H24" s="432"/>
      <c r="I24" s="433"/>
      <c r="J24" s="432"/>
      <c r="K24" s="432">
        <v>55</v>
      </c>
      <c r="L24" s="434">
        <v>13</v>
      </c>
      <c r="M24" s="433"/>
      <c r="N24" s="432"/>
      <c r="O24" s="426"/>
      <c r="P24" s="433"/>
      <c r="Q24" s="433"/>
      <c r="R24" s="426"/>
      <c r="S24" s="432"/>
      <c r="T24" s="432"/>
      <c r="U24" s="426"/>
      <c r="V24" s="426"/>
      <c r="W24" s="426"/>
      <c r="X24" s="426"/>
      <c r="Y24" s="426"/>
      <c r="Z24" s="427"/>
      <c r="AA24" s="427"/>
      <c r="AB24" s="427"/>
      <c r="AC24" s="427"/>
      <c r="AD24" s="426"/>
      <c r="AE24" s="426"/>
      <c r="AF24" s="425"/>
      <c r="AG24" s="428">
        <f t="shared" si="7"/>
        <v>68</v>
      </c>
      <c r="AH24" s="427"/>
      <c r="AI24" s="428">
        <f t="shared" si="8"/>
        <v>68</v>
      </c>
    </row>
    <row r="25" spans="1:35" s="419" customFormat="1" ht="14.25" customHeight="1" x14ac:dyDescent="0.2">
      <c r="A25" s="416">
        <v>16</v>
      </c>
      <c r="B25" s="423">
        <v>14</v>
      </c>
      <c r="C25" s="424">
        <f>[9]стоимость!J18</f>
        <v>356139</v>
      </c>
      <c r="D25" s="426">
        <v>10</v>
      </c>
      <c r="E25" s="426"/>
      <c r="F25" s="426"/>
      <c r="G25" s="426"/>
      <c r="H25" s="426"/>
      <c r="I25" s="430"/>
      <c r="J25" s="426"/>
      <c r="K25" s="426"/>
      <c r="L25" s="434"/>
      <c r="M25" s="430"/>
      <c r="N25" s="426"/>
      <c r="O25" s="426"/>
      <c r="P25" s="430"/>
      <c r="Q25" s="430"/>
      <c r="R25" s="426">
        <v>3</v>
      </c>
      <c r="S25" s="426"/>
      <c r="T25" s="426">
        <v>12</v>
      </c>
      <c r="U25" s="426">
        <v>17</v>
      </c>
      <c r="V25" s="426"/>
      <c r="W25" s="426"/>
      <c r="X25" s="426"/>
      <c r="Y25" s="426"/>
      <c r="Z25" s="427"/>
      <c r="AA25" s="427"/>
      <c r="AB25" s="427"/>
      <c r="AC25" s="427"/>
      <c r="AD25" s="426"/>
      <c r="AE25" s="426"/>
      <c r="AF25" s="425"/>
      <c r="AG25" s="428">
        <f t="shared" si="7"/>
        <v>42</v>
      </c>
      <c r="AH25" s="427"/>
      <c r="AI25" s="428">
        <f t="shared" si="8"/>
        <v>42</v>
      </c>
    </row>
    <row r="26" spans="1:35" s="419" customFormat="1" ht="14.25" customHeight="1" x14ac:dyDescent="0.2">
      <c r="A26" s="416">
        <v>17</v>
      </c>
      <c r="B26" s="423">
        <v>15</v>
      </c>
      <c r="C26" s="424">
        <f>[9]стоимость!J19</f>
        <v>475409</v>
      </c>
      <c r="D26" s="432">
        <f>3-3</f>
        <v>0</v>
      </c>
      <c r="E26" s="432">
        <f>10-1</f>
        <v>9</v>
      </c>
      <c r="F26" s="432"/>
      <c r="G26" s="432"/>
      <c r="H26" s="432"/>
      <c r="I26" s="433"/>
      <c r="J26" s="432"/>
      <c r="K26" s="436"/>
      <c r="L26" s="434"/>
      <c r="M26" s="433"/>
      <c r="N26" s="432"/>
      <c r="O26" s="432"/>
      <c r="P26" s="432">
        <v>10</v>
      </c>
      <c r="Q26" s="433"/>
      <c r="R26" s="432"/>
      <c r="S26" s="432"/>
      <c r="T26" s="432"/>
      <c r="U26" s="426"/>
      <c r="V26" s="426"/>
      <c r="W26" s="426"/>
      <c r="X26" s="426"/>
      <c r="Y26" s="426"/>
      <c r="Z26" s="427"/>
      <c r="AA26" s="427"/>
      <c r="AB26" s="427"/>
      <c r="AC26" s="427"/>
      <c r="AD26" s="426"/>
      <c r="AE26" s="426"/>
      <c r="AF26" s="425"/>
      <c r="AG26" s="428">
        <f t="shared" si="7"/>
        <v>19</v>
      </c>
      <c r="AH26" s="427"/>
      <c r="AI26" s="428">
        <f t="shared" si="8"/>
        <v>19</v>
      </c>
    </row>
    <row r="27" spans="1:35" s="415" customFormat="1" ht="18.75" customHeight="1" x14ac:dyDescent="0.2">
      <c r="A27" s="413"/>
      <c r="B27" s="939" t="s">
        <v>423</v>
      </c>
      <c r="C27" s="940"/>
      <c r="D27" s="421">
        <f>SUM(D28:D29)</f>
        <v>160</v>
      </c>
      <c r="E27" s="421">
        <f t="shared" ref="E27:AI27" si="9">SUM(E28:E29)</f>
        <v>0</v>
      </c>
      <c r="F27" s="421">
        <f t="shared" si="9"/>
        <v>600</v>
      </c>
      <c r="G27" s="421">
        <f t="shared" si="9"/>
        <v>0</v>
      </c>
      <c r="H27" s="421">
        <f t="shared" si="9"/>
        <v>0</v>
      </c>
      <c r="I27" s="421">
        <f t="shared" si="9"/>
        <v>0</v>
      </c>
      <c r="J27" s="421">
        <f t="shared" si="9"/>
        <v>0</v>
      </c>
      <c r="K27" s="421">
        <f t="shared" si="9"/>
        <v>210</v>
      </c>
      <c r="L27" s="421">
        <f t="shared" si="9"/>
        <v>90</v>
      </c>
      <c r="M27" s="421">
        <f t="shared" si="9"/>
        <v>0</v>
      </c>
      <c r="N27" s="421">
        <f t="shared" si="9"/>
        <v>0</v>
      </c>
      <c r="O27" s="421">
        <f t="shared" si="9"/>
        <v>0</v>
      </c>
      <c r="P27" s="421">
        <f t="shared" si="9"/>
        <v>0</v>
      </c>
      <c r="Q27" s="421">
        <f t="shared" si="9"/>
        <v>80</v>
      </c>
      <c r="R27" s="421">
        <v>0</v>
      </c>
      <c r="S27" s="421">
        <f t="shared" si="9"/>
        <v>0</v>
      </c>
      <c r="T27" s="421">
        <f t="shared" si="9"/>
        <v>0</v>
      </c>
      <c r="U27" s="421">
        <f t="shared" si="9"/>
        <v>0</v>
      </c>
      <c r="V27" s="421">
        <f t="shared" si="9"/>
        <v>0</v>
      </c>
      <c r="W27" s="421">
        <v>0</v>
      </c>
      <c r="X27" s="421">
        <f t="shared" si="9"/>
        <v>0</v>
      </c>
      <c r="Y27" s="421">
        <f t="shared" si="9"/>
        <v>0</v>
      </c>
      <c r="Z27" s="421">
        <f t="shared" si="9"/>
        <v>0</v>
      </c>
      <c r="AA27" s="421">
        <f t="shared" si="9"/>
        <v>0</v>
      </c>
      <c r="AB27" s="421">
        <f t="shared" si="9"/>
        <v>0</v>
      </c>
      <c r="AC27" s="421">
        <f t="shared" si="9"/>
        <v>0</v>
      </c>
      <c r="AD27" s="421">
        <f t="shared" si="9"/>
        <v>0</v>
      </c>
      <c r="AE27" s="421">
        <f t="shared" si="9"/>
        <v>0</v>
      </c>
      <c r="AF27" s="421">
        <f t="shared" si="9"/>
        <v>0</v>
      </c>
      <c r="AG27" s="421">
        <f t="shared" si="9"/>
        <v>1140</v>
      </c>
      <c r="AH27" s="421">
        <f t="shared" si="9"/>
        <v>0</v>
      </c>
      <c r="AI27" s="421">
        <f t="shared" si="9"/>
        <v>1140</v>
      </c>
    </row>
    <row r="28" spans="1:35" s="419" customFormat="1" ht="14.25" customHeight="1" x14ac:dyDescent="0.2">
      <c r="A28" s="416">
        <v>18</v>
      </c>
      <c r="B28" s="423">
        <v>16</v>
      </c>
      <c r="C28" s="424">
        <f>[9]стоимость!J20</f>
        <v>297453</v>
      </c>
      <c r="D28" s="425">
        <v>130</v>
      </c>
      <c r="E28" s="425"/>
      <c r="F28" s="425">
        <v>550</v>
      </c>
      <c r="G28" s="437"/>
      <c r="H28" s="425"/>
      <c r="I28" s="425"/>
      <c r="J28" s="425"/>
      <c r="K28" s="425">
        <v>165</v>
      </c>
      <c r="L28" s="425">
        <v>30</v>
      </c>
      <c r="M28" s="425"/>
      <c r="N28" s="425"/>
      <c r="O28" s="425"/>
      <c r="P28" s="425"/>
      <c r="Q28" s="425">
        <f>70+5</f>
        <v>75</v>
      </c>
      <c r="R28" s="425"/>
      <c r="S28" s="425"/>
      <c r="T28" s="425"/>
      <c r="U28" s="425"/>
      <c r="V28" s="425"/>
      <c r="W28" s="425"/>
      <c r="X28" s="425"/>
      <c r="Y28" s="425"/>
      <c r="Z28" s="427"/>
      <c r="AA28" s="427"/>
      <c r="AB28" s="427"/>
      <c r="AC28" s="427"/>
      <c r="AD28" s="425"/>
      <c r="AE28" s="425"/>
      <c r="AF28" s="425"/>
      <c r="AG28" s="428">
        <f>D28+E28+F28+G28+H28+I28+J28+K28+L28+M28+N28+O28+P28+Q28+R28+S28+T28+U28+V28+W28+X28+Y28+Z28+AA28+AB28+AC28+AD28+AE28+AF28</f>
        <v>950</v>
      </c>
      <c r="AH28" s="427"/>
      <c r="AI28" s="428">
        <f>AG28+AH28</f>
        <v>950</v>
      </c>
    </row>
    <row r="29" spans="1:35" s="419" customFormat="1" ht="14.25" customHeight="1" x14ac:dyDescent="0.2">
      <c r="A29" s="416">
        <v>19</v>
      </c>
      <c r="B29" s="423">
        <v>17</v>
      </c>
      <c r="C29" s="424">
        <f>[9]стоимость!J21</f>
        <v>609814</v>
      </c>
      <c r="D29" s="425">
        <v>30</v>
      </c>
      <c r="E29" s="425"/>
      <c r="F29" s="425">
        <v>50</v>
      </c>
      <c r="G29" s="425"/>
      <c r="H29" s="425"/>
      <c r="I29" s="425"/>
      <c r="J29" s="425"/>
      <c r="K29" s="425">
        <v>45</v>
      </c>
      <c r="L29" s="425">
        <v>60</v>
      </c>
      <c r="M29" s="425"/>
      <c r="N29" s="425"/>
      <c r="O29" s="425"/>
      <c r="P29" s="425"/>
      <c r="Q29" s="425">
        <f>10-5</f>
        <v>5</v>
      </c>
      <c r="R29" s="425"/>
      <c r="S29" s="425"/>
      <c r="T29" s="425"/>
      <c r="U29" s="425"/>
      <c r="V29" s="425"/>
      <c r="W29" s="425"/>
      <c r="X29" s="425"/>
      <c r="Y29" s="425"/>
      <c r="Z29" s="427"/>
      <c r="AA29" s="427"/>
      <c r="AB29" s="427"/>
      <c r="AC29" s="427"/>
      <c r="AD29" s="425"/>
      <c r="AE29" s="425"/>
      <c r="AF29" s="425"/>
      <c r="AG29" s="428">
        <f>D29+E29+F29+G29+H29+I29+J29+K29+L29+M29+N29+O29+P29+Q29+R29+S29+T29+U29+V29+W29+X29+Y29+Z29+AA29+AB29+AC29+AD29+AE29+AF29</f>
        <v>190</v>
      </c>
      <c r="AH29" s="427"/>
      <c r="AI29" s="428">
        <f>AG29+AH29</f>
        <v>190</v>
      </c>
    </row>
    <row r="30" spans="1:35" s="415" customFormat="1" ht="18.75" customHeight="1" x14ac:dyDescent="0.2">
      <c r="A30" s="413"/>
      <c r="B30" s="939" t="s">
        <v>424</v>
      </c>
      <c r="C30" s="940"/>
      <c r="D30" s="421">
        <f>SUM(D31:D37)</f>
        <v>250</v>
      </c>
      <c r="E30" s="421">
        <f t="shared" ref="E30:AH30" si="10">SUM(E31:E37)</f>
        <v>0</v>
      </c>
      <c r="F30" s="421">
        <f t="shared" si="10"/>
        <v>0</v>
      </c>
      <c r="G30" s="421">
        <f t="shared" si="10"/>
        <v>0</v>
      </c>
      <c r="H30" s="421">
        <f t="shared" si="10"/>
        <v>1687</v>
      </c>
      <c r="I30" s="421">
        <f t="shared" si="10"/>
        <v>0</v>
      </c>
      <c r="J30" s="421">
        <f t="shared" si="10"/>
        <v>0</v>
      </c>
      <c r="K30" s="421">
        <f t="shared" si="10"/>
        <v>99</v>
      </c>
      <c r="L30" s="421">
        <f t="shared" si="10"/>
        <v>0</v>
      </c>
      <c r="M30" s="421">
        <f t="shared" si="10"/>
        <v>0</v>
      </c>
      <c r="N30" s="421">
        <f t="shared" si="10"/>
        <v>0</v>
      </c>
      <c r="O30" s="421">
        <f t="shared" si="10"/>
        <v>0</v>
      </c>
      <c r="P30" s="421">
        <f t="shared" si="10"/>
        <v>0</v>
      </c>
      <c r="Q30" s="421">
        <f t="shared" si="10"/>
        <v>0</v>
      </c>
      <c r="R30" s="421">
        <v>0</v>
      </c>
      <c r="S30" s="421">
        <f t="shared" si="10"/>
        <v>0</v>
      </c>
      <c r="T30" s="421">
        <f t="shared" si="10"/>
        <v>145</v>
      </c>
      <c r="U30" s="421">
        <f t="shared" si="10"/>
        <v>0</v>
      </c>
      <c r="V30" s="421">
        <f t="shared" si="10"/>
        <v>0</v>
      </c>
      <c r="W30" s="421">
        <v>0</v>
      </c>
      <c r="X30" s="421">
        <f t="shared" si="10"/>
        <v>10</v>
      </c>
      <c r="Y30" s="421">
        <f t="shared" si="10"/>
        <v>0</v>
      </c>
      <c r="Z30" s="421">
        <f t="shared" si="10"/>
        <v>0</v>
      </c>
      <c r="AA30" s="421">
        <f t="shared" si="10"/>
        <v>0</v>
      </c>
      <c r="AB30" s="421">
        <f t="shared" si="10"/>
        <v>0</v>
      </c>
      <c r="AC30" s="421">
        <f t="shared" si="10"/>
        <v>0</v>
      </c>
      <c r="AD30" s="421">
        <f t="shared" si="10"/>
        <v>0</v>
      </c>
      <c r="AE30" s="421">
        <f t="shared" si="10"/>
        <v>0</v>
      </c>
      <c r="AF30" s="421">
        <f t="shared" si="10"/>
        <v>5</v>
      </c>
      <c r="AG30" s="421">
        <f t="shared" si="10"/>
        <v>2196</v>
      </c>
      <c r="AH30" s="421">
        <f t="shared" si="10"/>
        <v>0</v>
      </c>
      <c r="AI30" s="421">
        <f>SUM(AI31:AI37)</f>
        <v>2196</v>
      </c>
    </row>
    <row r="31" spans="1:35" s="419" customFormat="1" ht="14.25" customHeight="1" x14ac:dyDescent="0.2">
      <c r="A31" s="416">
        <v>20</v>
      </c>
      <c r="B31" s="423">
        <v>18</v>
      </c>
      <c r="C31" s="424">
        <f>[9]стоимость!J22</f>
        <v>227121</v>
      </c>
      <c r="D31" s="426">
        <f>120-20</f>
        <v>100</v>
      </c>
      <c r="E31" s="426"/>
      <c r="F31" s="426"/>
      <c r="G31" s="426"/>
      <c r="H31" s="426">
        <v>1267</v>
      </c>
      <c r="I31" s="426"/>
      <c r="J31" s="426"/>
      <c r="K31" s="426">
        <v>1</v>
      </c>
      <c r="L31" s="426"/>
      <c r="M31" s="426"/>
      <c r="N31" s="426"/>
      <c r="O31" s="426"/>
      <c r="P31" s="426"/>
      <c r="Q31" s="426"/>
      <c r="R31" s="426"/>
      <c r="S31" s="426"/>
      <c r="T31" s="426">
        <v>145</v>
      </c>
      <c r="U31" s="426"/>
      <c r="V31" s="426"/>
      <c r="W31" s="426"/>
      <c r="X31" s="426">
        <v>10</v>
      </c>
      <c r="Y31" s="426"/>
      <c r="Z31" s="427"/>
      <c r="AA31" s="427"/>
      <c r="AB31" s="427"/>
      <c r="AC31" s="427"/>
      <c r="AD31" s="426"/>
      <c r="AE31" s="426"/>
      <c r="AF31" s="425">
        <v>5</v>
      </c>
      <c r="AG31" s="428">
        <f t="shared" ref="AG31:AG37" si="11">D31+E31+F31+G31+H31+I31+J31+K31+L31+M31+N31+O31+P31+Q31+R31+S31+T31+U31+V31+W31+X31+Y31+Z31+AA31+AB31+AC31+AD31+AE31+AF31</f>
        <v>1528</v>
      </c>
      <c r="AH31" s="427"/>
      <c r="AI31" s="428">
        <f t="shared" ref="AI31:AI37" si="12">AG31+AH31</f>
        <v>1528</v>
      </c>
    </row>
    <row r="32" spans="1:35" s="419" customFormat="1" ht="14.25" customHeight="1" x14ac:dyDescent="0.2">
      <c r="A32" s="416">
        <v>21</v>
      </c>
      <c r="B32" s="423">
        <v>19</v>
      </c>
      <c r="C32" s="424">
        <f>[9]стоимость!J23</f>
        <v>123238</v>
      </c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7"/>
      <c r="AA32" s="427"/>
      <c r="AB32" s="427"/>
      <c r="AC32" s="427"/>
      <c r="AD32" s="426"/>
      <c r="AE32" s="426"/>
      <c r="AF32" s="425"/>
      <c r="AG32" s="428">
        <f t="shared" si="11"/>
        <v>0</v>
      </c>
      <c r="AH32" s="427"/>
      <c r="AI32" s="428">
        <f t="shared" si="12"/>
        <v>0</v>
      </c>
    </row>
    <row r="33" spans="1:35" s="419" customFormat="1" ht="14.25" customHeight="1" x14ac:dyDescent="0.2">
      <c r="A33" s="416">
        <v>22</v>
      </c>
      <c r="B33" s="423">
        <v>20</v>
      </c>
      <c r="C33" s="424">
        <f>[9]стоимость!J24</f>
        <v>163933</v>
      </c>
      <c r="D33" s="426">
        <f>150-150</f>
        <v>0</v>
      </c>
      <c r="E33" s="426"/>
      <c r="F33" s="426"/>
      <c r="G33" s="426"/>
      <c r="H33" s="426">
        <f>250-250</f>
        <v>0</v>
      </c>
      <c r="I33" s="430"/>
      <c r="J33" s="426"/>
      <c r="K33" s="426">
        <v>98</v>
      </c>
      <c r="L33" s="426"/>
      <c r="M33" s="426"/>
      <c r="N33" s="426"/>
      <c r="O33" s="426"/>
      <c r="P33" s="430"/>
      <c r="Q33" s="430"/>
      <c r="R33" s="426"/>
      <c r="S33" s="426"/>
      <c r="T33" s="426"/>
      <c r="U33" s="426"/>
      <c r="V33" s="426"/>
      <c r="W33" s="426"/>
      <c r="X33" s="426"/>
      <c r="Y33" s="426"/>
      <c r="Z33" s="427"/>
      <c r="AA33" s="427"/>
      <c r="AB33" s="427"/>
      <c r="AC33" s="427"/>
      <c r="AD33" s="426"/>
      <c r="AE33" s="426"/>
      <c r="AF33" s="425"/>
      <c r="AG33" s="428">
        <f t="shared" si="11"/>
        <v>98</v>
      </c>
      <c r="AH33" s="427"/>
      <c r="AI33" s="428">
        <f t="shared" si="12"/>
        <v>98</v>
      </c>
    </row>
    <row r="34" spans="1:35" s="419" customFormat="1" ht="14.25" customHeight="1" x14ac:dyDescent="0.2">
      <c r="A34" s="416">
        <v>0</v>
      </c>
      <c r="B34" s="423">
        <v>21</v>
      </c>
      <c r="C34" s="424">
        <f>[9]стоимость!J25</f>
        <v>460267</v>
      </c>
      <c r="D34" s="426">
        <v>150</v>
      </c>
      <c r="E34" s="426"/>
      <c r="F34" s="426"/>
      <c r="G34" s="426"/>
      <c r="H34" s="426">
        <v>250</v>
      </c>
      <c r="I34" s="430"/>
      <c r="J34" s="426"/>
      <c r="K34" s="426"/>
      <c r="L34" s="426"/>
      <c r="M34" s="426"/>
      <c r="N34" s="426"/>
      <c r="O34" s="426"/>
      <c r="P34" s="430"/>
      <c r="Q34" s="430"/>
      <c r="R34" s="426"/>
      <c r="S34" s="426"/>
      <c r="T34" s="426"/>
      <c r="U34" s="426"/>
      <c r="V34" s="426"/>
      <c r="W34" s="426"/>
      <c r="X34" s="426"/>
      <c r="Y34" s="426"/>
      <c r="Z34" s="427"/>
      <c r="AA34" s="427"/>
      <c r="AB34" s="427"/>
      <c r="AC34" s="427"/>
      <c r="AD34" s="426"/>
      <c r="AE34" s="426"/>
      <c r="AF34" s="425"/>
      <c r="AG34" s="428">
        <f t="shared" si="11"/>
        <v>400</v>
      </c>
      <c r="AH34" s="427"/>
      <c r="AI34" s="428">
        <f t="shared" si="12"/>
        <v>400</v>
      </c>
    </row>
    <row r="35" spans="1:35" s="419" customFormat="1" ht="14.25" customHeight="1" x14ac:dyDescent="0.2">
      <c r="A35" s="416">
        <v>23</v>
      </c>
      <c r="B35" s="423">
        <v>22</v>
      </c>
      <c r="C35" s="424">
        <f>[9]стоимость!J26</f>
        <v>87179</v>
      </c>
      <c r="D35" s="426"/>
      <c r="E35" s="426"/>
      <c r="F35" s="426"/>
      <c r="G35" s="426"/>
      <c r="H35" s="426">
        <v>10</v>
      </c>
      <c r="I35" s="430"/>
      <c r="J35" s="426"/>
      <c r="K35" s="426"/>
      <c r="L35" s="426"/>
      <c r="M35" s="426"/>
      <c r="N35" s="426"/>
      <c r="O35" s="426"/>
      <c r="P35" s="430"/>
      <c r="Q35" s="430"/>
      <c r="R35" s="426"/>
      <c r="S35" s="426"/>
      <c r="T35" s="426"/>
      <c r="U35" s="426"/>
      <c r="V35" s="426"/>
      <c r="W35" s="426"/>
      <c r="X35" s="426"/>
      <c r="Y35" s="426"/>
      <c r="Z35" s="427"/>
      <c r="AA35" s="427"/>
      <c r="AB35" s="427"/>
      <c r="AC35" s="427"/>
      <c r="AD35" s="426"/>
      <c r="AE35" s="426"/>
      <c r="AF35" s="425"/>
      <c r="AG35" s="428">
        <f t="shared" si="11"/>
        <v>10</v>
      </c>
      <c r="AH35" s="427"/>
      <c r="AI35" s="428">
        <f t="shared" si="12"/>
        <v>10</v>
      </c>
    </row>
    <row r="36" spans="1:35" s="419" customFormat="1" ht="14.25" customHeight="1" x14ac:dyDescent="0.2">
      <c r="A36" s="416">
        <v>24</v>
      </c>
      <c r="B36" s="423">
        <v>23</v>
      </c>
      <c r="C36" s="424">
        <f>[9]стоимость!J27</f>
        <v>196969</v>
      </c>
      <c r="D36" s="426"/>
      <c r="E36" s="426"/>
      <c r="F36" s="426"/>
      <c r="G36" s="426"/>
      <c r="H36" s="426">
        <v>160</v>
      </c>
      <c r="I36" s="430"/>
      <c r="J36" s="426"/>
      <c r="K36" s="426"/>
      <c r="L36" s="426"/>
      <c r="M36" s="426"/>
      <c r="N36" s="426"/>
      <c r="O36" s="426"/>
      <c r="P36" s="430"/>
      <c r="Q36" s="430"/>
      <c r="R36" s="426"/>
      <c r="S36" s="426"/>
      <c r="T36" s="426"/>
      <c r="U36" s="426"/>
      <c r="V36" s="426"/>
      <c r="W36" s="426"/>
      <c r="X36" s="426"/>
      <c r="Y36" s="426"/>
      <c r="Z36" s="427"/>
      <c r="AA36" s="427"/>
      <c r="AB36" s="427"/>
      <c r="AC36" s="427"/>
      <c r="AD36" s="426"/>
      <c r="AE36" s="426"/>
      <c r="AF36" s="425"/>
      <c r="AG36" s="428">
        <f t="shared" si="11"/>
        <v>160</v>
      </c>
      <c r="AH36" s="427"/>
      <c r="AI36" s="428">
        <f t="shared" si="12"/>
        <v>160</v>
      </c>
    </row>
    <row r="37" spans="1:35" s="419" customFormat="1" ht="14.25" customHeight="1" x14ac:dyDescent="0.2">
      <c r="A37" s="416">
        <v>25</v>
      </c>
      <c r="B37" s="423">
        <v>24</v>
      </c>
      <c r="C37" s="424">
        <f>[9]стоимость!J28</f>
        <v>262005</v>
      </c>
      <c r="D37" s="426"/>
      <c r="E37" s="426"/>
      <c r="F37" s="426"/>
      <c r="G37" s="426"/>
      <c r="H37" s="426"/>
      <c r="I37" s="430"/>
      <c r="J37" s="426"/>
      <c r="K37" s="426"/>
      <c r="L37" s="426"/>
      <c r="M37" s="426"/>
      <c r="N37" s="426"/>
      <c r="O37" s="426"/>
      <c r="P37" s="430"/>
      <c r="Q37" s="430"/>
      <c r="R37" s="426"/>
      <c r="S37" s="426"/>
      <c r="T37" s="426"/>
      <c r="U37" s="426"/>
      <c r="V37" s="426"/>
      <c r="W37" s="426"/>
      <c r="X37" s="426"/>
      <c r="Y37" s="426"/>
      <c r="Z37" s="427"/>
      <c r="AA37" s="427"/>
      <c r="AB37" s="427"/>
      <c r="AC37" s="427"/>
      <c r="AD37" s="426"/>
      <c r="AE37" s="426"/>
      <c r="AF37" s="425"/>
      <c r="AG37" s="428">
        <f t="shared" si="11"/>
        <v>0</v>
      </c>
      <c r="AH37" s="427"/>
      <c r="AI37" s="428">
        <f t="shared" si="12"/>
        <v>0</v>
      </c>
    </row>
    <row r="38" spans="1:35" s="415" customFormat="1" ht="19.5" customHeight="1" x14ac:dyDescent="0.2">
      <c r="A38" s="413"/>
      <c r="B38" s="943" t="s">
        <v>425</v>
      </c>
      <c r="C38" s="943"/>
      <c r="D38" s="421">
        <f>D39+D40+D41</f>
        <v>147</v>
      </c>
      <c r="E38" s="421">
        <f t="shared" ref="E38:AH38" si="13">E39+E40+E41</f>
        <v>4</v>
      </c>
      <c r="F38" s="421">
        <f t="shared" si="13"/>
        <v>0</v>
      </c>
      <c r="G38" s="421">
        <f t="shared" si="13"/>
        <v>0</v>
      </c>
      <c r="H38" s="421">
        <f t="shared" si="13"/>
        <v>0</v>
      </c>
      <c r="I38" s="421">
        <f t="shared" si="13"/>
        <v>0</v>
      </c>
      <c r="J38" s="421">
        <f t="shared" si="13"/>
        <v>0</v>
      </c>
      <c r="K38" s="421">
        <f t="shared" si="13"/>
        <v>62</v>
      </c>
      <c r="L38" s="421">
        <f t="shared" si="13"/>
        <v>0</v>
      </c>
      <c r="M38" s="421">
        <f t="shared" si="13"/>
        <v>0</v>
      </c>
      <c r="N38" s="421">
        <f t="shared" si="13"/>
        <v>100</v>
      </c>
      <c r="O38" s="421">
        <f t="shared" si="13"/>
        <v>0</v>
      </c>
      <c r="P38" s="421">
        <f t="shared" si="13"/>
        <v>73</v>
      </c>
      <c r="Q38" s="421">
        <f t="shared" si="13"/>
        <v>0</v>
      </c>
      <c r="R38" s="421">
        <v>0</v>
      </c>
      <c r="S38" s="421">
        <f t="shared" si="13"/>
        <v>0</v>
      </c>
      <c r="T38" s="421">
        <f t="shared" si="13"/>
        <v>0</v>
      </c>
      <c r="U38" s="421">
        <f t="shared" si="13"/>
        <v>0</v>
      </c>
      <c r="V38" s="421">
        <f t="shared" si="13"/>
        <v>0</v>
      </c>
      <c r="W38" s="421">
        <v>0</v>
      </c>
      <c r="X38" s="421">
        <f t="shared" si="13"/>
        <v>0</v>
      </c>
      <c r="Y38" s="421">
        <f t="shared" si="13"/>
        <v>0</v>
      </c>
      <c r="Z38" s="421">
        <f t="shared" si="13"/>
        <v>0</v>
      </c>
      <c r="AA38" s="421">
        <f t="shared" si="13"/>
        <v>0</v>
      </c>
      <c r="AB38" s="421">
        <f t="shared" si="13"/>
        <v>0</v>
      </c>
      <c r="AC38" s="421">
        <f t="shared" si="13"/>
        <v>0</v>
      </c>
      <c r="AD38" s="421">
        <f t="shared" si="13"/>
        <v>22</v>
      </c>
      <c r="AE38" s="421">
        <f t="shared" si="13"/>
        <v>0</v>
      </c>
      <c r="AF38" s="421">
        <f t="shared" si="13"/>
        <v>5</v>
      </c>
      <c r="AG38" s="421">
        <f t="shared" si="13"/>
        <v>413</v>
      </c>
      <c r="AH38" s="421">
        <f t="shared" si="13"/>
        <v>0</v>
      </c>
      <c r="AI38" s="421">
        <f>AI39+AI40+AI41</f>
        <v>413</v>
      </c>
    </row>
    <row r="39" spans="1:35" s="419" customFormat="1" ht="15" customHeight="1" x14ac:dyDescent="0.2">
      <c r="A39" s="416">
        <v>26</v>
      </c>
      <c r="B39" s="423">
        <v>25</v>
      </c>
      <c r="C39" s="424">
        <f>[9]стоимость!J29</f>
        <v>136012</v>
      </c>
      <c r="D39" s="426">
        <v>120</v>
      </c>
      <c r="E39" s="426"/>
      <c r="F39" s="426"/>
      <c r="G39" s="426"/>
      <c r="H39" s="426"/>
      <c r="I39" s="426"/>
      <c r="J39" s="426"/>
      <c r="K39" s="426">
        <v>25</v>
      </c>
      <c r="L39" s="426"/>
      <c r="M39" s="426"/>
      <c r="N39" s="426">
        <v>60</v>
      </c>
      <c r="O39" s="426"/>
      <c r="P39" s="426">
        <v>20</v>
      </c>
      <c r="Q39" s="426"/>
      <c r="R39" s="426"/>
      <c r="S39" s="426"/>
      <c r="T39" s="426"/>
      <c r="U39" s="426"/>
      <c r="V39" s="426"/>
      <c r="W39" s="426"/>
      <c r="X39" s="426"/>
      <c r="Y39" s="426"/>
      <c r="Z39" s="427"/>
      <c r="AA39" s="427"/>
      <c r="AB39" s="427"/>
      <c r="AC39" s="427"/>
      <c r="AD39" s="426">
        <f>3+17</f>
        <v>20</v>
      </c>
      <c r="AE39" s="426"/>
      <c r="AF39" s="425"/>
      <c r="AG39" s="428">
        <f>D39+E39+F39+G39+H39+I39+J39+K39+L39+M39+N39+O39+P39+Q39+R39+S39+T39+U39+V39+W39+X39+Y39+Z39+AA39+AB39+AC39+AD39+AE39+AF39</f>
        <v>245</v>
      </c>
      <c r="AH39" s="427"/>
      <c r="AI39" s="428">
        <f>AG39+AH39</f>
        <v>245</v>
      </c>
    </row>
    <row r="40" spans="1:35" s="419" customFormat="1" ht="15" customHeight="1" x14ac:dyDescent="0.2">
      <c r="A40" s="416">
        <v>27</v>
      </c>
      <c r="B40" s="423">
        <v>26</v>
      </c>
      <c r="C40" s="424">
        <f>[9]стоимость!J30</f>
        <v>80274</v>
      </c>
      <c r="D40" s="426">
        <v>15</v>
      </c>
      <c r="E40" s="426">
        <v>4</v>
      </c>
      <c r="F40" s="426"/>
      <c r="G40" s="426"/>
      <c r="H40" s="426"/>
      <c r="I40" s="426"/>
      <c r="J40" s="426"/>
      <c r="K40" s="426">
        <v>27</v>
      </c>
      <c r="L40" s="434"/>
      <c r="M40" s="426"/>
      <c r="N40" s="426">
        <v>40</v>
      </c>
      <c r="O40" s="426"/>
      <c r="P40" s="426">
        <v>53</v>
      </c>
      <c r="Q40" s="426"/>
      <c r="R40" s="426"/>
      <c r="S40" s="426"/>
      <c r="T40" s="426"/>
      <c r="U40" s="426"/>
      <c r="V40" s="426"/>
      <c r="W40" s="426"/>
      <c r="X40" s="426"/>
      <c r="Y40" s="426"/>
      <c r="Z40" s="427"/>
      <c r="AA40" s="427"/>
      <c r="AB40" s="427"/>
      <c r="AC40" s="427"/>
      <c r="AD40" s="426">
        <f>2-1</f>
        <v>1</v>
      </c>
      <c r="AE40" s="426"/>
      <c r="AF40" s="425">
        <v>5</v>
      </c>
      <c r="AG40" s="428">
        <f>D40+E40+F40+G40+H40+I40+J40+K40+L40+M40+N40+O40+P40+Q40+R40+S40+T40+U40+V40+W40+X40+Y40+Z40+AA40+AB40+AC40+AD40+AE40+AF40</f>
        <v>145</v>
      </c>
      <c r="AH40" s="427"/>
      <c r="AI40" s="428">
        <f>AG40+AH40</f>
        <v>145</v>
      </c>
    </row>
    <row r="41" spans="1:35" s="419" customFormat="1" ht="15" customHeight="1" x14ac:dyDescent="0.2">
      <c r="A41" s="416">
        <v>28</v>
      </c>
      <c r="B41" s="438">
        <v>27</v>
      </c>
      <c r="C41" s="424">
        <f>[9]стоимость!J31</f>
        <v>157576</v>
      </c>
      <c r="D41" s="426">
        <v>12</v>
      </c>
      <c r="E41" s="426"/>
      <c r="F41" s="426"/>
      <c r="G41" s="426"/>
      <c r="H41" s="426"/>
      <c r="I41" s="426"/>
      <c r="J41" s="426"/>
      <c r="K41" s="426">
        <v>10</v>
      </c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7"/>
      <c r="AA41" s="427"/>
      <c r="AB41" s="427"/>
      <c r="AC41" s="427"/>
      <c r="AD41" s="426">
        <f>2-1</f>
        <v>1</v>
      </c>
      <c r="AE41" s="426"/>
      <c r="AF41" s="425"/>
      <c r="AG41" s="428">
        <f>D41+E41+F41+G41+H41+I41+J41+K41+L41+M41+N41+O41+P41+Q41+R41+S41+T41+U41+V41+W41+X41+Y41+Z41+AA41+AB41+AC41+AD41+AE41+AF41</f>
        <v>23</v>
      </c>
      <c r="AH41" s="427"/>
      <c r="AI41" s="428">
        <f>AG41+AH41</f>
        <v>23</v>
      </c>
    </row>
    <row r="42" spans="1:35" s="415" customFormat="1" ht="19.5" customHeight="1" x14ac:dyDescent="0.2">
      <c r="A42" s="413"/>
      <c r="B42" s="943" t="s">
        <v>426</v>
      </c>
      <c r="C42" s="943"/>
      <c r="D42" s="421">
        <f>D43+D44+D45</f>
        <v>0</v>
      </c>
      <c r="E42" s="421">
        <f t="shared" ref="E42:AI42" si="14">E43+E44+E45</f>
        <v>0</v>
      </c>
      <c r="F42" s="421">
        <f t="shared" si="14"/>
        <v>0</v>
      </c>
      <c r="G42" s="421">
        <f t="shared" si="14"/>
        <v>0</v>
      </c>
      <c r="H42" s="421">
        <f t="shared" si="14"/>
        <v>0</v>
      </c>
      <c r="I42" s="421">
        <f t="shared" si="14"/>
        <v>0</v>
      </c>
      <c r="J42" s="421">
        <f t="shared" si="14"/>
        <v>0</v>
      </c>
      <c r="K42" s="421">
        <f t="shared" si="14"/>
        <v>86</v>
      </c>
      <c r="L42" s="421">
        <f t="shared" si="14"/>
        <v>0</v>
      </c>
      <c r="M42" s="421">
        <f t="shared" si="14"/>
        <v>1184</v>
      </c>
      <c r="N42" s="421">
        <f t="shared" si="14"/>
        <v>0</v>
      </c>
      <c r="O42" s="421">
        <f t="shared" si="14"/>
        <v>0</v>
      </c>
      <c r="P42" s="421">
        <f t="shared" si="14"/>
        <v>0</v>
      </c>
      <c r="Q42" s="421">
        <f t="shared" si="14"/>
        <v>0</v>
      </c>
      <c r="R42" s="421">
        <v>0</v>
      </c>
      <c r="S42" s="421">
        <f t="shared" si="14"/>
        <v>100</v>
      </c>
      <c r="T42" s="421">
        <f t="shared" si="14"/>
        <v>270</v>
      </c>
      <c r="U42" s="421">
        <f t="shared" si="14"/>
        <v>0</v>
      </c>
      <c r="V42" s="421">
        <f t="shared" si="14"/>
        <v>0</v>
      </c>
      <c r="W42" s="421">
        <v>0</v>
      </c>
      <c r="X42" s="421">
        <f t="shared" si="14"/>
        <v>0</v>
      </c>
      <c r="Y42" s="421">
        <f t="shared" si="14"/>
        <v>81</v>
      </c>
      <c r="Z42" s="421">
        <f t="shared" si="14"/>
        <v>130</v>
      </c>
      <c r="AA42" s="421">
        <f t="shared" si="14"/>
        <v>0</v>
      </c>
      <c r="AB42" s="421">
        <f t="shared" si="14"/>
        <v>94</v>
      </c>
      <c r="AC42" s="421">
        <f t="shared" si="14"/>
        <v>90</v>
      </c>
      <c r="AD42" s="421">
        <f t="shared" si="14"/>
        <v>0</v>
      </c>
      <c r="AE42" s="421">
        <f t="shared" si="14"/>
        <v>0</v>
      </c>
      <c r="AF42" s="421">
        <f t="shared" si="14"/>
        <v>0</v>
      </c>
      <c r="AG42" s="421">
        <f t="shared" si="14"/>
        <v>2035</v>
      </c>
      <c r="AH42" s="421">
        <f t="shared" si="14"/>
        <v>75</v>
      </c>
      <c r="AI42" s="421">
        <f t="shared" si="14"/>
        <v>2110</v>
      </c>
    </row>
    <row r="43" spans="1:35" s="419" customFormat="1" ht="14.25" customHeight="1" x14ac:dyDescent="0.2">
      <c r="A43" s="416">
        <v>29</v>
      </c>
      <c r="B43" s="423">
        <v>28</v>
      </c>
      <c r="C43" s="424">
        <f>[9]стоимость!J32</f>
        <v>73376</v>
      </c>
      <c r="D43" s="426"/>
      <c r="E43" s="426"/>
      <c r="F43" s="426"/>
      <c r="G43" s="426"/>
      <c r="H43" s="426"/>
      <c r="I43" s="426"/>
      <c r="J43" s="426"/>
      <c r="K43" s="426">
        <v>86</v>
      </c>
      <c r="L43" s="426"/>
      <c r="M43" s="426">
        <f>1184-15</f>
        <v>1169</v>
      </c>
      <c r="N43" s="426"/>
      <c r="O43" s="425"/>
      <c r="P43" s="426"/>
      <c r="Q43" s="426"/>
      <c r="R43" s="426"/>
      <c r="S43" s="426">
        <f>100-7</f>
        <v>93</v>
      </c>
      <c r="T43" s="426">
        <f>152+109</f>
        <v>261</v>
      </c>
      <c r="U43" s="426"/>
      <c r="V43" s="425"/>
      <c r="W43" s="425"/>
      <c r="X43" s="425"/>
      <c r="Y43" s="425">
        <f>81-5</f>
        <v>76</v>
      </c>
      <c r="Z43" s="427">
        <f>130-8</f>
        <v>122</v>
      </c>
      <c r="AA43" s="427">
        <f>270-9-152-109</f>
        <v>0</v>
      </c>
      <c r="AB43" s="427">
        <v>88</v>
      </c>
      <c r="AC43" s="427">
        <f>70-5</f>
        <v>65</v>
      </c>
      <c r="AD43" s="426"/>
      <c r="AE43" s="426"/>
      <c r="AF43" s="425"/>
      <c r="AG43" s="428">
        <f>D43+E43+F43+G43+H43+I43+J43+K43+L43+M43+N43+O43+P43+Q43+R43+S43+T43+U43+V43+W43+X43+Y43+Z43+AA43+AB43+AC43+AD43+AE43+AF43</f>
        <v>1960</v>
      </c>
      <c r="AH43" s="427">
        <f>169-94</f>
        <v>75</v>
      </c>
      <c r="AI43" s="428">
        <f>AG43+AH43</f>
        <v>2035</v>
      </c>
    </row>
    <row r="44" spans="1:35" s="419" customFormat="1" ht="14.25" customHeight="1" x14ac:dyDescent="0.2">
      <c r="A44" s="416">
        <v>30</v>
      </c>
      <c r="B44" s="423">
        <v>29</v>
      </c>
      <c r="C44" s="424">
        <f>[9]стоимость!J33</f>
        <v>106640</v>
      </c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5"/>
      <c r="P44" s="426"/>
      <c r="Q44" s="426"/>
      <c r="R44" s="426"/>
      <c r="S44" s="426"/>
      <c r="T44" s="426"/>
      <c r="U44" s="426"/>
      <c r="V44" s="425"/>
      <c r="W44" s="425"/>
      <c r="X44" s="425"/>
      <c r="Y44" s="425"/>
      <c r="Z44" s="427"/>
      <c r="AA44" s="427"/>
      <c r="AB44" s="427"/>
      <c r="AC44" s="427">
        <v>20</v>
      </c>
      <c r="AD44" s="426"/>
      <c r="AE44" s="426"/>
      <c r="AF44" s="425"/>
      <c r="AG44" s="428">
        <f>D44+E44+F44+G44+H44+I44+J44+K44+L44+M44+N44+O44+P44+Q44+R44+S44+T44+U44+V44+W44+X44+Y44+Z44+AA44+AB44+AC44+AD44+AE44+AF44</f>
        <v>20</v>
      </c>
      <c r="AH44" s="427"/>
      <c r="AI44" s="428">
        <f>AG44+AH44</f>
        <v>20</v>
      </c>
    </row>
    <row r="45" spans="1:35" s="419" customFormat="1" ht="14.25" customHeight="1" x14ac:dyDescent="0.2">
      <c r="A45" s="416">
        <v>0</v>
      </c>
      <c r="B45" s="423">
        <v>30</v>
      </c>
      <c r="C45" s="424">
        <f>[9]стоимость!J34</f>
        <v>104235</v>
      </c>
      <c r="D45" s="426"/>
      <c r="E45" s="426"/>
      <c r="F45" s="426"/>
      <c r="G45" s="426"/>
      <c r="H45" s="426"/>
      <c r="I45" s="426"/>
      <c r="J45" s="426"/>
      <c r="K45" s="426"/>
      <c r="L45" s="426"/>
      <c r="M45" s="426">
        <v>15</v>
      </c>
      <c r="N45" s="426"/>
      <c r="O45" s="425"/>
      <c r="P45" s="426"/>
      <c r="Q45" s="426"/>
      <c r="R45" s="426"/>
      <c r="S45" s="426">
        <v>7</v>
      </c>
      <c r="T45" s="426">
        <f>5+4</f>
        <v>9</v>
      </c>
      <c r="U45" s="426"/>
      <c r="V45" s="425"/>
      <c r="W45" s="425"/>
      <c r="X45" s="425"/>
      <c r="Y45" s="425">
        <v>5</v>
      </c>
      <c r="Z45" s="427">
        <v>8</v>
      </c>
      <c r="AA45" s="427">
        <f>9-5-4</f>
        <v>0</v>
      </c>
      <c r="AB45" s="427">
        <v>6</v>
      </c>
      <c r="AC45" s="427">
        <v>5</v>
      </c>
      <c r="AD45" s="426"/>
      <c r="AE45" s="426"/>
      <c r="AF45" s="425"/>
      <c r="AG45" s="428">
        <f>D45+E45+F45+G45+H45+I45+J45+K45+L45+M45+N45+O45+P45+Q45+R45+S45+T45+U45+V45+W45+X45+Y45+Z45+AA45+AB45+AC45+AD45+AE45+AF45</f>
        <v>55</v>
      </c>
      <c r="AH45" s="427"/>
      <c r="AI45" s="428">
        <f>AG45+AH45</f>
        <v>55</v>
      </c>
    </row>
    <row r="46" spans="1:35" s="415" customFormat="1" ht="18.75" customHeight="1" x14ac:dyDescent="0.2">
      <c r="A46" s="413"/>
      <c r="B46" s="943" t="s">
        <v>427</v>
      </c>
      <c r="C46" s="943"/>
      <c r="D46" s="421">
        <f>SUM(D47:D51)</f>
        <v>0</v>
      </c>
      <c r="E46" s="421">
        <f t="shared" ref="E46:AI46" si="15">SUM(E47:E51)</f>
        <v>0</v>
      </c>
      <c r="F46" s="421">
        <f t="shared" si="15"/>
        <v>0</v>
      </c>
      <c r="G46" s="421">
        <f t="shared" si="15"/>
        <v>60</v>
      </c>
      <c r="H46" s="421">
        <f t="shared" si="15"/>
        <v>0</v>
      </c>
      <c r="I46" s="421">
        <f t="shared" si="15"/>
        <v>0</v>
      </c>
      <c r="J46" s="421">
        <f t="shared" si="15"/>
        <v>0</v>
      </c>
      <c r="K46" s="421">
        <f t="shared" si="15"/>
        <v>47</v>
      </c>
      <c r="L46" s="421">
        <f t="shared" si="15"/>
        <v>0</v>
      </c>
      <c r="M46" s="421">
        <f t="shared" si="15"/>
        <v>0</v>
      </c>
      <c r="N46" s="421">
        <f t="shared" si="15"/>
        <v>0</v>
      </c>
      <c r="O46" s="421">
        <f t="shared" si="15"/>
        <v>0</v>
      </c>
      <c r="P46" s="421">
        <f t="shared" si="15"/>
        <v>0</v>
      </c>
      <c r="Q46" s="421">
        <f t="shared" si="15"/>
        <v>0</v>
      </c>
      <c r="R46" s="421">
        <v>0</v>
      </c>
      <c r="S46" s="421">
        <f t="shared" si="15"/>
        <v>0</v>
      </c>
      <c r="T46" s="421">
        <f t="shared" si="15"/>
        <v>0</v>
      </c>
      <c r="U46" s="421">
        <f t="shared" si="15"/>
        <v>0</v>
      </c>
      <c r="V46" s="421">
        <f t="shared" si="15"/>
        <v>0</v>
      </c>
      <c r="W46" s="421">
        <v>0</v>
      </c>
      <c r="X46" s="421">
        <f t="shared" si="15"/>
        <v>0</v>
      </c>
      <c r="Y46" s="421">
        <f t="shared" si="15"/>
        <v>0</v>
      </c>
      <c r="Z46" s="421">
        <f t="shared" si="15"/>
        <v>0</v>
      </c>
      <c r="AA46" s="421">
        <f t="shared" si="15"/>
        <v>0</v>
      </c>
      <c r="AB46" s="421">
        <f t="shared" si="15"/>
        <v>0</v>
      </c>
      <c r="AC46" s="421">
        <f t="shared" si="15"/>
        <v>0</v>
      </c>
      <c r="AD46" s="421">
        <f t="shared" si="15"/>
        <v>0</v>
      </c>
      <c r="AE46" s="421">
        <f t="shared" si="15"/>
        <v>0</v>
      </c>
      <c r="AF46" s="421">
        <f t="shared" si="15"/>
        <v>0</v>
      </c>
      <c r="AG46" s="421">
        <f t="shared" si="15"/>
        <v>107</v>
      </c>
      <c r="AH46" s="421">
        <f t="shared" si="15"/>
        <v>0</v>
      </c>
      <c r="AI46" s="421">
        <f t="shared" si="15"/>
        <v>107</v>
      </c>
    </row>
    <row r="47" spans="1:35" s="419" customFormat="1" ht="15" customHeight="1" x14ac:dyDescent="0.2">
      <c r="A47" s="416">
        <v>31</v>
      </c>
      <c r="B47" s="423">
        <v>31</v>
      </c>
      <c r="C47" s="424">
        <f>[9]стоимость!J35</f>
        <v>101014</v>
      </c>
      <c r="D47" s="426"/>
      <c r="E47" s="426"/>
      <c r="F47" s="426"/>
      <c r="G47" s="426"/>
      <c r="H47" s="426"/>
      <c r="I47" s="426"/>
      <c r="J47" s="426"/>
      <c r="K47" s="426">
        <v>1</v>
      </c>
      <c r="L47" s="426"/>
      <c r="M47" s="426"/>
      <c r="N47" s="426"/>
      <c r="O47" s="426"/>
      <c r="P47" s="426"/>
      <c r="Q47" s="426"/>
      <c r="R47" s="426"/>
      <c r="S47" s="426"/>
      <c r="T47" s="426"/>
      <c r="U47" s="426"/>
      <c r="V47" s="426"/>
      <c r="W47" s="426"/>
      <c r="X47" s="426"/>
      <c r="Y47" s="426"/>
      <c r="Z47" s="427"/>
      <c r="AA47" s="427"/>
      <c r="AB47" s="427"/>
      <c r="AC47" s="427"/>
      <c r="AD47" s="426"/>
      <c r="AE47" s="426"/>
      <c r="AF47" s="425"/>
      <c r="AG47" s="428">
        <f>D47+E47+F47+G47+H47+I47+J47+K47+L47+M47+N47+O47+P47+Q47+R47+S47+T47+U47+V47+W47+X47+Y47+Z47+AA47+AB47+AC47+AD47+AE47+AF47</f>
        <v>1</v>
      </c>
      <c r="AH47" s="427"/>
      <c r="AI47" s="439">
        <f>AG47+AH47</f>
        <v>1</v>
      </c>
    </row>
    <row r="48" spans="1:35" s="419" customFormat="1" ht="13.5" customHeight="1" x14ac:dyDescent="0.2">
      <c r="A48" s="416">
        <v>32</v>
      </c>
      <c r="B48" s="423">
        <v>32</v>
      </c>
      <c r="C48" s="424">
        <f>[9]стоимость!J36</f>
        <v>205749</v>
      </c>
      <c r="D48" s="426"/>
      <c r="E48" s="426"/>
      <c r="F48" s="426"/>
      <c r="G48" s="426"/>
      <c r="H48" s="426"/>
      <c r="I48" s="426"/>
      <c r="J48" s="426"/>
      <c r="K48" s="426">
        <v>46</v>
      </c>
      <c r="L48" s="426"/>
      <c r="M48" s="426"/>
      <c r="N48" s="426"/>
      <c r="O48" s="426"/>
      <c r="P48" s="426"/>
      <c r="Q48" s="426"/>
      <c r="R48" s="426"/>
      <c r="S48" s="426"/>
      <c r="T48" s="426"/>
      <c r="U48" s="426"/>
      <c r="V48" s="426"/>
      <c r="W48" s="426"/>
      <c r="X48" s="426"/>
      <c r="Y48" s="426"/>
      <c r="Z48" s="427"/>
      <c r="AA48" s="427"/>
      <c r="AB48" s="427"/>
      <c r="AC48" s="427"/>
      <c r="AD48" s="426"/>
      <c r="AE48" s="426"/>
      <c r="AF48" s="425"/>
      <c r="AG48" s="428">
        <f>D48+E48+F48+G48+H48+I48+J48+K48+L48+M48+N48+O48+P48+Q48+R48+S48+T48+U48+V48+W48+X48+Y48+Z48+AA48+AB48+AC48+AD48+AE48+AF48</f>
        <v>46</v>
      </c>
      <c r="AH48" s="427"/>
      <c r="AI48" s="439">
        <f>AG48+AH48</f>
        <v>46</v>
      </c>
    </row>
    <row r="49" spans="1:35" s="419" customFormat="1" ht="15" customHeight="1" x14ac:dyDescent="0.2">
      <c r="A49" s="416">
        <v>33</v>
      </c>
      <c r="B49" s="423">
        <v>33</v>
      </c>
      <c r="C49" s="424">
        <f>[9]стоимость!J37</f>
        <v>119376</v>
      </c>
      <c r="D49" s="426"/>
      <c r="E49" s="426"/>
      <c r="F49" s="426"/>
      <c r="G49" s="426">
        <f>30+30</f>
        <v>60</v>
      </c>
      <c r="H49" s="426"/>
      <c r="I49" s="430"/>
      <c r="J49" s="426"/>
      <c r="K49" s="426"/>
      <c r="L49" s="426"/>
      <c r="M49" s="430"/>
      <c r="N49" s="426"/>
      <c r="O49" s="426"/>
      <c r="P49" s="430"/>
      <c r="Q49" s="430"/>
      <c r="R49" s="426"/>
      <c r="S49" s="426"/>
      <c r="T49" s="426"/>
      <c r="U49" s="426"/>
      <c r="V49" s="426"/>
      <c r="W49" s="426"/>
      <c r="X49" s="426"/>
      <c r="Y49" s="426"/>
      <c r="Z49" s="427"/>
      <c r="AA49" s="427"/>
      <c r="AB49" s="427"/>
      <c r="AC49" s="427"/>
      <c r="AD49" s="426"/>
      <c r="AE49" s="426"/>
      <c r="AF49" s="425"/>
      <c r="AG49" s="428">
        <f>D49+E49+F49+G49+H49+I49+J49+K49+L49+M49+N49+O49+P49+Q49+R49+S49+T49+U49+V49+W49+X49+Y49+Z49+AA49+AB49+AC49+AD49+AE49+AF49</f>
        <v>60</v>
      </c>
      <c r="AH49" s="427"/>
      <c r="AI49" s="439">
        <f>AG49+AH49</f>
        <v>60</v>
      </c>
    </row>
    <row r="50" spans="1:35" s="419" customFormat="1" ht="15" customHeight="1" x14ac:dyDescent="0.2">
      <c r="A50" s="416">
        <v>34</v>
      </c>
      <c r="B50" s="438">
        <v>34</v>
      </c>
      <c r="C50" s="424">
        <f>[9]стоимость!J38</f>
        <v>203875</v>
      </c>
      <c r="D50" s="426"/>
      <c r="E50" s="426"/>
      <c r="F50" s="426"/>
      <c r="G50" s="426"/>
      <c r="H50" s="426"/>
      <c r="I50" s="430"/>
      <c r="J50" s="426"/>
      <c r="K50" s="426"/>
      <c r="L50" s="426"/>
      <c r="M50" s="430"/>
      <c r="N50" s="426"/>
      <c r="O50" s="426"/>
      <c r="P50" s="430"/>
      <c r="Q50" s="430"/>
      <c r="R50" s="426"/>
      <c r="S50" s="426"/>
      <c r="T50" s="426"/>
      <c r="U50" s="426"/>
      <c r="V50" s="426"/>
      <c r="W50" s="426"/>
      <c r="X50" s="426"/>
      <c r="Y50" s="426"/>
      <c r="Z50" s="427"/>
      <c r="AA50" s="427"/>
      <c r="AB50" s="427"/>
      <c r="AC50" s="427"/>
      <c r="AD50" s="426"/>
      <c r="AE50" s="426"/>
      <c r="AF50" s="425"/>
      <c r="AG50" s="428">
        <f>D50+E50+F50+G50+H50+I50+J50+K50+L50+M50+N50+O50+P50+Q50+R50+S50+T50+U50+V50+W50+X50+Y50+Z50+AA50+AB50+AC50+AD50+AE50+AF50</f>
        <v>0</v>
      </c>
      <c r="AH50" s="427"/>
      <c r="AI50" s="439">
        <f>AG50+AH50</f>
        <v>0</v>
      </c>
    </row>
    <row r="51" spans="1:35" s="419" customFormat="1" ht="15" customHeight="1" x14ac:dyDescent="0.2">
      <c r="A51" s="416">
        <v>0</v>
      </c>
      <c r="B51" s="423">
        <v>35</v>
      </c>
      <c r="C51" s="424">
        <f>[9]стоимость!J39</f>
        <v>202345</v>
      </c>
      <c r="D51" s="426"/>
      <c r="E51" s="426"/>
      <c r="F51" s="426"/>
      <c r="G51" s="426"/>
      <c r="H51" s="426"/>
      <c r="I51" s="430"/>
      <c r="J51" s="426"/>
      <c r="K51" s="426"/>
      <c r="L51" s="426"/>
      <c r="M51" s="430"/>
      <c r="N51" s="426"/>
      <c r="O51" s="426"/>
      <c r="P51" s="430"/>
      <c r="Q51" s="430"/>
      <c r="R51" s="426"/>
      <c r="S51" s="426"/>
      <c r="T51" s="426"/>
      <c r="U51" s="426"/>
      <c r="V51" s="426"/>
      <c r="W51" s="426"/>
      <c r="X51" s="426"/>
      <c r="Y51" s="426"/>
      <c r="Z51" s="427"/>
      <c r="AA51" s="427"/>
      <c r="AB51" s="427"/>
      <c r="AC51" s="427"/>
      <c r="AD51" s="426"/>
      <c r="AE51" s="426"/>
      <c r="AF51" s="425"/>
      <c r="AG51" s="428">
        <f>D51+E51+F51+G51+H51+I51+J51+K51+L51+M51+N51+O51+P51+Q51+R51+S51+T51+U51+V51+W51+X51+Y51+Z51+AA51+AB51+AC51+AD51+AE51+AF51</f>
        <v>0</v>
      </c>
      <c r="AH51" s="427"/>
      <c r="AI51" s="439">
        <f>AG51+AH51</f>
        <v>0</v>
      </c>
    </row>
    <row r="52" spans="1:35" s="415" customFormat="1" ht="17.25" customHeight="1" x14ac:dyDescent="0.2">
      <c r="A52" s="413"/>
      <c r="B52" s="943" t="s">
        <v>428</v>
      </c>
      <c r="C52" s="943"/>
      <c r="D52" s="421">
        <f>D53</f>
        <v>183</v>
      </c>
      <c r="E52" s="421">
        <f t="shared" ref="E52:AI52" si="16">E53</f>
        <v>0</v>
      </c>
      <c r="F52" s="421">
        <f t="shared" si="16"/>
        <v>0</v>
      </c>
      <c r="G52" s="421">
        <f t="shared" si="16"/>
        <v>0</v>
      </c>
      <c r="H52" s="421">
        <f t="shared" si="16"/>
        <v>0</v>
      </c>
      <c r="I52" s="421">
        <f t="shared" si="16"/>
        <v>0</v>
      </c>
      <c r="J52" s="421">
        <f t="shared" si="16"/>
        <v>0</v>
      </c>
      <c r="K52" s="421">
        <f t="shared" si="16"/>
        <v>0</v>
      </c>
      <c r="L52" s="421">
        <f t="shared" si="16"/>
        <v>0</v>
      </c>
      <c r="M52" s="421">
        <f t="shared" si="16"/>
        <v>0</v>
      </c>
      <c r="N52" s="421">
        <f t="shared" si="16"/>
        <v>134</v>
      </c>
      <c r="O52" s="421">
        <f t="shared" si="16"/>
        <v>0</v>
      </c>
      <c r="P52" s="421">
        <f t="shared" si="16"/>
        <v>0</v>
      </c>
      <c r="Q52" s="421">
        <f t="shared" si="16"/>
        <v>0</v>
      </c>
      <c r="R52" s="421">
        <v>0</v>
      </c>
      <c r="S52" s="421">
        <f t="shared" si="16"/>
        <v>0</v>
      </c>
      <c r="T52" s="421">
        <f t="shared" si="16"/>
        <v>45</v>
      </c>
      <c r="U52" s="421">
        <f t="shared" si="16"/>
        <v>0</v>
      </c>
      <c r="V52" s="421">
        <f t="shared" si="16"/>
        <v>0</v>
      </c>
      <c r="W52" s="421">
        <v>0</v>
      </c>
      <c r="X52" s="421">
        <f t="shared" si="16"/>
        <v>0</v>
      </c>
      <c r="Y52" s="421">
        <f t="shared" si="16"/>
        <v>0</v>
      </c>
      <c r="Z52" s="421">
        <f t="shared" si="16"/>
        <v>0</v>
      </c>
      <c r="AA52" s="421">
        <f t="shared" si="16"/>
        <v>0</v>
      </c>
      <c r="AB52" s="421">
        <f t="shared" si="16"/>
        <v>0</v>
      </c>
      <c r="AC52" s="421">
        <f t="shared" si="16"/>
        <v>0</v>
      </c>
      <c r="AD52" s="421">
        <f t="shared" si="16"/>
        <v>0</v>
      </c>
      <c r="AE52" s="421">
        <f t="shared" si="16"/>
        <v>0</v>
      </c>
      <c r="AF52" s="421">
        <f t="shared" si="16"/>
        <v>0</v>
      </c>
      <c r="AG52" s="421">
        <f t="shared" si="16"/>
        <v>362</v>
      </c>
      <c r="AH52" s="421">
        <f t="shared" si="16"/>
        <v>0</v>
      </c>
      <c r="AI52" s="421">
        <f t="shared" si="16"/>
        <v>362</v>
      </c>
    </row>
    <row r="53" spans="1:35" s="419" customFormat="1" ht="14.25" customHeight="1" x14ac:dyDescent="0.2">
      <c r="A53" s="416">
        <v>35</v>
      </c>
      <c r="B53" s="423">
        <v>36</v>
      </c>
      <c r="C53" s="424">
        <f>[9]стоимость!J40</f>
        <v>160288</v>
      </c>
      <c r="D53" s="426">
        <v>183</v>
      </c>
      <c r="E53" s="426"/>
      <c r="F53" s="426"/>
      <c r="G53" s="426"/>
      <c r="H53" s="426"/>
      <c r="I53" s="426"/>
      <c r="J53" s="426"/>
      <c r="K53" s="426"/>
      <c r="L53" s="426"/>
      <c r="M53" s="426"/>
      <c r="N53" s="426">
        <v>134</v>
      </c>
      <c r="O53" s="426"/>
      <c r="P53" s="426"/>
      <c r="Q53" s="426"/>
      <c r="R53" s="426"/>
      <c r="S53" s="426"/>
      <c r="T53" s="426">
        <v>45</v>
      </c>
      <c r="U53" s="426"/>
      <c r="V53" s="426"/>
      <c r="W53" s="426"/>
      <c r="X53" s="426"/>
      <c r="Y53" s="426"/>
      <c r="Z53" s="427"/>
      <c r="AA53" s="427"/>
      <c r="AB53" s="427"/>
      <c r="AC53" s="427"/>
      <c r="AD53" s="426"/>
      <c r="AE53" s="426"/>
      <c r="AF53" s="425"/>
      <c r="AG53" s="428">
        <f>D53+E53+F53+G53+H53+I53+J53+K53+L53+M53+N53+O53+P53+Q53+R53+S53+T53+U53+V53+W53+X53+Y53+Z53+AA53+AB53+AC53+AD53+AE53+AF53</f>
        <v>362</v>
      </c>
      <c r="AH53" s="427"/>
      <c r="AI53" s="439">
        <f>AG53+AH53</f>
        <v>362</v>
      </c>
    </row>
    <row r="54" spans="1:35" s="415" customFormat="1" ht="26.25" customHeight="1" x14ac:dyDescent="0.2">
      <c r="A54" s="413"/>
      <c r="B54" s="939" t="s">
        <v>429</v>
      </c>
      <c r="C54" s="940"/>
      <c r="D54" s="421">
        <f>SUM(D55:D71)</f>
        <v>718</v>
      </c>
      <c r="E54" s="421">
        <f t="shared" ref="E54:AH54" si="17">SUM(E55:E71)</f>
        <v>779</v>
      </c>
      <c r="F54" s="421">
        <f t="shared" si="17"/>
        <v>0</v>
      </c>
      <c r="G54" s="421">
        <f t="shared" si="17"/>
        <v>3620</v>
      </c>
      <c r="H54" s="421">
        <f t="shared" si="17"/>
        <v>0</v>
      </c>
      <c r="I54" s="421">
        <f t="shared" si="17"/>
        <v>0</v>
      </c>
      <c r="J54" s="421">
        <f t="shared" si="17"/>
        <v>0</v>
      </c>
      <c r="K54" s="421">
        <f t="shared" si="17"/>
        <v>0</v>
      </c>
      <c r="L54" s="421">
        <f t="shared" si="17"/>
        <v>0</v>
      </c>
      <c r="M54" s="421">
        <f t="shared" si="17"/>
        <v>0</v>
      </c>
      <c r="N54" s="421">
        <f t="shared" si="17"/>
        <v>0</v>
      </c>
      <c r="O54" s="421">
        <f t="shared" si="17"/>
        <v>312</v>
      </c>
      <c r="P54" s="421">
        <f t="shared" si="17"/>
        <v>515</v>
      </c>
      <c r="Q54" s="421">
        <f t="shared" si="17"/>
        <v>0</v>
      </c>
      <c r="R54" s="421">
        <v>224</v>
      </c>
      <c r="S54" s="421">
        <f t="shared" si="17"/>
        <v>332</v>
      </c>
      <c r="T54" s="421">
        <f t="shared" si="17"/>
        <v>469</v>
      </c>
      <c r="U54" s="421">
        <f t="shared" si="17"/>
        <v>61</v>
      </c>
      <c r="V54" s="421">
        <f t="shared" si="17"/>
        <v>269</v>
      </c>
      <c r="W54" s="421">
        <v>185</v>
      </c>
      <c r="X54" s="421">
        <f t="shared" si="17"/>
        <v>0</v>
      </c>
      <c r="Y54" s="421">
        <f t="shared" si="17"/>
        <v>57</v>
      </c>
      <c r="Z54" s="421">
        <f t="shared" si="17"/>
        <v>0</v>
      </c>
      <c r="AA54" s="421">
        <f t="shared" si="17"/>
        <v>0</v>
      </c>
      <c r="AB54" s="421">
        <f t="shared" si="17"/>
        <v>0</v>
      </c>
      <c r="AC54" s="421">
        <f t="shared" si="17"/>
        <v>0</v>
      </c>
      <c r="AD54" s="421">
        <f t="shared" si="17"/>
        <v>0</v>
      </c>
      <c r="AE54" s="421">
        <f t="shared" si="17"/>
        <v>450</v>
      </c>
      <c r="AF54" s="421">
        <f t="shared" si="17"/>
        <v>50</v>
      </c>
      <c r="AG54" s="421">
        <f t="shared" si="17"/>
        <v>8041</v>
      </c>
      <c r="AH54" s="421">
        <f t="shared" si="17"/>
        <v>0</v>
      </c>
      <c r="AI54" s="421">
        <f>SUM(AI55:AI71)</f>
        <v>8041</v>
      </c>
    </row>
    <row r="55" spans="1:35" s="419" customFormat="1" ht="14.25" customHeight="1" x14ac:dyDescent="0.2">
      <c r="A55" s="416">
        <v>36</v>
      </c>
      <c r="B55" s="423">
        <v>37</v>
      </c>
      <c r="C55" s="424">
        <f>[9]стоимость!J41</f>
        <v>196105</v>
      </c>
      <c r="D55" s="441">
        <v>155</v>
      </c>
      <c r="E55" s="441">
        <v>276</v>
      </c>
      <c r="F55" s="441"/>
      <c r="G55" s="441">
        <f>295-15</f>
        <v>280</v>
      </c>
      <c r="H55" s="441"/>
      <c r="I55" s="442"/>
      <c r="J55" s="441"/>
      <c r="K55" s="441"/>
      <c r="L55" s="441"/>
      <c r="M55" s="426"/>
      <c r="N55" s="441"/>
      <c r="O55" s="432">
        <v>10</v>
      </c>
      <c r="P55" s="441">
        <v>220</v>
      </c>
      <c r="Q55" s="442"/>
      <c r="R55" s="441">
        <v>25</v>
      </c>
      <c r="S55" s="441">
        <f>115-12</f>
        <v>103</v>
      </c>
      <c r="T55" s="441">
        <v>285</v>
      </c>
      <c r="U55" s="425">
        <f>11+7</f>
        <v>18</v>
      </c>
      <c r="V55" s="437">
        <v>83</v>
      </c>
      <c r="W55" s="426">
        <v>70</v>
      </c>
      <c r="X55" s="426"/>
      <c r="Y55" s="426">
        <v>25</v>
      </c>
      <c r="Z55" s="431"/>
      <c r="AA55" s="431"/>
      <c r="AB55" s="431"/>
      <c r="AC55" s="431"/>
      <c r="AD55" s="426"/>
      <c r="AE55" s="426">
        <v>142</v>
      </c>
      <c r="AF55" s="425">
        <v>2</v>
      </c>
      <c r="AG55" s="428">
        <f t="shared" ref="AG55:AG71" si="18">D55+E55+F55+G55+H55+I55+J55+K55+L55+M55+N55+O55+P55+Q55+R55+S55+T55+U55+V55+W55+X55+Y55+Z55+AA55+AB55+AC55+AD55+AE55+AF55</f>
        <v>1694</v>
      </c>
      <c r="AH55" s="431"/>
      <c r="AI55" s="428">
        <f t="shared" ref="AI55:AI71" si="19">AG55+AH55</f>
        <v>1694</v>
      </c>
    </row>
    <row r="56" spans="1:35" s="419" customFormat="1" ht="14.25" customHeight="1" x14ac:dyDescent="0.2">
      <c r="A56" s="416">
        <v>37</v>
      </c>
      <c r="B56" s="423">
        <v>38</v>
      </c>
      <c r="C56" s="424">
        <f>[9]стоимость!J42</f>
        <v>226031</v>
      </c>
      <c r="D56" s="426">
        <v>70</v>
      </c>
      <c r="E56" s="426">
        <f>61+6</f>
        <v>67</v>
      </c>
      <c r="F56" s="441"/>
      <c r="G56" s="426">
        <v>140</v>
      </c>
      <c r="H56" s="426"/>
      <c r="I56" s="426"/>
      <c r="J56" s="426"/>
      <c r="K56" s="426"/>
      <c r="L56" s="426"/>
      <c r="M56" s="426"/>
      <c r="N56" s="426"/>
      <c r="O56" s="425">
        <v>52</v>
      </c>
      <c r="P56" s="426">
        <v>67</v>
      </c>
      <c r="Q56" s="426"/>
      <c r="R56" s="426">
        <v>20</v>
      </c>
      <c r="S56" s="426">
        <v>40</v>
      </c>
      <c r="T56" s="426">
        <f>25-3</f>
        <v>22</v>
      </c>
      <c r="U56" s="425">
        <v>11</v>
      </c>
      <c r="V56" s="437">
        <v>26</v>
      </c>
      <c r="W56" s="426">
        <v>21</v>
      </c>
      <c r="X56" s="426"/>
      <c r="Y56" s="426">
        <v>10</v>
      </c>
      <c r="Z56" s="431"/>
      <c r="AA56" s="431"/>
      <c r="AB56" s="431"/>
      <c r="AC56" s="431"/>
      <c r="AD56" s="426"/>
      <c r="AE56" s="426">
        <v>78</v>
      </c>
      <c r="AF56" s="425"/>
      <c r="AG56" s="428">
        <f t="shared" si="18"/>
        <v>624</v>
      </c>
      <c r="AH56" s="431"/>
      <c r="AI56" s="428">
        <f t="shared" si="19"/>
        <v>624</v>
      </c>
    </row>
    <row r="57" spans="1:35" s="419" customFormat="1" ht="14.25" customHeight="1" x14ac:dyDescent="0.2">
      <c r="A57" s="416">
        <v>38</v>
      </c>
      <c r="B57" s="423">
        <v>39</v>
      </c>
      <c r="C57" s="424">
        <f>[9]стоимость!J43</f>
        <v>255415</v>
      </c>
      <c r="D57" s="426">
        <v>40</v>
      </c>
      <c r="E57" s="426">
        <f>10+1</f>
        <v>11</v>
      </c>
      <c r="F57" s="441"/>
      <c r="G57" s="426">
        <v>90</v>
      </c>
      <c r="H57" s="426"/>
      <c r="I57" s="430"/>
      <c r="J57" s="426"/>
      <c r="K57" s="426"/>
      <c r="L57" s="426"/>
      <c r="M57" s="426"/>
      <c r="N57" s="426"/>
      <c r="O57" s="425">
        <v>35</v>
      </c>
      <c r="P57" s="426">
        <v>12</v>
      </c>
      <c r="Q57" s="430"/>
      <c r="R57" s="426">
        <v>15</v>
      </c>
      <c r="S57" s="426">
        <f>7+4</f>
        <v>11</v>
      </c>
      <c r="T57" s="426">
        <v>2</v>
      </c>
      <c r="U57" s="425">
        <v>3</v>
      </c>
      <c r="V57" s="437">
        <v>10</v>
      </c>
      <c r="W57" s="425">
        <v>3</v>
      </c>
      <c r="X57" s="425"/>
      <c r="Y57" s="426">
        <f>14-2</f>
        <v>12</v>
      </c>
      <c r="Z57" s="443"/>
      <c r="AA57" s="443"/>
      <c r="AB57" s="443"/>
      <c r="AC57" s="443"/>
      <c r="AD57" s="426"/>
      <c r="AE57" s="426">
        <f>22-2</f>
        <v>20</v>
      </c>
      <c r="AF57" s="425"/>
      <c r="AG57" s="428">
        <f t="shared" si="18"/>
        <v>264</v>
      </c>
      <c r="AH57" s="443"/>
      <c r="AI57" s="428">
        <f t="shared" si="19"/>
        <v>264</v>
      </c>
    </row>
    <row r="58" spans="1:35" s="419" customFormat="1" ht="14.25" customHeight="1" x14ac:dyDescent="0.2">
      <c r="A58" s="416">
        <v>39</v>
      </c>
      <c r="B58" s="423">
        <v>40</v>
      </c>
      <c r="C58" s="424">
        <f>[9]стоимость!J44</f>
        <v>145573</v>
      </c>
      <c r="D58" s="426">
        <v>210</v>
      </c>
      <c r="E58" s="426">
        <f>188-5</f>
        <v>183</v>
      </c>
      <c r="F58" s="441"/>
      <c r="G58" s="426">
        <v>420</v>
      </c>
      <c r="H58" s="426"/>
      <c r="I58" s="430"/>
      <c r="J58" s="426"/>
      <c r="K58" s="426"/>
      <c r="L58" s="426"/>
      <c r="M58" s="426"/>
      <c r="N58" s="426"/>
      <c r="O58" s="425"/>
      <c r="P58" s="426">
        <v>163</v>
      </c>
      <c r="Q58" s="430"/>
      <c r="R58" s="426">
        <v>85</v>
      </c>
      <c r="S58" s="426">
        <v>140</v>
      </c>
      <c r="T58" s="426">
        <v>135</v>
      </c>
      <c r="U58" s="425">
        <v>11</v>
      </c>
      <c r="V58" s="437">
        <v>75</v>
      </c>
      <c r="W58" s="425">
        <v>55</v>
      </c>
      <c r="X58" s="425"/>
      <c r="Y58" s="426">
        <v>1</v>
      </c>
      <c r="Z58" s="443"/>
      <c r="AA58" s="443"/>
      <c r="AB58" s="443"/>
      <c r="AC58" s="443"/>
      <c r="AD58" s="426"/>
      <c r="AE58" s="426">
        <v>46</v>
      </c>
      <c r="AF58" s="425">
        <v>10</v>
      </c>
      <c r="AG58" s="428">
        <f t="shared" si="18"/>
        <v>1534</v>
      </c>
      <c r="AH58" s="443"/>
      <c r="AI58" s="428">
        <f t="shared" si="19"/>
        <v>1534</v>
      </c>
    </row>
    <row r="59" spans="1:35" s="419" customFormat="1" ht="14.25" customHeight="1" x14ac:dyDescent="0.2">
      <c r="A59" s="416">
        <v>40</v>
      </c>
      <c r="B59" s="423">
        <v>41</v>
      </c>
      <c r="C59" s="424">
        <f>[9]стоимость!J45</f>
        <v>175437</v>
      </c>
      <c r="D59" s="426">
        <f>120+8</f>
        <v>128</v>
      </c>
      <c r="E59" s="426">
        <f>38-2</f>
        <v>36</v>
      </c>
      <c r="F59" s="441"/>
      <c r="G59" s="426">
        <v>190</v>
      </c>
      <c r="H59" s="426"/>
      <c r="I59" s="426"/>
      <c r="J59" s="426"/>
      <c r="K59" s="426"/>
      <c r="L59" s="426"/>
      <c r="M59" s="426"/>
      <c r="N59" s="426"/>
      <c r="O59" s="425">
        <v>75</v>
      </c>
      <c r="P59" s="426">
        <v>31</v>
      </c>
      <c r="Q59" s="426"/>
      <c r="R59" s="426">
        <v>49</v>
      </c>
      <c r="S59" s="426">
        <f>22+9</f>
        <v>31</v>
      </c>
      <c r="T59" s="426">
        <v>11</v>
      </c>
      <c r="U59" s="425">
        <v>11</v>
      </c>
      <c r="V59" s="425">
        <v>23</v>
      </c>
      <c r="W59" s="425">
        <v>25</v>
      </c>
      <c r="X59" s="425"/>
      <c r="Y59" s="426">
        <v>6</v>
      </c>
      <c r="Z59" s="443"/>
      <c r="AA59" s="443"/>
      <c r="AB59" s="443"/>
      <c r="AC59" s="443"/>
      <c r="AD59" s="426"/>
      <c r="AE59" s="426">
        <v>34</v>
      </c>
      <c r="AF59" s="425">
        <v>7</v>
      </c>
      <c r="AG59" s="428">
        <f t="shared" si="18"/>
        <v>657</v>
      </c>
      <c r="AH59" s="443"/>
      <c r="AI59" s="428">
        <f t="shared" si="19"/>
        <v>657</v>
      </c>
    </row>
    <row r="60" spans="1:35" s="419" customFormat="1" ht="14.25" customHeight="1" x14ac:dyDescent="0.2">
      <c r="A60" s="416">
        <v>41</v>
      </c>
      <c r="B60" s="423">
        <v>42</v>
      </c>
      <c r="C60" s="424">
        <f>[9]стоимость!J46</f>
        <v>217055</v>
      </c>
      <c r="D60" s="426">
        <v>50</v>
      </c>
      <c r="E60" s="426">
        <f>2+1</f>
        <v>3</v>
      </c>
      <c r="F60" s="441"/>
      <c r="G60" s="426">
        <v>90</v>
      </c>
      <c r="H60" s="426"/>
      <c r="I60" s="426"/>
      <c r="J60" s="426"/>
      <c r="K60" s="426"/>
      <c r="L60" s="426"/>
      <c r="M60" s="426"/>
      <c r="N60" s="426"/>
      <c r="O60" s="425">
        <v>60</v>
      </c>
      <c r="P60" s="426">
        <v>7</v>
      </c>
      <c r="Q60" s="426"/>
      <c r="R60" s="426">
        <v>20</v>
      </c>
      <c r="S60" s="426">
        <f>2+3</f>
        <v>5</v>
      </c>
      <c r="T60" s="426">
        <v>4</v>
      </c>
      <c r="U60" s="425">
        <v>3</v>
      </c>
      <c r="V60" s="425">
        <v>8</v>
      </c>
      <c r="W60" s="425"/>
      <c r="X60" s="425"/>
      <c r="Y60" s="426">
        <f>1+2</f>
        <v>3</v>
      </c>
      <c r="Z60" s="443"/>
      <c r="AA60" s="443"/>
      <c r="AB60" s="443"/>
      <c r="AC60" s="443"/>
      <c r="AD60" s="426"/>
      <c r="AE60" s="426">
        <f>28-2</f>
        <v>26</v>
      </c>
      <c r="AF60" s="425">
        <v>3</v>
      </c>
      <c r="AG60" s="428">
        <f t="shared" si="18"/>
        <v>282</v>
      </c>
      <c r="AH60" s="443"/>
      <c r="AI60" s="428">
        <f t="shared" si="19"/>
        <v>282</v>
      </c>
    </row>
    <row r="61" spans="1:35" s="419" customFormat="1" ht="14.25" customHeight="1" x14ac:dyDescent="0.2">
      <c r="A61" s="416">
        <v>42</v>
      </c>
      <c r="B61" s="423">
        <v>43</v>
      </c>
      <c r="C61" s="440">
        <f>[9]стоимость!J47</f>
        <v>132472</v>
      </c>
      <c r="D61" s="426">
        <v>10</v>
      </c>
      <c r="E61" s="426">
        <f>105-6</f>
        <v>99</v>
      </c>
      <c r="F61" s="441"/>
      <c r="G61" s="426">
        <f>200+46+50</f>
        <v>296</v>
      </c>
      <c r="H61" s="426"/>
      <c r="I61" s="430"/>
      <c r="J61" s="426"/>
      <c r="K61" s="426"/>
      <c r="L61" s="426"/>
      <c r="M61" s="430"/>
      <c r="N61" s="426"/>
      <c r="O61" s="425"/>
      <c r="P61" s="430"/>
      <c r="Q61" s="430"/>
      <c r="R61" s="426"/>
      <c r="S61" s="426"/>
      <c r="T61" s="426"/>
      <c r="U61" s="425"/>
      <c r="V61" s="425">
        <v>26</v>
      </c>
      <c r="W61" s="425"/>
      <c r="X61" s="425"/>
      <c r="Y61" s="425"/>
      <c r="Z61" s="427"/>
      <c r="AA61" s="427"/>
      <c r="AB61" s="427"/>
      <c r="AC61" s="427"/>
      <c r="AD61" s="426"/>
      <c r="AE61" s="426">
        <v>23</v>
      </c>
      <c r="AF61" s="425">
        <f>30-2</f>
        <v>28</v>
      </c>
      <c r="AG61" s="428">
        <f t="shared" si="18"/>
        <v>482</v>
      </c>
      <c r="AH61" s="427"/>
      <c r="AI61" s="428">
        <f t="shared" si="19"/>
        <v>482</v>
      </c>
    </row>
    <row r="62" spans="1:35" s="419" customFormat="1" ht="14.25" customHeight="1" x14ac:dyDescent="0.2">
      <c r="A62" s="416">
        <v>42</v>
      </c>
      <c r="B62" s="423">
        <v>44</v>
      </c>
      <c r="C62" s="440">
        <f>[9]стоимость!J48</f>
        <v>157012</v>
      </c>
      <c r="D62" s="426">
        <v>24</v>
      </c>
      <c r="E62" s="426">
        <f>15+7</f>
        <v>22</v>
      </c>
      <c r="F62" s="441"/>
      <c r="G62" s="426">
        <f>150+100</f>
        <v>250</v>
      </c>
      <c r="H62" s="426"/>
      <c r="I62" s="430"/>
      <c r="J62" s="426"/>
      <c r="K62" s="426"/>
      <c r="L62" s="426"/>
      <c r="M62" s="430"/>
      <c r="N62" s="426"/>
      <c r="O62" s="425"/>
      <c r="P62" s="430"/>
      <c r="Q62" s="430"/>
      <c r="R62" s="426"/>
      <c r="S62" s="426"/>
      <c r="T62" s="426"/>
      <c r="U62" s="425"/>
      <c r="V62" s="425">
        <v>10</v>
      </c>
      <c r="W62" s="425"/>
      <c r="X62" s="425"/>
      <c r="Y62" s="425"/>
      <c r="Z62" s="427"/>
      <c r="AA62" s="427"/>
      <c r="AB62" s="427"/>
      <c r="AC62" s="427"/>
      <c r="AD62" s="426"/>
      <c r="AE62" s="426">
        <v>20</v>
      </c>
      <c r="AF62" s="425"/>
      <c r="AG62" s="428">
        <f t="shared" si="18"/>
        <v>326</v>
      </c>
      <c r="AH62" s="427"/>
      <c r="AI62" s="428">
        <f t="shared" si="19"/>
        <v>326</v>
      </c>
    </row>
    <row r="63" spans="1:35" s="419" customFormat="1" ht="14.25" customHeight="1" x14ac:dyDescent="0.2">
      <c r="A63" s="416">
        <v>42</v>
      </c>
      <c r="B63" s="423">
        <v>45</v>
      </c>
      <c r="C63" s="440">
        <f>[9]стоимость!J49</f>
        <v>194747</v>
      </c>
      <c r="D63" s="426">
        <f>54-34</f>
        <v>20</v>
      </c>
      <c r="E63" s="426">
        <f>130-122-1</f>
        <v>7</v>
      </c>
      <c r="F63" s="441"/>
      <c r="G63" s="426">
        <f>1040-350-150-86</f>
        <v>454</v>
      </c>
      <c r="H63" s="426"/>
      <c r="I63" s="430"/>
      <c r="J63" s="426"/>
      <c r="K63" s="426"/>
      <c r="L63" s="426"/>
      <c r="M63" s="430"/>
      <c r="N63" s="426"/>
      <c r="O63" s="425"/>
      <c r="P63" s="430"/>
      <c r="Q63" s="430"/>
      <c r="R63" s="426">
        <v>0</v>
      </c>
      <c r="S63" s="426">
        <f>6-4</f>
        <v>2</v>
      </c>
      <c r="T63" s="426"/>
      <c r="U63" s="425">
        <f>7-7</f>
        <v>0</v>
      </c>
      <c r="V63" s="425">
        <f>40-37</f>
        <v>3</v>
      </c>
      <c r="W63" s="425">
        <v>6</v>
      </c>
      <c r="X63" s="425"/>
      <c r="Y63" s="425"/>
      <c r="Z63" s="427"/>
      <c r="AA63" s="427"/>
      <c r="AB63" s="427"/>
      <c r="AC63" s="427"/>
      <c r="AD63" s="426"/>
      <c r="AE63" s="426">
        <f>83-63</f>
        <v>20</v>
      </c>
      <c r="AF63" s="425"/>
      <c r="AG63" s="428">
        <f t="shared" si="18"/>
        <v>512</v>
      </c>
      <c r="AH63" s="427"/>
      <c r="AI63" s="428">
        <f t="shared" si="19"/>
        <v>512</v>
      </c>
    </row>
    <row r="64" spans="1:35" s="419" customFormat="1" ht="14.25" customHeight="1" x14ac:dyDescent="0.2">
      <c r="A64" s="416">
        <v>43</v>
      </c>
      <c r="B64" s="423">
        <v>46</v>
      </c>
      <c r="C64" s="440">
        <f>[9]стоимость!J50</f>
        <v>276287</v>
      </c>
      <c r="D64" s="426"/>
      <c r="E64" s="426"/>
      <c r="F64" s="441"/>
      <c r="G64" s="426">
        <f>1+30-1</f>
        <v>30</v>
      </c>
      <c r="H64" s="426"/>
      <c r="I64" s="430"/>
      <c r="J64" s="426"/>
      <c r="K64" s="426"/>
      <c r="L64" s="426"/>
      <c r="M64" s="430"/>
      <c r="N64" s="426"/>
      <c r="O64" s="425"/>
      <c r="P64" s="430"/>
      <c r="Q64" s="430"/>
      <c r="R64" s="426"/>
      <c r="S64" s="426"/>
      <c r="T64" s="426"/>
      <c r="U64" s="425"/>
      <c r="V64" s="425"/>
      <c r="W64" s="425"/>
      <c r="X64" s="425"/>
      <c r="Y64" s="425"/>
      <c r="Z64" s="427"/>
      <c r="AA64" s="427"/>
      <c r="AB64" s="427"/>
      <c r="AC64" s="427"/>
      <c r="AD64" s="426"/>
      <c r="AE64" s="426"/>
      <c r="AF64" s="425"/>
      <c r="AG64" s="428">
        <f t="shared" si="18"/>
        <v>30</v>
      </c>
      <c r="AH64" s="427"/>
      <c r="AI64" s="428">
        <f t="shared" si="19"/>
        <v>30</v>
      </c>
    </row>
    <row r="65" spans="1:35" s="419" customFormat="1" ht="14.25" customHeight="1" x14ac:dyDescent="0.2">
      <c r="A65" s="416">
        <v>43</v>
      </c>
      <c r="B65" s="423">
        <v>47</v>
      </c>
      <c r="C65" s="440">
        <f>[9]стоимость!J51</f>
        <v>301504</v>
      </c>
      <c r="D65" s="426"/>
      <c r="E65" s="426"/>
      <c r="F65" s="441"/>
      <c r="G65" s="426">
        <f>5+1</f>
        <v>6</v>
      </c>
      <c r="H65" s="426"/>
      <c r="I65" s="430"/>
      <c r="J65" s="426"/>
      <c r="K65" s="426"/>
      <c r="L65" s="426"/>
      <c r="M65" s="430"/>
      <c r="N65" s="426"/>
      <c r="O65" s="425"/>
      <c r="P65" s="430"/>
      <c r="Q65" s="430"/>
      <c r="R65" s="426"/>
      <c r="S65" s="426"/>
      <c r="T65" s="426"/>
      <c r="U65" s="425"/>
      <c r="V65" s="425"/>
      <c r="W65" s="425"/>
      <c r="X65" s="425"/>
      <c r="Y65" s="425"/>
      <c r="Z65" s="427"/>
      <c r="AA65" s="427"/>
      <c r="AB65" s="427"/>
      <c r="AC65" s="427"/>
      <c r="AD65" s="426"/>
      <c r="AE65" s="426"/>
      <c r="AF65" s="425"/>
      <c r="AG65" s="428">
        <f t="shared" si="18"/>
        <v>6</v>
      </c>
      <c r="AH65" s="427"/>
      <c r="AI65" s="428">
        <f t="shared" si="19"/>
        <v>6</v>
      </c>
    </row>
    <row r="66" spans="1:35" s="419" customFormat="1" ht="14.25" customHeight="1" x14ac:dyDescent="0.2">
      <c r="A66" s="416">
        <v>43</v>
      </c>
      <c r="B66" s="423">
        <v>48</v>
      </c>
      <c r="C66" s="440">
        <f>[9]стоимость!J52</f>
        <v>330952</v>
      </c>
      <c r="D66" s="426"/>
      <c r="E66" s="426"/>
      <c r="F66" s="441"/>
      <c r="G66" s="426">
        <f>40-2+1</f>
        <v>39</v>
      </c>
      <c r="H66" s="426"/>
      <c r="I66" s="430"/>
      <c r="J66" s="426"/>
      <c r="K66" s="426"/>
      <c r="L66" s="426"/>
      <c r="M66" s="430"/>
      <c r="N66" s="426"/>
      <c r="O66" s="425">
        <v>20</v>
      </c>
      <c r="P66" s="430"/>
      <c r="Q66" s="430"/>
      <c r="R66" s="426"/>
      <c r="S66" s="426"/>
      <c r="T66" s="426"/>
      <c r="U66" s="425"/>
      <c r="V66" s="425"/>
      <c r="W66" s="425"/>
      <c r="X66" s="425"/>
      <c r="Y66" s="425"/>
      <c r="Z66" s="427"/>
      <c r="AA66" s="427"/>
      <c r="AB66" s="427"/>
      <c r="AC66" s="427"/>
      <c r="AD66" s="426"/>
      <c r="AE66" s="426"/>
      <c r="AF66" s="425"/>
      <c r="AG66" s="428">
        <f t="shared" si="18"/>
        <v>59</v>
      </c>
      <c r="AH66" s="427"/>
      <c r="AI66" s="428">
        <f t="shared" si="19"/>
        <v>59</v>
      </c>
    </row>
    <row r="67" spans="1:35" s="419" customFormat="1" ht="14.25" customHeight="1" x14ac:dyDescent="0.2">
      <c r="A67" s="416">
        <v>44</v>
      </c>
      <c r="B67" s="423">
        <v>49</v>
      </c>
      <c r="C67" s="440">
        <f>[9]стоимость!J53</f>
        <v>165048</v>
      </c>
      <c r="D67" s="426"/>
      <c r="E67" s="426"/>
      <c r="F67" s="441"/>
      <c r="G67" s="426">
        <v>200</v>
      </c>
      <c r="H67" s="426"/>
      <c r="I67" s="430"/>
      <c r="J67" s="426"/>
      <c r="K67" s="426"/>
      <c r="L67" s="426"/>
      <c r="M67" s="430"/>
      <c r="N67" s="426"/>
      <c r="O67" s="425">
        <v>15</v>
      </c>
      <c r="P67" s="430"/>
      <c r="Q67" s="430"/>
      <c r="R67" s="426">
        <v>1</v>
      </c>
      <c r="S67" s="426"/>
      <c r="T67" s="426"/>
      <c r="U67" s="426"/>
      <c r="V67" s="425"/>
      <c r="W67" s="425"/>
      <c r="X67" s="425"/>
      <c r="Y67" s="425"/>
      <c r="Z67" s="427"/>
      <c r="AA67" s="427"/>
      <c r="AB67" s="427"/>
      <c r="AC67" s="427"/>
      <c r="AD67" s="426"/>
      <c r="AE67" s="426"/>
      <c r="AF67" s="425"/>
      <c r="AG67" s="428">
        <f t="shared" si="18"/>
        <v>216</v>
      </c>
      <c r="AH67" s="427"/>
      <c r="AI67" s="428">
        <f t="shared" si="19"/>
        <v>216</v>
      </c>
    </row>
    <row r="68" spans="1:35" s="419" customFormat="1" ht="14.25" customHeight="1" x14ac:dyDescent="0.2">
      <c r="A68" s="416">
        <v>45</v>
      </c>
      <c r="B68" s="423">
        <v>50</v>
      </c>
      <c r="C68" s="424">
        <f>[9]стоимость!J54</f>
        <v>307344</v>
      </c>
      <c r="D68" s="426"/>
      <c r="E68" s="426"/>
      <c r="F68" s="441"/>
      <c r="G68" s="426">
        <v>10</v>
      </c>
      <c r="H68" s="426"/>
      <c r="I68" s="430"/>
      <c r="J68" s="426"/>
      <c r="K68" s="426"/>
      <c r="L68" s="426"/>
      <c r="M68" s="430"/>
      <c r="N68" s="426"/>
      <c r="O68" s="425"/>
      <c r="P68" s="430"/>
      <c r="Q68" s="430"/>
      <c r="R68" s="426"/>
      <c r="S68" s="426"/>
      <c r="T68" s="426"/>
      <c r="U68" s="426"/>
      <c r="V68" s="425"/>
      <c r="W68" s="425"/>
      <c r="X68" s="425"/>
      <c r="Y68" s="425"/>
      <c r="Z68" s="427"/>
      <c r="AA68" s="427"/>
      <c r="AB68" s="427"/>
      <c r="AC68" s="427"/>
      <c r="AD68" s="426"/>
      <c r="AE68" s="426"/>
      <c r="AF68" s="425"/>
      <c r="AG68" s="428">
        <f t="shared" si="18"/>
        <v>10</v>
      </c>
      <c r="AH68" s="427"/>
      <c r="AI68" s="428">
        <f t="shared" si="19"/>
        <v>10</v>
      </c>
    </row>
    <row r="69" spans="1:35" s="419" customFormat="1" ht="14.25" customHeight="1" x14ac:dyDescent="0.2">
      <c r="A69" s="416">
        <v>46</v>
      </c>
      <c r="B69" s="423">
        <v>51</v>
      </c>
      <c r="C69" s="424">
        <f>[9]стоимость!J55</f>
        <v>250038</v>
      </c>
      <c r="D69" s="425"/>
      <c r="E69" s="425"/>
      <c r="F69" s="441"/>
      <c r="G69" s="425">
        <f>800-15</f>
        <v>785</v>
      </c>
      <c r="H69" s="425"/>
      <c r="I69" s="425"/>
      <c r="J69" s="425"/>
      <c r="K69" s="425"/>
      <c r="L69" s="425"/>
      <c r="M69" s="425"/>
      <c r="N69" s="425"/>
      <c r="O69" s="425">
        <v>45</v>
      </c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7"/>
      <c r="AA69" s="427"/>
      <c r="AB69" s="427"/>
      <c r="AC69" s="427"/>
      <c r="AD69" s="425"/>
      <c r="AE69" s="425">
        <v>17</v>
      </c>
      <c r="AF69" s="425"/>
      <c r="AG69" s="428">
        <f t="shared" si="18"/>
        <v>847</v>
      </c>
      <c r="AH69" s="427"/>
      <c r="AI69" s="428">
        <f t="shared" si="19"/>
        <v>847</v>
      </c>
    </row>
    <row r="70" spans="1:35" s="419" customFormat="1" ht="14.25" customHeight="1" x14ac:dyDescent="0.2">
      <c r="A70" s="416">
        <v>47</v>
      </c>
      <c r="B70" s="423">
        <v>52</v>
      </c>
      <c r="C70" s="424">
        <f>[9]стоимость!J56</f>
        <v>783935</v>
      </c>
      <c r="D70" s="425">
        <f>3+2+6</f>
        <v>11</v>
      </c>
      <c r="E70" s="425">
        <f>76-1</f>
        <v>75</v>
      </c>
      <c r="F70" s="441"/>
      <c r="G70" s="425"/>
      <c r="H70" s="425"/>
      <c r="I70" s="425"/>
      <c r="J70" s="425"/>
      <c r="K70" s="425"/>
      <c r="L70" s="425"/>
      <c r="M70" s="425"/>
      <c r="N70" s="425"/>
      <c r="O70" s="425"/>
      <c r="P70" s="425">
        <f>10+5</f>
        <v>15</v>
      </c>
      <c r="Q70" s="425"/>
      <c r="R70" s="425">
        <v>9</v>
      </c>
      <c r="S70" s="425"/>
      <c r="T70" s="425">
        <v>10</v>
      </c>
      <c r="U70" s="425">
        <v>4</v>
      </c>
      <c r="V70" s="425">
        <f>1+4</f>
        <v>5</v>
      </c>
      <c r="W70" s="425">
        <v>5</v>
      </c>
      <c r="X70" s="425"/>
      <c r="Y70" s="425"/>
      <c r="Z70" s="427"/>
      <c r="AA70" s="427"/>
      <c r="AB70" s="427"/>
      <c r="AC70" s="427"/>
      <c r="AD70" s="425"/>
      <c r="AE70" s="425">
        <v>24</v>
      </c>
      <c r="AF70" s="425"/>
      <c r="AG70" s="428">
        <f t="shared" si="18"/>
        <v>158</v>
      </c>
      <c r="AH70" s="427"/>
      <c r="AI70" s="428">
        <f t="shared" si="19"/>
        <v>158</v>
      </c>
    </row>
    <row r="71" spans="1:35" s="419" customFormat="1" ht="14.25" customHeight="1" x14ac:dyDescent="0.2">
      <c r="A71" s="416">
        <v>48</v>
      </c>
      <c r="B71" s="423">
        <v>53</v>
      </c>
      <c r="C71" s="424">
        <f>[9]стоимость!J57</f>
        <v>437766</v>
      </c>
      <c r="D71" s="425"/>
      <c r="E71" s="425"/>
      <c r="F71" s="441"/>
      <c r="G71" s="425">
        <f>305+35</f>
        <v>340</v>
      </c>
      <c r="H71" s="425"/>
      <c r="I71" s="425"/>
      <c r="J71" s="425"/>
      <c r="K71" s="425"/>
      <c r="L71" s="425"/>
      <c r="M71" s="425"/>
      <c r="N71" s="425"/>
      <c r="O71" s="425"/>
      <c r="P71" s="425"/>
      <c r="Q71" s="425"/>
      <c r="R71" s="425"/>
      <c r="S71" s="425"/>
      <c r="T71" s="425"/>
      <c r="U71" s="425"/>
      <c r="V71" s="425"/>
      <c r="W71" s="425"/>
      <c r="X71" s="425"/>
      <c r="Y71" s="425"/>
      <c r="Z71" s="427"/>
      <c r="AA71" s="427"/>
      <c r="AB71" s="427"/>
      <c r="AC71" s="427"/>
      <c r="AD71" s="425"/>
      <c r="AE71" s="425"/>
      <c r="AF71" s="425"/>
      <c r="AG71" s="428">
        <f t="shared" si="18"/>
        <v>340</v>
      </c>
      <c r="AH71" s="427"/>
      <c r="AI71" s="428">
        <f t="shared" si="19"/>
        <v>340</v>
      </c>
    </row>
    <row r="72" spans="1:35" s="415" customFormat="1" ht="14.25" customHeight="1" x14ac:dyDescent="0.2">
      <c r="A72" s="413"/>
      <c r="B72" s="939" t="s">
        <v>430</v>
      </c>
      <c r="C72" s="940"/>
      <c r="D72" s="421">
        <f>D73+D74</f>
        <v>23</v>
      </c>
      <c r="E72" s="421">
        <f t="shared" ref="E72:N72" si="20">E73+E74</f>
        <v>0</v>
      </c>
      <c r="F72" s="421">
        <f t="shared" si="20"/>
        <v>0</v>
      </c>
      <c r="G72" s="421">
        <f t="shared" si="20"/>
        <v>0</v>
      </c>
      <c r="H72" s="421">
        <f t="shared" si="20"/>
        <v>0</v>
      </c>
      <c r="I72" s="421">
        <f t="shared" si="20"/>
        <v>0</v>
      </c>
      <c r="J72" s="421">
        <f t="shared" si="20"/>
        <v>0</v>
      </c>
      <c r="K72" s="421">
        <f t="shared" si="20"/>
        <v>1</v>
      </c>
      <c r="L72" s="421">
        <f t="shared" si="20"/>
        <v>2</v>
      </c>
      <c r="M72" s="421">
        <f t="shared" si="20"/>
        <v>0</v>
      </c>
      <c r="N72" s="421">
        <f t="shared" si="20"/>
        <v>0</v>
      </c>
      <c r="O72" s="421">
        <f>O73+O74</f>
        <v>0</v>
      </c>
      <c r="P72" s="421">
        <f t="shared" ref="P72:AI72" si="21">P73+P74</f>
        <v>0</v>
      </c>
      <c r="Q72" s="421">
        <f t="shared" si="21"/>
        <v>0</v>
      </c>
      <c r="R72" s="421">
        <v>0</v>
      </c>
      <c r="S72" s="421">
        <f t="shared" si="21"/>
        <v>0</v>
      </c>
      <c r="T72" s="421">
        <f t="shared" si="21"/>
        <v>0</v>
      </c>
      <c r="U72" s="421">
        <f t="shared" si="21"/>
        <v>0</v>
      </c>
      <c r="V72" s="421">
        <f t="shared" si="21"/>
        <v>0</v>
      </c>
      <c r="W72" s="421">
        <v>0</v>
      </c>
      <c r="X72" s="421">
        <f t="shared" si="21"/>
        <v>0</v>
      </c>
      <c r="Y72" s="421">
        <f t="shared" si="21"/>
        <v>0</v>
      </c>
      <c r="Z72" s="421">
        <f t="shared" si="21"/>
        <v>0</v>
      </c>
      <c r="AA72" s="421">
        <f t="shared" si="21"/>
        <v>0</v>
      </c>
      <c r="AB72" s="421">
        <f t="shared" si="21"/>
        <v>0</v>
      </c>
      <c r="AC72" s="421">
        <f t="shared" si="21"/>
        <v>0</v>
      </c>
      <c r="AD72" s="421">
        <f t="shared" si="21"/>
        <v>0</v>
      </c>
      <c r="AE72" s="421">
        <f t="shared" si="21"/>
        <v>0</v>
      </c>
      <c r="AF72" s="421">
        <f t="shared" si="21"/>
        <v>0</v>
      </c>
      <c r="AG72" s="421">
        <f t="shared" si="21"/>
        <v>26</v>
      </c>
      <c r="AH72" s="421">
        <f t="shared" si="21"/>
        <v>0</v>
      </c>
      <c r="AI72" s="421">
        <f t="shared" si="21"/>
        <v>26</v>
      </c>
    </row>
    <row r="73" spans="1:35" s="419" customFormat="1" ht="19.5" customHeight="1" x14ac:dyDescent="0.2">
      <c r="A73" s="416">
        <v>49</v>
      </c>
      <c r="B73" s="423">
        <v>54</v>
      </c>
      <c r="C73" s="424">
        <f>[9]стоимость!J58</f>
        <v>170411</v>
      </c>
      <c r="D73" s="426">
        <f>10+8</f>
        <v>18</v>
      </c>
      <c r="E73" s="426"/>
      <c r="F73" s="426"/>
      <c r="G73" s="426"/>
      <c r="H73" s="426"/>
      <c r="I73" s="430"/>
      <c r="J73" s="426"/>
      <c r="K73" s="426">
        <v>1</v>
      </c>
      <c r="L73" s="426">
        <v>2</v>
      </c>
      <c r="M73" s="430"/>
      <c r="N73" s="426"/>
      <c r="O73" s="425"/>
      <c r="P73" s="430"/>
      <c r="Q73" s="430"/>
      <c r="R73" s="426"/>
      <c r="S73" s="426"/>
      <c r="T73" s="426"/>
      <c r="U73" s="426"/>
      <c r="V73" s="425"/>
      <c r="W73" s="425"/>
      <c r="X73" s="425"/>
      <c r="Y73" s="425"/>
      <c r="Z73" s="427"/>
      <c r="AA73" s="427"/>
      <c r="AB73" s="427"/>
      <c r="AC73" s="427"/>
      <c r="AD73" s="426"/>
      <c r="AE73" s="426"/>
      <c r="AF73" s="425"/>
      <c r="AG73" s="428">
        <f>D73+E73+F73+G73+H73+I73+J73+K73+L73+M73+N73+O73+P73+Q73+R73+S73+T73+U73+V73+W73+X73+Y73+Z73+AA73+AB73+AC73+AD73+AE73+AF73</f>
        <v>21</v>
      </c>
      <c r="AH73" s="427"/>
      <c r="AI73" s="428">
        <f>AG73+AH73</f>
        <v>21</v>
      </c>
    </row>
    <row r="74" spans="1:35" s="419" customFormat="1" ht="15.75" customHeight="1" x14ac:dyDescent="0.2">
      <c r="A74" s="416">
        <v>50</v>
      </c>
      <c r="B74" s="444">
        <v>55</v>
      </c>
      <c r="C74" s="424">
        <f>[9]стоимость!J59</f>
        <v>296164</v>
      </c>
      <c r="D74" s="426">
        <f>10-5</f>
        <v>5</v>
      </c>
      <c r="E74" s="426"/>
      <c r="F74" s="426"/>
      <c r="G74" s="426"/>
      <c r="H74" s="426"/>
      <c r="I74" s="430"/>
      <c r="J74" s="426"/>
      <c r="K74" s="426"/>
      <c r="L74" s="426"/>
      <c r="M74" s="430"/>
      <c r="N74" s="426"/>
      <c r="O74" s="425"/>
      <c r="P74" s="430"/>
      <c r="Q74" s="430"/>
      <c r="R74" s="426"/>
      <c r="S74" s="426"/>
      <c r="T74" s="426"/>
      <c r="U74" s="426"/>
      <c r="V74" s="425"/>
      <c r="W74" s="425"/>
      <c r="X74" s="425"/>
      <c r="Y74" s="425"/>
      <c r="Z74" s="427"/>
      <c r="AA74" s="427"/>
      <c r="AB74" s="427"/>
      <c r="AC74" s="427"/>
      <c r="AD74" s="426"/>
      <c r="AE74" s="426"/>
      <c r="AF74" s="425"/>
      <c r="AG74" s="428">
        <f>D74+E74+F74+G74+H74+I74+J74+K74+L74+M74+N74+O74+P74+Q74+R74+S74+T74+U74+V74+W74+X74+Y74+Z74+AA74+AB74+AC74+AD74+AE74+AF74</f>
        <v>5</v>
      </c>
      <c r="AH74" s="427"/>
      <c r="AI74" s="428">
        <f>AG74+AH74</f>
        <v>5</v>
      </c>
    </row>
    <row r="75" spans="1:35" s="415" customFormat="1" ht="15.75" customHeight="1" x14ac:dyDescent="0.2">
      <c r="A75" s="413"/>
      <c r="B75" s="939" t="s">
        <v>431</v>
      </c>
      <c r="C75" s="940"/>
      <c r="D75" s="421">
        <f>SUM(D76:D80)</f>
        <v>347</v>
      </c>
      <c r="E75" s="421">
        <f t="shared" ref="E75:AH75" si="22">SUM(E76:E80)</f>
        <v>170</v>
      </c>
      <c r="F75" s="421">
        <f t="shared" si="22"/>
        <v>0</v>
      </c>
      <c r="G75" s="421">
        <f t="shared" si="22"/>
        <v>0</v>
      </c>
      <c r="H75" s="421">
        <f t="shared" si="22"/>
        <v>0</v>
      </c>
      <c r="I75" s="421">
        <f t="shared" si="22"/>
        <v>0</v>
      </c>
      <c r="J75" s="421">
        <f t="shared" si="22"/>
        <v>260</v>
      </c>
      <c r="K75" s="421">
        <f t="shared" si="22"/>
        <v>69</v>
      </c>
      <c r="L75" s="421">
        <f t="shared" si="22"/>
        <v>243</v>
      </c>
      <c r="M75" s="421">
        <f t="shared" si="22"/>
        <v>0</v>
      </c>
      <c r="N75" s="421">
        <f t="shared" si="22"/>
        <v>84</v>
      </c>
      <c r="O75" s="421">
        <f t="shared" si="22"/>
        <v>220</v>
      </c>
      <c r="P75" s="421">
        <f t="shared" si="22"/>
        <v>225</v>
      </c>
      <c r="Q75" s="421">
        <f t="shared" si="22"/>
        <v>0</v>
      </c>
      <c r="R75" s="421">
        <v>26</v>
      </c>
      <c r="S75" s="421">
        <f t="shared" si="22"/>
        <v>35</v>
      </c>
      <c r="T75" s="421">
        <f t="shared" si="22"/>
        <v>77</v>
      </c>
      <c r="U75" s="421">
        <f t="shared" si="22"/>
        <v>45</v>
      </c>
      <c r="V75" s="421">
        <f t="shared" si="22"/>
        <v>0</v>
      </c>
      <c r="W75" s="421">
        <v>18</v>
      </c>
      <c r="X75" s="421">
        <f t="shared" si="22"/>
        <v>10</v>
      </c>
      <c r="Y75" s="421">
        <f t="shared" si="22"/>
        <v>0</v>
      </c>
      <c r="Z75" s="421">
        <f t="shared" si="22"/>
        <v>0</v>
      </c>
      <c r="AA75" s="421">
        <f t="shared" si="22"/>
        <v>0</v>
      </c>
      <c r="AB75" s="421">
        <f t="shared" si="22"/>
        <v>0</v>
      </c>
      <c r="AC75" s="421">
        <f t="shared" si="22"/>
        <v>0</v>
      </c>
      <c r="AD75" s="421">
        <f t="shared" si="22"/>
        <v>0</v>
      </c>
      <c r="AE75" s="421">
        <f t="shared" si="22"/>
        <v>0</v>
      </c>
      <c r="AF75" s="421">
        <f t="shared" si="22"/>
        <v>40</v>
      </c>
      <c r="AG75" s="421">
        <f t="shared" si="22"/>
        <v>1869</v>
      </c>
      <c r="AH75" s="421">
        <f t="shared" si="22"/>
        <v>0</v>
      </c>
      <c r="AI75" s="421">
        <f>SUM(AI76:AI80)</f>
        <v>1869</v>
      </c>
    </row>
    <row r="76" spans="1:35" s="419" customFormat="1" ht="24" customHeight="1" x14ac:dyDescent="0.2">
      <c r="A76" s="416">
        <v>51</v>
      </c>
      <c r="B76" s="445">
        <v>56</v>
      </c>
      <c r="C76" s="424">
        <f>[9]стоимость!J60</f>
        <v>160673</v>
      </c>
      <c r="D76" s="425">
        <f>70+15</f>
        <v>85</v>
      </c>
      <c r="E76" s="425">
        <f>75-10-13</f>
        <v>52</v>
      </c>
      <c r="F76" s="425"/>
      <c r="G76" s="425"/>
      <c r="H76" s="425"/>
      <c r="I76" s="425"/>
      <c r="J76" s="425">
        <v>40</v>
      </c>
      <c r="K76" s="425">
        <v>64</v>
      </c>
      <c r="L76" s="425">
        <f>238-2-7</f>
        <v>229</v>
      </c>
      <c r="M76" s="425"/>
      <c r="N76" s="425">
        <f>40+20</f>
        <v>60</v>
      </c>
      <c r="O76" s="425">
        <v>20</v>
      </c>
      <c r="P76" s="425">
        <v>40</v>
      </c>
      <c r="Q76" s="425"/>
      <c r="R76" s="425">
        <v>15</v>
      </c>
      <c r="S76" s="425"/>
      <c r="T76" s="425">
        <v>37</v>
      </c>
      <c r="U76" s="425">
        <v>10</v>
      </c>
      <c r="V76" s="425"/>
      <c r="W76" s="425">
        <v>4</v>
      </c>
      <c r="X76" s="425"/>
      <c r="Y76" s="425"/>
      <c r="Z76" s="427"/>
      <c r="AA76" s="427"/>
      <c r="AB76" s="427"/>
      <c r="AC76" s="427"/>
      <c r="AD76" s="425"/>
      <c r="AE76" s="425"/>
      <c r="AF76" s="425">
        <v>10</v>
      </c>
      <c r="AG76" s="428">
        <f>D76+E76+F76+G76+H76+I76+J76+K76+L76+M76+N76+O76+P76+Q76+R76+S76+T76+U76+V76+W76+X76+Y76+Z76+AA76+AB76+AC76+AD76+AE76+AF76</f>
        <v>666</v>
      </c>
      <c r="AH76" s="427"/>
      <c r="AI76" s="428">
        <f>AG76+AH76</f>
        <v>666</v>
      </c>
    </row>
    <row r="77" spans="1:35" s="419" customFormat="1" ht="15.75" customHeight="1" x14ac:dyDescent="0.2">
      <c r="A77" s="416">
        <v>52</v>
      </c>
      <c r="B77" s="445">
        <v>57</v>
      </c>
      <c r="C77" s="424">
        <f>[9]стоимость!J61</f>
        <v>330072</v>
      </c>
      <c r="D77" s="437">
        <f>12+4</f>
        <v>16</v>
      </c>
      <c r="E77" s="425">
        <f>50-1-6</f>
        <v>43</v>
      </c>
      <c r="F77" s="425"/>
      <c r="G77" s="425"/>
      <c r="H77" s="425"/>
      <c r="I77" s="425"/>
      <c r="J77" s="425"/>
      <c r="K77" s="425">
        <v>5</v>
      </c>
      <c r="L77" s="437">
        <v>4</v>
      </c>
      <c r="M77" s="425"/>
      <c r="N77" s="425">
        <v>14</v>
      </c>
      <c r="O77" s="425"/>
      <c r="P77" s="425">
        <v>77</v>
      </c>
      <c r="Q77" s="425"/>
      <c r="R77" s="425">
        <v>10</v>
      </c>
      <c r="S77" s="425">
        <v>35</v>
      </c>
      <c r="T77" s="425">
        <v>40</v>
      </c>
      <c r="U77" s="425">
        <v>35</v>
      </c>
      <c r="V77" s="425"/>
      <c r="W77" s="425">
        <v>14</v>
      </c>
      <c r="X77" s="425">
        <v>10</v>
      </c>
      <c r="Y77" s="425"/>
      <c r="Z77" s="427"/>
      <c r="AA77" s="427"/>
      <c r="AB77" s="427"/>
      <c r="AC77" s="427"/>
      <c r="AD77" s="425"/>
      <c r="AE77" s="425"/>
      <c r="AF77" s="425"/>
      <c r="AG77" s="428">
        <f>D77+E77+F77+G77+H77+I77+J77+K77+L77+M77+N77+O77+P77+Q77+R77+S77+T77+U77+V77+W77+X77+Y77+Z77+AA77+AB77+AC77+AD77+AE77+AF77</f>
        <v>303</v>
      </c>
      <c r="AH77" s="427"/>
      <c r="AI77" s="428">
        <f>AG77+AH77</f>
        <v>303</v>
      </c>
    </row>
    <row r="78" spans="1:35" s="419" customFormat="1" ht="15.75" customHeight="1" x14ac:dyDescent="0.2">
      <c r="A78" s="416">
        <v>53</v>
      </c>
      <c r="B78" s="445">
        <v>58</v>
      </c>
      <c r="C78" s="424">
        <f>[9]стоимость!J62</f>
        <v>189581</v>
      </c>
      <c r="D78" s="425">
        <f>100-100</f>
        <v>0</v>
      </c>
      <c r="E78" s="425">
        <f>87-61-26</f>
        <v>0</v>
      </c>
      <c r="F78" s="425"/>
      <c r="G78" s="425"/>
      <c r="H78" s="425"/>
      <c r="I78" s="425"/>
      <c r="J78" s="425">
        <f>220-220</f>
        <v>0</v>
      </c>
      <c r="K78" s="425"/>
      <c r="L78" s="425"/>
      <c r="M78" s="425"/>
      <c r="N78" s="425">
        <f>30-20</f>
        <v>10</v>
      </c>
      <c r="O78" s="425">
        <f>156-95-41</f>
        <v>20</v>
      </c>
      <c r="P78" s="425">
        <f>15-7</f>
        <v>8</v>
      </c>
      <c r="Q78" s="425"/>
      <c r="R78" s="425">
        <v>0</v>
      </c>
      <c r="S78" s="425"/>
      <c r="T78" s="425"/>
      <c r="U78" s="425"/>
      <c r="V78" s="425"/>
      <c r="W78" s="425"/>
      <c r="X78" s="425"/>
      <c r="Y78" s="425"/>
      <c r="Z78" s="427"/>
      <c r="AA78" s="427"/>
      <c r="AB78" s="427"/>
      <c r="AC78" s="427"/>
      <c r="AD78" s="425"/>
      <c r="AE78" s="425"/>
      <c r="AF78" s="425">
        <v>30</v>
      </c>
      <c r="AG78" s="428">
        <f>D78+E78+F78+G78+H78+I78+J78+K78+L78+M78+N78+O78+P78+Q78+R78+S78+T78+U78+V78+W78+X78+Y78+Z78+AA78+AB78+AC78+AD78+AE78+AF78</f>
        <v>68</v>
      </c>
      <c r="AH78" s="427">
        <f>38-38</f>
        <v>0</v>
      </c>
      <c r="AI78" s="428">
        <f>AG78+AH78</f>
        <v>68</v>
      </c>
    </row>
    <row r="79" spans="1:35" s="419" customFormat="1" ht="15.75" customHeight="1" x14ac:dyDescent="0.2">
      <c r="A79" s="416">
        <v>54</v>
      </c>
      <c r="B79" s="445">
        <v>59</v>
      </c>
      <c r="C79" s="424">
        <f>[9]стоимость!J63</f>
        <v>257186</v>
      </c>
      <c r="D79" s="437">
        <f>100+146</f>
        <v>246</v>
      </c>
      <c r="E79" s="425">
        <f>5+61-1+10</f>
        <v>75</v>
      </c>
      <c r="F79" s="425"/>
      <c r="G79" s="425"/>
      <c r="H79" s="425"/>
      <c r="I79" s="435"/>
      <c r="J79" s="425">
        <v>220</v>
      </c>
      <c r="K79" s="425"/>
      <c r="L79" s="425"/>
      <c r="M79" s="435"/>
      <c r="N79" s="425"/>
      <c r="O79" s="425">
        <f>100+95-15</f>
        <v>180</v>
      </c>
      <c r="P79" s="425">
        <f>125-25</f>
        <v>100</v>
      </c>
      <c r="Q79" s="425"/>
      <c r="R79" s="425">
        <v>1</v>
      </c>
      <c r="S79" s="425"/>
      <c r="T79" s="425"/>
      <c r="U79" s="425"/>
      <c r="V79" s="425"/>
      <c r="W79" s="425"/>
      <c r="X79" s="425"/>
      <c r="Y79" s="425"/>
      <c r="Z79" s="427"/>
      <c r="AA79" s="427"/>
      <c r="AB79" s="427"/>
      <c r="AC79" s="427"/>
      <c r="AD79" s="425"/>
      <c r="AE79" s="425"/>
      <c r="AF79" s="425"/>
      <c r="AG79" s="428">
        <f>D79+E79+F79+G79+H79+I79+J79+K79+L79+M79+N79+O79+P79+Q79+R79+S79+T79+U79+V79+W79+X79+Y79+Z79+AA79+AB79+AC79+AD79+AE79+AF79</f>
        <v>822</v>
      </c>
      <c r="AH79" s="427"/>
      <c r="AI79" s="428">
        <f>AG79+AH79</f>
        <v>822</v>
      </c>
    </row>
    <row r="80" spans="1:35" s="419" customFormat="1" ht="15.75" customHeight="1" x14ac:dyDescent="0.2">
      <c r="A80" s="416">
        <v>55</v>
      </c>
      <c r="B80" s="445">
        <v>60</v>
      </c>
      <c r="C80" s="424">
        <f>[9]стоимость!J64</f>
        <v>400476</v>
      </c>
      <c r="D80" s="425">
        <f>56-56</f>
        <v>0</v>
      </c>
      <c r="E80" s="425"/>
      <c r="F80" s="425"/>
      <c r="G80" s="425"/>
      <c r="H80" s="425"/>
      <c r="I80" s="425"/>
      <c r="J80" s="425"/>
      <c r="K80" s="425"/>
      <c r="L80" s="425">
        <v>10</v>
      </c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7"/>
      <c r="AA80" s="427"/>
      <c r="AB80" s="427"/>
      <c r="AC80" s="427"/>
      <c r="AD80" s="425"/>
      <c r="AE80" s="425"/>
      <c r="AF80" s="425"/>
      <c r="AG80" s="428">
        <f>D80+E80+F80+G80+H80+I80+J80+K80+L80+M80+N80+O80+P80+Q80+R80+S80+T80+U80+V80+W80+X80+Y80+Z80+AA80+AB80+AC80+AD80+AE80+AF80</f>
        <v>10</v>
      </c>
      <c r="AH80" s="427"/>
      <c r="AI80" s="428">
        <f>AG80+AH80</f>
        <v>10</v>
      </c>
    </row>
    <row r="81" spans="1:35" s="415" customFormat="1" ht="15.75" customHeight="1" x14ac:dyDescent="0.2">
      <c r="A81" s="413"/>
      <c r="B81" s="939" t="s">
        <v>432</v>
      </c>
      <c r="C81" s="940"/>
      <c r="D81" s="421">
        <f>SUM(D82:D83)</f>
        <v>135</v>
      </c>
      <c r="E81" s="421">
        <f t="shared" ref="E81:AI81" si="23">SUM(E82:E83)</f>
        <v>0</v>
      </c>
      <c r="F81" s="421">
        <f t="shared" si="23"/>
        <v>0</v>
      </c>
      <c r="G81" s="421">
        <f t="shared" si="23"/>
        <v>0</v>
      </c>
      <c r="H81" s="421">
        <f t="shared" si="23"/>
        <v>0</v>
      </c>
      <c r="I81" s="421">
        <f t="shared" si="23"/>
        <v>0</v>
      </c>
      <c r="J81" s="421">
        <f t="shared" si="23"/>
        <v>0</v>
      </c>
      <c r="K81" s="421">
        <f t="shared" si="23"/>
        <v>131</v>
      </c>
      <c r="L81" s="421">
        <f t="shared" si="23"/>
        <v>42</v>
      </c>
      <c r="M81" s="421">
        <f t="shared" si="23"/>
        <v>6</v>
      </c>
      <c r="N81" s="421">
        <f t="shared" si="23"/>
        <v>0</v>
      </c>
      <c r="O81" s="421">
        <f t="shared" si="23"/>
        <v>0</v>
      </c>
      <c r="P81" s="421">
        <f t="shared" si="23"/>
        <v>10</v>
      </c>
      <c r="Q81" s="421">
        <f t="shared" si="23"/>
        <v>0</v>
      </c>
      <c r="R81" s="421">
        <v>0</v>
      </c>
      <c r="S81" s="421">
        <f t="shared" si="23"/>
        <v>0</v>
      </c>
      <c r="T81" s="421">
        <f t="shared" si="23"/>
        <v>0</v>
      </c>
      <c r="U81" s="421">
        <f t="shared" si="23"/>
        <v>0</v>
      </c>
      <c r="V81" s="421">
        <f t="shared" si="23"/>
        <v>0</v>
      </c>
      <c r="W81" s="421">
        <v>0</v>
      </c>
      <c r="X81" s="421">
        <f t="shared" si="23"/>
        <v>0</v>
      </c>
      <c r="Y81" s="421">
        <f t="shared" si="23"/>
        <v>0</v>
      </c>
      <c r="Z81" s="421">
        <f t="shared" si="23"/>
        <v>0</v>
      </c>
      <c r="AA81" s="421">
        <f t="shared" si="23"/>
        <v>0</v>
      </c>
      <c r="AB81" s="421">
        <f t="shared" si="23"/>
        <v>0</v>
      </c>
      <c r="AC81" s="421">
        <f t="shared" si="23"/>
        <v>0</v>
      </c>
      <c r="AD81" s="421">
        <f t="shared" si="23"/>
        <v>41</v>
      </c>
      <c r="AE81" s="421">
        <f t="shared" si="23"/>
        <v>0</v>
      </c>
      <c r="AF81" s="421">
        <f t="shared" si="23"/>
        <v>50</v>
      </c>
      <c r="AG81" s="421">
        <f t="shared" si="23"/>
        <v>415</v>
      </c>
      <c r="AH81" s="421">
        <f t="shared" si="23"/>
        <v>0</v>
      </c>
      <c r="AI81" s="421">
        <f t="shared" si="23"/>
        <v>415</v>
      </c>
    </row>
    <row r="82" spans="1:35" s="419" customFormat="1" ht="18.75" customHeight="1" x14ac:dyDescent="0.2">
      <c r="A82" s="416">
        <v>56</v>
      </c>
      <c r="B82" s="423">
        <v>61</v>
      </c>
      <c r="C82" s="424">
        <f>[9]стоимость!J65</f>
        <v>113876</v>
      </c>
      <c r="D82" s="437">
        <f>104+11</f>
        <v>115</v>
      </c>
      <c r="E82" s="425"/>
      <c r="F82" s="425"/>
      <c r="G82" s="425"/>
      <c r="H82" s="425"/>
      <c r="I82" s="425"/>
      <c r="J82" s="425"/>
      <c r="K82" s="425">
        <v>131</v>
      </c>
      <c r="L82" s="425">
        <v>42</v>
      </c>
      <c r="M82" s="425">
        <v>3</v>
      </c>
      <c r="N82" s="425"/>
      <c r="O82" s="425"/>
      <c r="P82" s="425">
        <v>10</v>
      </c>
      <c r="Q82" s="425"/>
      <c r="R82" s="425"/>
      <c r="S82" s="425"/>
      <c r="T82" s="425"/>
      <c r="U82" s="425"/>
      <c r="V82" s="425"/>
      <c r="W82" s="425"/>
      <c r="X82" s="425"/>
      <c r="Y82" s="425"/>
      <c r="Z82" s="427"/>
      <c r="AA82" s="427"/>
      <c r="AB82" s="427"/>
      <c r="AC82" s="427"/>
      <c r="AD82" s="425">
        <v>41</v>
      </c>
      <c r="AE82" s="425"/>
      <c r="AF82" s="425">
        <v>50</v>
      </c>
      <c r="AG82" s="428">
        <f>D82+E82+F82+G82+H82+I82+J82+K82+L82+M82+N82+O82+P82+Q82+R82+S82+T82+U82+V82+W82+X82+Y82+Z82+AA82+AB82+AC82+AD82+AE82+AF82</f>
        <v>392</v>
      </c>
      <c r="AH82" s="427"/>
      <c r="AI82" s="428">
        <f>AG82+AH82</f>
        <v>392</v>
      </c>
    </row>
    <row r="83" spans="1:35" s="419" customFormat="1" ht="18" customHeight="1" x14ac:dyDescent="0.2">
      <c r="A83" s="416">
        <v>57</v>
      </c>
      <c r="B83" s="423">
        <v>62</v>
      </c>
      <c r="C83" s="424">
        <f>[9]стоимость!J66</f>
        <v>168260</v>
      </c>
      <c r="D83" s="437">
        <v>20</v>
      </c>
      <c r="E83" s="425"/>
      <c r="F83" s="425"/>
      <c r="G83" s="425"/>
      <c r="H83" s="425"/>
      <c r="I83" s="425"/>
      <c r="J83" s="425"/>
      <c r="K83" s="425"/>
      <c r="L83" s="425"/>
      <c r="M83" s="425">
        <v>3</v>
      </c>
      <c r="N83" s="425"/>
      <c r="O83" s="425"/>
      <c r="P83" s="425"/>
      <c r="Q83" s="425"/>
      <c r="R83" s="425"/>
      <c r="S83" s="425"/>
      <c r="T83" s="425"/>
      <c r="U83" s="425"/>
      <c r="V83" s="425"/>
      <c r="W83" s="425"/>
      <c r="X83" s="425"/>
      <c r="Y83" s="425"/>
      <c r="Z83" s="427"/>
      <c r="AA83" s="427"/>
      <c r="AB83" s="427"/>
      <c r="AC83" s="427"/>
      <c r="AD83" s="425"/>
      <c r="AE83" s="425"/>
      <c r="AF83" s="425"/>
      <c r="AG83" s="428">
        <f>D83+E83+F83+G83+H83+I83+J83+K83+L83+M83+N83+O83+P83+Q83+R83+S83+T83+U83+V83+W83+X83+Y83+Z83+AA83+AB83+AC83+AD83+AE83+AF83</f>
        <v>23</v>
      </c>
      <c r="AH83" s="427"/>
      <c r="AI83" s="428">
        <f>AG83+AH83</f>
        <v>23</v>
      </c>
    </row>
    <row r="84" spans="1:35" s="419" customFormat="1" ht="12.75" customHeight="1" x14ac:dyDescent="0.2">
      <c r="A84" s="416"/>
      <c r="B84" s="939" t="s">
        <v>721</v>
      </c>
      <c r="C84" s="940"/>
      <c r="D84" s="446">
        <f>SUM(D85:D86)</f>
        <v>186</v>
      </c>
      <c r="E84" s="446">
        <f t="shared" ref="E84:AI84" si="24">SUM(E85:E86)</f>
        <v>0</v>
      </c>
      <c r="F84" s="446">
        <f t="shared" si="24"/>
        <v>0</v>
      </c>
      <c r="G84" s="446">
        <f t="shared" si="24"/>
        <v>0</v>
      </c>
      <c r="H84" s="446">
        <f t="shared" si="24"/>
        <v>0</v>
      </c>
      <c r="I84" s="446">
        <f t="shared" si="24"/>
        <v>0</v>
      </c>
      <c r="J84" s="446">
        <f t="shared" si="24"/>
        <v>0</v>
      </c>
      <c r="K84" s="446">
        <f t="shared" si="24"/>
        <v>0</v>
      </c>
      <c r="L84" s="446">
        <f t="shared" si="24"/>
        <v>7</v>
      </c>
      <c r="M84" s="446">
        <f t="shared" si="24"/>
        <v>0</v>
      </c>
      <c r="N84" s="446">
        <f t="shared" si="24"/>
        <v>0</v>
      </c>
      <c r="O84" s="446">
        <f t="shared" si="24"/>
        <v>0</v>
      </c>
      <c r="P84" s="446">
        <f t="shared" si="24"/>
        <v>73</v>
      </c>
      <c r="Q84" s="446">
        <f t="shared" si="24"/>
        <v>0</v>
      </c>
      <c r="R84" s="446">
        <v>0</v>
      </c>
      <c r="S84" s="446">
        <f t="shared" si="24"/>
        <v>0</v>
      </c>
      <c r="T84" s="446">
        <f t="shared" si="24"/>
        <v>0</v>
      </c>
      <c r="U84" s="446">
        <f t="shared" si="24"/>
        <v>0</v>
      </c>
      <c r="V84" s="446">
        <f t="shared" si="24"/>
        <v>0</v>
      </c>
      <c r="W84" s="446">
        <v>0</v>
      </c>
      <c r="X84" s="446">
        <f t="shared" si="24"/>
        <v>0</v>
      </c>
      <c r="Y84" s="446">
        <f t="shared" si="24"/>
        <v>0</v>
      </c>
      <c r="Z84" s="447">
        <f t="shared" si="24"/>
        <v>0</v>
      </c>
      <c r="AA84" s="447">
        <f t="shared" si="24"/>
        <v>0</v>
      </c>
      <c r="AB84" s="447">
        <f t="shared" si="24"/>
        <v>0</v>
      </c>
      <c r="AC84" s="447">
        <f t="shared" si="24"/>
        <v>0</v>
      </c>
      <c r="AD84" s="446">
        <f t="shared" si="24"/>
        <v>25</v>
      </c>
      <c r="AE84" s="446">
        <f t="shared" si="24"/>
        <v>0</v>
      </c>
      <c r="AF84" s="446">
        <f t="shared" si="24"/>
        <v>0</v>
      </c>
      <c r="AG84" s="446">
        <f t="shared" si="24"/>
        <v>291</v>
      </c>
      <c r="AH84" s="447">
        <f t="shared" si="24"/>
        <v>0</v>
      </c>
      <c r="AI84" s="446">
        <f t="shared" si="24"/>
        <v>291</v>
      </c>
    </row>
    <row r="85" spans="1:35" s="419" customFormat="1" ht="12.75" customHeight="1" x14ac:dyDescent="0.2">
      <c r="A85" s="416">
        <v>1</v>
      </c>
      <c r="B85" s="423">
        <v>63</v>
      </c>
      <c r="C85" s="424">
        <f>[9]стоимость!J67</f>
        <v>197786</v>
      </c>
      <c r="D85" s="437">
        <f>138+20</f>
        <v>158</v>
      </c>
      <c r="E85" s="425"/>
      <c r="F85" s="425"/>
      <c r="G85" s="425"/>
      <c r="H85" s="425"/>
      <c r="I85" s="425"/>
      <c r="J85" s="425"/>
      <c r="K85" s="425"/>
      <c r="L85" s="425">
        <f>2+5</f>
        <v>7</v>
      </c>
      <c r="M85" s="425"/>
      <c r="N85" s="425"/>
      <c r="O85" s="425"/>
      <c r="P85" s="425">
        <v>70</v>
      </c>
      <c r="Q85" s="425"/>
      <c r="R85" s="425"/>
      <c r="S85" s="425"/>
      <c r="T85" s="425"/>
      <c r="U85" s="425"/>
      <c r="V85" s="425"/>
      <c r="W85" s="425"/>
      <c r="X85" s="425"/>
      <c r="Y85" s="425"/>
      <c r="Z85" s="427"/>
      <c r="AA85" s="427"/>
      <c r="AB85" s="427"/>
      <c r="AC85" s="427"/>
      <c r="AD85" s="425">
        <v>25</v>
      </c>
      <c r="AE85" s="425"/>
      <c r="AF85" s="425"/>
      <c r="AG85" s="428">
        <f>D85+E85+F85+G85+H85+I85+J85+K85+L85+M85+N85+O85+P85+Q85+R85+S85+T85+U85+V85+W85+X85+Y85+Z85+AA85+AB85+AC85+AD85+AE85+AF85</f>
        <v>260</v>
      </c>
      <c r="AH85" s="427"/>
      <c r="AI85" s="428">
        <f>AG85+AH85</f>
        <v>260</v>
      </c>
    </row>
    <row r="86" spans="1:35" s="419" customFormat="1" ht="12.75" customHeight="1" x14ac:dyDescent="0.2">
      <c r="A86" s="416">
        <v>2</v>
      </c>
      <c r="B86" s="423">
        <v>64</v>
      </c>
      <c r="C86" s="424">
        <f>[9]стоимость!J68</f>
        <v>214839</v>
      </c>
      <c r="D86" s="437">
        <f>25+3</f>
        <v>28</v>
      </c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>
        <v>3</v>
      </c>
      <c r="Q86" s="425"/>
      <c r="R86" s="425"/>
      <c r="S86" s="425"/>
      <c r="T86" s="425"/>
      <c r="U86" s="425"/>
      <c r="V86" s="425"/>
      <c r="W86" s="425"/>
      <c r="X86" s="425"/>
      <c r="Y86" s="425"/>
      <c r="Z86" s="427"/>
      <c r="AA86" s="427"/>
      <c r="AB86" s="427"/>
      <c r="AC86" s="427"/>
      <c r="AD86" s="425"/>
      <c r="AE86" s="425"/>
      <c r="AF86" s="425"/>
      <c r="AG86" s="428">
        <f>D86+E86+F86+G86+H86+I86+J86+K86+L86+M86+N86+O86+P86+Q86+R86+S86+T86+U86+V86+W86+X86+Y86+Z86+AA86+AB86+AC86+AD86+AE86+AF86</f>
        <v>31</v>
      </c>
      <c r="AH86" s="427"/>
      <c r="AI86" s="428">
        <f>AG86+AH86</f>
        <v>31</v>
      </c>
    </row>
    <row r="87" spans="1:35" s="415" customFormat="1" ht="12.75" customHeight="1" x14ac:dyDescent="0.2">
      <c r="A87" s="413"/>
      <c r="B87" s="939" t="s">
        <v>433</v>
      </c>
      <c r="C87" s="940"/>
      <c r="D87" s="421">
        <f t="shared" ref="D87:AI87" si="25">D88</f>
        <v>0</v>
      </c>
      <c r="E87" s="421">
        <f t="shared" si="25"/>
        <v>0</v>
      </c>
      <c r="F87" s="421">
        <f t="shared" si="25"/>
        <v>0</v>
      </c>
      <c r="G87" s="421">
        <f t="shared" si="25"/>
        <v>0</v>
      </c>
      <c r="H87" s="421">
        <f t="shared" si="25"/>
        <v>0</v>
      </c>
      <c r="I87" s="421">
        <f t="shared" si="25"/>
        <v>0</v>
      </c>
      <c r="J87" s="421">
        <f t="shared" si="25"/>
        <v>0</v>
      </c>
      <c r="K87" s="421">
        <f t="shared" si="25"/>
        <v>60</v>
      </c>
      <c r="L87" s="421">
        <f t="shared" si="25"/>
        <v>0</v>
      </c>
      <c r="M87" s="421">
        <f t="shared" si="25"/>
        <v>0</v>
      </c>
      <c r="N87" s="421">
        <f t="shared" si="25"/>
        <v>0</v>
      </c>
      <c r="O87" s="421">
        <f t="shared" si="25"/>
        <v>0</v>
      </c>
      <c r="P87" s="421">
        <f t="shared" si="25"/>
        <v>51</v>
      </c>
      <c r="Q87" s="421">
        <f t="shared" si="25"/>
        <v>0</v>
      </c>
      <c r="R87" s="421">
        <v>0</v>
      </c>
      <c r="S87" s="421">
        <f t="shared" si="25"/>
        <v>0</v>
      </c>
      <c r="T87" s="421">
        <f t="shared" si="25"/>
        <v>13</v>
      </c>
      <c r="U87" s="421">
        <f t="shared" si="25"/>
        <v>0</v>
      </c>
      <c r="V87" s="421">
        <f t="shared" si="25"/>
        <v>0</v>
      </c>
      <c r="W87" s="421">
        <v>0</v>
      </c>
      <c r="X87" s="421">
        <f t="shared" si="25"/>
        <v>0</v>
      </c>
      <c r="Y87" s="421">
        <f t="shared" si="25"/>
        <v>0</v>
      </c>
      <c r="Z87" s="421">
        <f t="shared" si="25"/>
        <v>0</v>
      </c>
      <c r="AA87" s="421">
        <f t="shared" si="25"/>
        <v>0</v>
      </c>
      <c r="AB87" s="421">
        <f t="shared" si="25"/>
        <v>0</v>
      </c>
      <c r="AC87" s="421">
        <f t="shared" si="25"/>
        <v>0</v>
      </c>
      <c r="AD87" s="421">
        <f t="shared" si="25"/>
        <v>0</v>
      </c>
      <c r="AE87" s="421">
        <f t="shared" si="25"/>
        <v>0</v>
      </c>
      <c r="AF87" s="421">
        <f t="shared" si="25"/>
        <v>0</v>
      </c>
      <c r="AG87" s="421">
        <f t="shared" si="25"/>
        <v>124</v>
      </c>
      <c r="AH87" s="421">
        <f t="shared" si="25"/>
        <v>0</v>
      </c>
      <c r="AI87" s="421">
        <f t="shared" si="25"/>
        <v>124</v>
      </c>
    </row>
    <row r="88" spans="1:35" s="419" customFormat="1" ht="24.75" customHeight="1" x14ac:dyDescent="0.2">
      <c r="A88" s="416">
        <v>58</v>
      </c>
      <c r="B88" s="423">
        <v>65</v>
      </c>
      <c r="C88" s="424">
        <f>[9]стоимость!J69</f>
        <v>148891</v>
      </c>
      <c r="D88" s="425"/>
      <c r="E88" s="425"/>
      <c r="F88" s="425"/>
      <c r="G88" s="425"/>
      <c r="H88" s="425"/>
      <c r="I88" s="425"/>
      <c r="J88" s="425"/>
      <c r="K88" s="425">
        <v>60</v>
      </c>
      <c r="L88" s="425"/>
      <c r="M88" s="425"/>
      <c r="N88" s="425"/>
      <c r="O88" s="425"/>
      <c r="P88" s="425">
        <v>51</v>
      </c>
      <c r="Q88" s="425"/>
      <c r="R88" s="425"/>
      <c r="S88" s="425"/>
      <c r="T88" s="425">
        <v>13</v>
      </c>
      <c r="U88" s="425"/>
      <c r="V88" s="425"/>
      <c r="W88" s="425"/>
      <c r="X88" s="425"/>
      <c r="Y88" s="425"/>
      <c r="Z88" s="427"/>
      <c r="AA88" s="427"/>
      <c r="AB88" s="427"/>
      <c r="AC88" s="427"/>
      <c r="AD88" s="425"/>
      <c r="AE88" s="425"/>
      <c r="AF88" s="425"/>
      <c r="AG88" s="428">
        <f>D88+E88+F88+G88+H88+I88+J88+K88+L88+M88+N88+O88+P88+Q88+R88+S88+T88+U88+V88+W88+X88+Y88+Z88+AA88+AB88+AC88+AD88+AE88+AF88</f>
        <v>124</v>
      </c>
      <c r="AH88" s="427"/>
      <c r="AI88" s="428">
        <f>AG88+AH88</f>
        <v>124</v>
      </c>
    </row>
    <row r="89" spans="1:35" s="415" customFormat="1" ht="16.5" customHeight="1" x14ac:dyDescent="0.2">
      <c r="A89" s="413"/>
      <c r="B89" s="939" t="s">
        <v>434</v>
      </c>
      <c r="C89" s="940"/>
      <c r="D89" s="421">
        <f t="shared" ref="D89:AI89" si="26">D90+D91</f>
        <v>10</v>
      </c>
      <c r="E89" s="421">
        <f t="shared" si="26"/>
        <v>0</v>
      </c>
      <c r="F89" s="421">
        <f t="shared" si="26"/>
        <v>0</v>
      </c>
      <c r="G89" s="421">
        <f t="shared" si="26"/>
        <v>0</v>
      </c>
      <c r="H89" s="421">
        <f t="shared" si="26"/>
        <v>0</v>
      </c>
      <c r="I89" s="421">
        <f t="shared" si="26"/>
        <v>0</v>
      </c>
      <c r="J89" s="421">
        <f t="shared" si="26"/>
        <v>0</v>
      </c>
      <c r="K89" s="421">
        <f t="shared" si="26"/>
        <v>80</v>
      </c>
      <c r="L89" s="421">
        <f t="shared" si="26"/>
        <v>0</v>
      </c>
      <c r="M89" s="421">
        <f t="shared" si="26"/>
        <v>0</v>
      </c>
      <c r="N89" s="421">
        <f t="shared" si="26"/>
        <v>0</v>
      </c>
      <c r="O89" s="421">
        <f t="shared" si="26"/>
        <v>0</v>
      </c>
      <c r="P89" s="421">
        <f t="shared" si="26"/>
        <v>10</v>
      </c>
      <c r="Q89" s="421">
        <f t="shared" si="26"/>
        <v>0</v>
      </c>
      <c r="R89" s="421">
        <v>0</v>
      </c>
      <c r="S89" s="421">
        <f t="shared" si="26"/>
        <v>0</v>
      </c>
      <c r="T89" s="421">
        <f t="shared" si="26"/>
        <v>0</v>
      </c>
      <c r="U89" s="421">
        <f t="shared" si="26"/>
        <v>0</v>
      </c>
      <c r="V89" s="421">
        <f t="shared" si="26"/>
        <v>0</v>
      </c>
      <c r="W89" s="421">
        <v>0</v>
      </c>
      <c r="X89" s="421">
        <f t="shared" si="26"/>
        <v>0</v>
      </c>
      <c r="Y89" s="421">
        <f t="shared" si="26"/>
        <v>0</v>
      </c>
      <c r="Z89" s="421">
        <f t="shared" si="26"/>
        <v>0</v>
      </c>
      <c r="AA89" s="421">
        <f t="shared" si="26"/>
        <v>0</v>
      </c>
      <c r="AB89" s="421">
        <f t="shared" si="26"/>
        <v>0</v>
      </c>
      <c r="AC89" s="421">
        <f t="shared" si="26"/>
        <v>0</v>
      </c>
      <c r="AD89" s="421">
        <f t="shared" si="26"/>
        <v>0</v>
      </c>
      <c r="AE89" s="421">
        <f t="shared" si="26"/>
        <v>0</v>
      </c>
      <c r="AF89" s="421">
        <f t="shared" si="26"/>
        <v>0</v>
      </c>
      <c r="AG89" s="421">
        <f t="shared" si="26"/>
        <v>100</v>
      </c>
      <c r="AH89" s="421">
        <f t="shared" si="26"/>
        <v>0</v>
      </c>
      <c r="AI89" s="421">
        <f t="shared" si="26"/>
        <v>100</v>
      </c>
    </row>
    <row r="90" spans="1:35" s="419" customFormat="1" ht="18.75" customHeight="1" x14ac:dyDescent="0.2">
      <c r="A90" s="416">
        <v>59</v>
      </c>
      <c r="B90" s="423">
        <v>66</v>
      </c>
      <c r="C90" s="424">
        <f>[9]стоимость!J70</f>
        <v>220834</v>
      </c>
      <c r="D90" s="425">
        <v>10</v>
      </c>
      <c r="E90" s="425"/>
      <c r="F90" s="425"/>
      <c r="G90" s="425"/>
      <c r="H90" s="425"/>
      <c r="I90" s="425"/>
      <c r="J90" s="425"/>
      <c r="K90" s="425">
        <v>80</v>
      </c>
      <c r="L90" s="425"/>
      <c r="M90" s="425"/>
      <c r="N90" s="425"/>
      <c r="O90" s="425"/>
      <c r="P90" s="425">
        <v>10</v>
      </c>
      <c r="Q90" s="425"/>
      <c r="R90" s="425"/>
      <c r="S90" s="425"/>
      <c r="T90" s="425"/>
      <c r="U90" s="425"/>
      <c r="V90" s="425"/>
      <c r="W90" s="425"/>
      <c r="X90" s="425"/>
      <c r="Y90" s="425"/>
      <c r="Z90" s="427"/>
      <c r="AA90" s="427"/>
      <c r="AB90" s="427"/>
      <c r="AC90" s="427"/>
      <c r="AD90" s="425"/>
      <c r="AE90" s="425"/>
      <c r="AF90" s="425"/>
      <c r="AG90" s="428">
        <f>D90+E90+F90+G90+H90+I90+J90+K90+L90+M90+N90+O90+P90+Q90+R90+S90+T90+U90+V90+W90+X90+Y90+Z90+AA90+AB90+AC90+AD90+AE90+AF90</f>
        <v>100</v>
      </c>
      <c r="AH90" s="427"/>
      <c r="AI90" s="428">
        <f>AG90+AH90</f>
        <v>100</v>
      </c>
    </row>
    <row r="91" spans="1:35" s="419" customFormat="1" ht="15.75" customHeight="1" x14ac:dyDescent="0.2">
      <c r="A91" s="416">
        <v>60</v>
      </c>
      <c r="B91" s="423">
        <v>67</v>
      </c>
      <c r="C91" s="424">
        <f>[9]стоимость!J71</f>
        <v>123613</v>
      </c>
      <c r="D91" s="425"/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7"/>
      <c r="AA91" s="427"/>
      <c r="AB91" s="427"/>
      <c r="AC91" s="427"/>
      <c r="AD91" s="425"/>
      <c r="AE91" s="425"/>
      <c r="AF91" s="425"/>
      <c r="AG91" s="428">
        <f>D91+E91+F91+G91+H91+I91+J91+K91+L91+M91+N91+O91+P91+Q91+R91+S91+T91+U91+V91+W91+X91+Y91+Z91+AA91+AB91+AC91+AD91+AE91+AF91</f>
        <v>0</v>
      </c>
      <c r="AH91" s="427"/>
      <c r="AI91" s="428">
        <f>AG91+AH91</f>
        <v>0</v>
      </c>
    </row>
    <row r="92" spans="1:35" s="415" customFormat="1" ht="17.25" customHeight="1" x14ac:dyDescent="0.2">
      <c r="A92" s="413"/>
      <c r="B92" s="941" t="s">
        <v>6</v>
      </c>
      <c r="C92" s="942"/>
      <c r="D92" s="448">
        <f>D5+D8+D10+D13+D15+D17+D20+D27+D30+D38+D42+D52+D54+D72+D75+D81+D84+D87+D89+D46</f>
        <v>2891</v>
      </c>
      <c r="E92" s="448">
        <f t="shared" ref="E92:AI92" si="27">E5+E8+E10+E13+E15+E17+E20+E27+E30+E38+E42+E52+E54+E72+E75+E81+E84+E87+E89+E46</f>
        <v>1118</v>
      </c>
      <c r="F92" s="448">
        <f t="shared" si="27"/>
        <v>871</v>
      </c>
      <c r="G92" s="448">
        <f t="shared" si="27"/>
        <v>3680</v>
      </c>
      <c r="H92" s="448">
        <f t="shared" si="27"/>
        <v>1687</v>
      </c>
      <c r="I92" s="448">
        <f t="shared" si="27"/>
        <v>48</v>
      </c>
      <c r="J92" s="448">
        <f t="shared" si="27"/>
        <v>260</v>
      </c>
      <c r="K92" s="448">
        <f t="shared" si="27"/>
        <v>1086</v>
      </c>
      <c r="L92" s="448">
        <f t="shared" si="27"/>
        <v>401</v>
      </c>
      <c r="M92" s="448">
        <f t="shared" si="27"/>
        <v>1190</v>
      </c>
      <c r="N92" s="448">
        <f t="shared" si="27"/>
        <v>369</v>
      </c>
      <c r="O92" s="448">
        <f t="shared" si="27"/>
        <v>786</v>
      </c>
      <c r="P92" s="448">
        <f t="shared" si="27"/>
        <v>1188</v>
      </c>
      <c r="Q92" s="448">
        <f t="shared" si="27"/>
        <v>120</v>
      </c>
      <c r="R92" s="448">
        <f t="shared" si="27"/>
        <v>253</v>
      </c>
      <c r="S92" s="448">
        <f t="shared" si="27"/>
        <v>467</v>
      </c>
      <c r="T92" s="448">
        <f t="shared" si="27"/>
        <v>1204</v>
      </c>
      <c r="U92" s="448">
        <f t="shared" si="27"/>
        <v>125</v>
      </c>
      <c r="V92" s="448">
        <f t="shared" si="27"/>
        <v>269</v>
      </c>
      <c r="W92" s="448">
        <f t="shared" si="27"/>
        <v>203</v>
      </c>
      <c r="X92" s="448">
        <f t="shared" si="27"/>
        <v>20</v>
      </c>
      <c r="Y92" s="448">
        <f t="shared" si="27"/>
        <v>138</v>
      </c>
      <c r="Z92" s="448">
        <f t="shared" si="27"/>
        <v>130</v>
      </c>
      <c r="AA92" s="448">
        <f t="shared" si="27"/>
        <v>0</v>
      </c>
      <c r="AB92" s="448">
        <f t="shared" si="27"/>
        <v>94</v>
      </c>
      <c r="AC92" s="448">
        <f t="shared" si="27"/>
        <v>90</v>
      </c>
      <c r="AD92" s="448">
        <f t="shared" si="27"/>
        <v>278</v>
      </c>
      <c r="AE92" s="448">
        <f t="shared" si="27"/>
        <v>450</v>
      </c>
      <c r="AF92" s="448">
        <f t="shared" si="27"/>
        <v>150</v>
      </c>
      <c r="AG92" s="448">
        <f t="shared" si="27"/>
        <v>19566</v>
      </c>
      <c r="AH92" s="448">
        <f t="shared" si="27"/>
        <v>75</v>
      </c>
      <c r="AI92" s="448">
        <f t="shared" si="27"/>
        <v>19641</v>
      </c>
    </row>
    <row r="93" spans="1:35" ht="18.75" customHeight="1" x14ac:dyDescent="0.25">
      <c r="B93" s="450"/>
      <c r="C93" s="455"/>
      <c r="D93" s="452"/>
      <c r="E93" s="452"/>
      <c r="F93" s="452"/>
      <c r="G93" s="452"/>
      <c r="H93" s="452"/>
      <c r="I93" s="451"/>
      <c r="J93" s="452"/>
    </row>
  </sheetData>
  <autoFilter ref="A5:AL93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5"/>
  <sheetViews>
    <sheetView tabSelected="1" zoomScale="90" zoomScaleNormal="90" workbookViewId="0">
      <pane xSplit="3" ySplit="13" topLeftCell="Q136" activePane="bottomRight" state="frozen"/>
      <selection pane="topRight" activeCell="D1" sqref="D1"/>
      <selection pane="bottomLeft" activeCell="A14" sqref="A14"/>
      <selection pane="bottomRight" activeCell="U154" sqref="U154"/>
    </sheetView>
  </sheetViews>
  <sheetFormatPr defaultRowHeight="12" x14ac:dyDescent="0.25"/>
  <cols>
    <col min="1" max="1" width="5.28515625" style="116" customWidth="1"/>
    <col min="2" max="2" width="9.5703125" style="116" customWidth="1"/>
    <col min="3" max="3" width="30.140625" style="117" customWidth="1"/>
    <col min="4" max="4" width="7.5703125" style="118" customWidth="1"/>
    <col min="5" max="5" width="13.42578125" style="1373" customWidth="1"/>
    <col min="6" max="6" width="7.28515625" style="118" customWidth="1"/>
    <col min="7" max="7" width="12.42578125" style="1373" customWidth="1"/>
    <col min="8" max="8" width="7.5703125" style="118" customWidth="1"/>
    <col min="9" max="9" width="12.7109375" style="1373" customWidth="1"/>
    <col min="10" max="10" width="7.42578125" style="118" customWidth="1"/>
    <col min="11" max="11" width="12.42578125" style="1373" customWidth="1"/>
    <col min="12" max="12" width="7.7109375" style="916" customWidth="1"/>
    <col min="13" max="13" width="13.5703125" style="1374" customWidth="1"/>
    <col min="14" max="14" width="8.140625" style="916" customWidth="1"/>
    <col min="15" max="15" width="13.28515625" style="1374" customWidth="1"/>
    <col min="16" max="16" width="8.28515625" style="916" customWidth="1"/>
    <col min="17" max="17" width="13.28515625" style="1373" customWidth="1"/>
    <col min="18" max="18" width="7.7109375" style="118" customWidth="1"/>
    <col min="19" max="19" width="13" style="1373" customWidth="1"/>
    <col min="20" max="20" width="8" style="118" customWidth="1"/>
    <col min="21" max="21" width="13.85546875" style="1373" customWidth="1"/>
    <col min="22" max="22" width="7.85546875" style="121" customWidth="1"/>
    <col min="23" max="23" width="14.7109375" style="1373" customWidth="1"/>
    <col min="24" max="24" width="9" style="916" customWidth="1"/>
    <col min="25" max="25" width="14.140625" style="1374" customWidth="1"/>
    <col min="26" max="26" width="15.5703125" style="1374" customWidth="1"/>
    <col min="27" max="27" width="9" style="116" customWidth="1"/>
    <col min="28" max="28" width="10.7109375" style="116" customWidth="1"/>
    <col min="29" max="29" width="9.28515625" style="118" bestFit="1" customWidth="1"/>
    <col min="30" max="30" width="6.42578125" style="118" customWidth="1"/>
    <col min="31" max="31" width="11" style="118" customWidth="1"/>
    <col min="32" max="32" width="6.5703125" style="118" customWidth="1"/>
    <col min="33" max="16384" width="9.140625" style="116"/>
  </cols>
  <sheetData>
    <row r="1" spans="1:32" ht="15.75" x14ac:dyDescent="0.25">
      <c r="A1" s="1153" t="s">
        <v>817</v>
      </c>
      <c r="B1" s="1372"/>
      <c r="C1" s="1372"/>
      <c r="D1" s="1372"/>
      <c r="E1" s="1372"/>
      <c r="F1" s="1372"/>
      <c r="G1" s="1372"/>
      <c r="H1" s="1372"/>
      <c r="I1" s="1372"/>
      <c r="J1" s="1372"/>
      <c r="K1" s="1372"/>
      <c r="L1" s="1372"/>
      <c r="M1" s="1372"/>
      <c r="N1" s="1372"/>
      <c r="O1" s="1372"/>
      <c r="P1" s="1372"/>
      <c r="Q1" s="1372"/>
      <c r="R1" s="1372"/>
      <c r="S1" s="1372"/>
      <c r="T1" s="1372"/>
      <c r="U1" s="1372"/>
      <c r="V1" s="1372"/>
      <c r="W1" s="1372"/>
      <c r="X1" s="1372"/>
      <c r="Y1" s="1372"/>
      <c r="Z1" s="1372"/>
    </row>
    <row r="2" spans="1:32" ht="12.75" thickBot="1" x14ac:dyDescent="0.3"/>
    <row r="3" spans="1:32" s="917" customFormat="1" ht="16.5" customHeight="1" x14ac:dyDescent="0.25">
      <c r="A3" s="1375" t="s">
        <v>0</v>
      </c>
      <c r="B3" s="1376" t="s">
        <v>601</v>
      </c>
      <c r="C3" s="1377" t="s">
        <v>292</v>
      </c>
      <c r="D3" s="1378" t="s">
        <v>610</v>
      </c>
      <c r="E3" s="1379"/>
      <c r="F3" s="1380"/>
      <c r="G3" s="1380"/>
      <c r="H3" s="1380"/>
      <c r="I3" s="1380"/>
      <c r="J3" s="1380"/>
      <c r="K3" s="1380"/>
      <c r="L3" s="1380"/>
      <c r="M3" s="1380"/>
      <c r="N3" s="1380"/>
      <c r="O3" s="1381"/>
      <c r="P3" s="1381"/>
      <c r="Q3" s="1382"/>
      <c r="R3" s="1383" t="s">
        <v>611</v>
      </c>
      <c r="S3" s="1380"/>
      <c r="T3" s="1380"/>
      <c r="U3" s="1380"/>
      <c r="V3" s="1380"/>
      <c r="W3" s="1380"/>
      <c r="X3" s="1380"/>
      <c r="Y3" s="1380"/>
      <c r="Z3" s="1384" t="s">
        <v>818</v>
      </c>
      <c r="AC3" s="1385"/>
      <c r="AD3" s="1385"/>
      <c r="AE3" s="1385"/>
      <c r="AF3" s="1385"/>
    </row>
    <row r="4" spans="1:32" s="918" customFormat="1" ht="8.25" customHeight="1" x14ac:dyDescent="0.25">
      <c r="A4" s="1386"/>
      <c r="B4" s="1387"/>
      <c r="C4" s="1388"/>
      <c r="D4" s="1179" t="s">
        <v>612</v>
      </c>
      <c r="E4" s="1186"/>
      <c r="F4" s="1186"/>
      <c r="G4" s="1186"/>
      <c r="H4" s="1186" t="s">
        <v>613</v>
      </c>
      <c r="I4" s="1186"/>
      <c r="J4" s="1186"/>
      <c r="K4" s="1186"/>
      <c r="L4" s="1389" t="s">
        <v>819</v>
      </c>
      <c r="M4" s="1390"/>
      <c r="N4" s="1390"/>
      <c r="O4" s="1391"/>
      <c r="P4" s="1392"/>
      <c r="Q4" s="1392"/>
      <c r="R4" s="1185" t="s">
        <v>820</v>
      </c>
      <c r="S4" s="1186"/>
      <c r="T4" s="1393" t="s">
        <v>821</v>
      </c>
      <c r="U4" s="1394"/>
      <c r="V4" s="1186" t="s">
        <v>613</v>
      </c>
      <c r="W4" s="1186"/>
      <c r="X4" s="1389" t="s">
        <v>6</v>
      </c>
      <c r="Y4" s="1395"/>
      <c r="Z4" s="1396"/>
      <c r="AC4" s="1385"/>
      <c r="AD4" s="1385"/>
      <c r="AE4" s="1385"/>
      <c r="AF4" s="1385"/>
    </row>
    <row r="5" spans="1:32" s="918" customFormat="1" ht="11.25" customHeight="1" x14ac:dyDescent="0.25">
      <c r="A5" s="1397"/>
      <c r="B5" s="1337"/>
      <c r="C5" s="1398"/>
      <c r="D5" s="1179" t="s">
        <v>289</v>
      </c>
      <c r="E5" s="1186"/>
      <c r="F5" s="1186"/>
      <c r="G5" s="1186"/>
      <c r="H5" s="1186" t="s">
        <v>289</v>
      </c>
      <c r="I5" s="1186"/>
      <c r="J5" s="1186"/>
      <c r="K5" s="1186"/>
      <c r="L5" s="1399"/>
      <c r="M5" s="1400"/>
      <c r="N5" s="1400"/>
      <c r="O5" s="1401"/>
      <c r="P5" s="1402"/>
      <c r="Q5" s="1402"/>
      <c r="R5" s="1185"/>
      <c r="S5" s="1186"/>
      <c r="T5" s="1403"/>
      <c r="U5" s="1404"/>
      <c r="V5" s="1186"/>
      <c r="W5" s="1186"/>
      <c r="X5" s="1405"/>
      <c r="Y5" s="1406"/>
      <c r="Z5" s="1396"/>
      <c r="AC5" s="1385"/>
      <c r="AD5" s="1385"/>
      <c r="AE5" s="1385"/>
      <c r="AF5" s="1385"/>
    </row>
    <row r="6" spans="1:32" s="918" customFormat="1" ht="63" customHeight="1" x14ac:dyDescent="0.25">
      <c r="A6" s="1397"/>
      <c r="B6" s="1337"/>
      <c r="C6" s="1398"/>
      <c r="D6" s="1179" t="s">
        <v>614</v>
      </c>
      <c r="E6" s="1186"/>
      <c r="F6" s="1186" t="s">
        <v>615</v>
      </c>
      <c r="G6" s="1186"/>
      <c r="H6" s="1186" t="s">
        <v>614</v>
      </c>
      <c r="I6" s="1186"/>
      <c r="J6" s="1186" t="s">
        <v>615</v>
      </c>
      <c r="K6" s="1186"/>
      <c r="L6" s="1187" t="s">
        <v>614</v>
      </c>
      <c r="M6" s="1186"/>
      <c r="N6" s="1187" t="s">
        <v>615</v>
      </c>
      <c r="O6" s="1407"/>
      <c r="P6" s="1408" t="s">
        <v>616</v>
      </c>
      <c r="Q6" s="1409"/>
      <c r="R6" s="1185" t="s">
        <v>607</v>
      </c>
      <c r="S6" s="1410" t="s">
        <v>822</v>
      </c>
      <c r="T6" s="1186" t="s">
        <v>607</v>
      </c>
      <c r="U6" s="1411" t="s">
        <v>822</v>
      </c>
      <c r="V6" s="1412" t="s">
        <v>607</v>
      </c>
      <c r="W6" s="1411" t="s">
        <v>822</v>
      </c>
      <c r="X6" s="1187" t="s">
        <v>607</v>
      </c>
      <c r="Y6" s="1413" t="s">
        <v>822</v>
      </c>
      <c r="Z6" s="1396"/>
      <c r="AC6" s="1385"/>
      <c r="AD6" s="1385"/>
      <c r="AE6" s="1385"/>
      <c r="AF6" s="1385"/>
    </row>
    <row r="7" spans="1:32" s="918" customFormat="1" ht="36" customHeight="1" x14ac:dyDescent="0.25">
      <c r="A7" s="1414"/>
      <c r="B7" s="1338"/>
      <c r="C7" s="1415"/>
      <c r="D7" s="508" t="s">
        <v>823</v>
      </c>
      <c r="E7" s="1416" t="s">
        <v>822</v>
      </c>
      <c r="F7" s="763" t="s">
        <v>823</v>
      </c>
      <c r="G7" s="1416" t="s">
        <v>822</v>
      </c>
      <c r="H7" s="763" t="s">
        <v>823</v>
      </c>
      <c r="I7" s="1416" t="s">
        <v>822</v>
      </c>
      <c r="J7" s="763" t="s">
        <v>823</v>
      </c>
      <c r="K7" s="1416" t="s">
        <v>822</v>
      </c>
      <c r="L7" s="1417" t="s">
        <v>824</v>
      </c>
      <c r="M7" s="1418" t="s">
        <v>822</v>
      </c>
      <c r="N7" s="1417" t="s">
        <v>824</v>
      </c>
      <c r="O7" s="1419" t="s">
        <v>822</v>
      </c>
      <c r="P7" s="1417" t="s">
        <v>824</v>
      </c>
      <c r="Q7" s="1419" t="s">
        <v>822</v>
      </c>
      <c r="R7" s="1185"/>
      <c r="S7" s="1420"/>
      <c r="T7" s="1186"/>
      <c r="U7" s="1421"/>
      <c r="V7" s="1412"/>
      <c r="W7" s="1421"/>
      <c r="X7" s="1187"/>
      <c r="Y7" s="1422"/>
      <c r="Z7" s="1423"/>
      <c r="AC7" s="1385"/>
      <c r="AD7" s="1385"/>
      <c r="AE7" s="1385"/>
      <c r="AF7" s="1385"/>
    </row>
    <row r="8" spans="1:32" s="1385" customFormat="1" ht="14.25" customHeight="1" thickBot="1" x14ac:dyDescent="0.3">
      <c r="A8" s="541">
        <v>1</v>
      </c>
      <c r="B8" s="1424">
        <v>2</v>
      </c>
      <c r="C8" s="542">
        <v>3</v>
      </c>
      <c r="D8" s="1425">
        <v>4</v>
      </c>
      <c r="E8" s="1426">
        <v>5</v>
      </c>
      <c r="F8" s="1426">
        <v>6</v>
      </c>
      <c r="G8" s="1426">
        <v>7</v>
      </c>
      <c r="H8" s="1426">
        <v>8</v>
      </c>
      <c r="I8" s="1426">
        <v>9</v>
      </c>
      <c r="J8" s="1426">
        <v>10</v>
      </c>
      <c r="K8" s="1426">
        <v>11</v>
      </c>
      <c r="L8" s="1426">
        <v>12</v>
      </c>
      <c r="M8" s="1426">
        <v>13</v>
      </c>
      <c r="N8" s="351">
        <v>14</v>
      </c>
      <c r="O8" s="1427">
        <v>15</v>
      </c>
      <c r="P8" s="1428">
        <v>16</v>
      </c>
      <c r="Q8" s="1428">
        <v>17</v>
      </c>
      <c r="R8" s="1429">
        <v>18</v>
      </c>
      <c r="S8" s="1430">
        <v>19</v>
      </c>
      <c r="T8" s="1431">
        <v>20</v>
      </c>
      <c r="U8" s="1431">
        <v>21</v>
      </c>
      <c r="V8" s="1426">
        <v>22</v>
      </c>
      <c r="W8" s="1431">
        <v>23</v>
      </c>
      <c r="X8" s="1431">
        <v>24</v>
      </c>
      <c r="Y8" s="1430">
        <v>25</v>
      </c>
      <c r="Z8" s="1432">
        <v>26</v>
      </c>
    </row>
    <row r="9" spans="1:32" s="1449" customFormat="1" x14ac:dyDescent="0.25">
      <c r="A9" s="1433" t="s">
        <v>825</v>
      </c>
      <c r="B9" s="1434"/>
      <c r="C9" s="1435"/>
      <c r="D9" s="1436"/>
      <c r="E9" s="1437">
        <v>489.35</v>
      </c>
      <c r="F9" s="1438"/>
      <c r="G9" s="1439">
        <v>2446.85</v>
      </c>
      <c r="H9" s="1438"/>
      <c r="I9" s="1437">
        <v>489.35</v>
      </c>
      <c r="J9" s="1438"/>
      <c r="K9" s="1439">
        <v>2446.85</v>
      </c>
      <c r="L9" s="1440"/>
      <c r="M9" s="1441"/>
      <c r="N9" s="1442"/>
      <c r="O9" s="1443"/>
      <c r="P9" s="1444"/>
      <c r="Q9" s="1445"/>
      <c r="R9" s="1446"/>
      <c r="S9" s="1439">
        <v>2764.7</v>
      </c>
      <c r="T9" s="1447"/>
      <c r="U9" s="1439">
        <v>2764.7</v>
      </c>
      <c r="V9" s="1438"/>
      <c r="W9" s="1439">
        <v>2764.7</v>
      </c>
      <c r="X9" s="1444"/>
      <c r="Y9" s="1441"/>
      <c r="Z9" s="1448"/>
      <c r="AC9" s="1450"/>
      <c r="AD9" s="1450"/>
      <c r="AE9" s="1450"/>
      <c r="AF9" s="1450"/>
    </row>
    <row r="10" spans="1:32" s="920" customFormat="1" x14ac:dyDescent="0.25">
      <c r="A10" s="1451" t="s">
        <v>6</v>
      </c>
      <c r="B10" s="1452"/>
      <c r="C10" s="1453"/>
      <c r="D10" s="532">
        <f>SUM(D11:D13)</f>
        <v>73687</v>
      </c>
      <c r="E10" s="1454">
        <f t="shared" ref="E10:Z10" si="0">SUM(E11:E13)</f>
        <v>36058733.449999996</v>
      </c>
      <c r="F10" s="120">
        <f t="shared" si="0"/>
        <v>11369</v>
      </c>
      <c r="G10" s="1454">
        <f t="shared" si="0"/>
        <v>27818237.65000001</v>
      </c>
      <c r="H10" s="120">
        <f t="shared" si="0"/>
        <v>73655</v>
      </c>
      <c r="I10" s="1454">
        <f t="shared" si="0"/>
        <v>36043074.25</v>
      </c>
      <c r="J10" s="120">
        <f t="shared" si="0"/>
        <v>11354</v>
      </c>
      <c r="K10" s="1454">
        <f t="shared" si="0"/>
        <v>27781534.899999999</v>
      </c>
      <c r="L10" s="120">
        <f t="shared" si="0"/>
        <v>147342</v>
      </c>
      <c r="M10" s="1454">
        <f t="shared" si="0"/>
        <v>72102362</v>
      </c>
      <c r="N10" s="120">
        <f t="shared" si="0"/>
        <v>22723</v>
      </c>
      <c r="O10" s="1455">
        <f t="shared" si="0"/>
        <v>55599855.000000007</v>
      </c>
      <c r="P10" s="919">
        <f t="shared" si="0"/>
        <v>170065</v>
      </c>
      <c r="Q10" s="1455">
        <f t="shared" si="0"/>
        <v>127702217.08000001</v>
      </c>
      <c r="R10" s="458">
        <f t="shared" si="0"/>
        <v>50490</v>
      </c>
      <c r="S10" s="1454">
        <f t="shared" si="0"/>
        <v>139589703</v>
      </c>
      <c r="T10" s="120">
        <f t="shared" si="0"/>
        <v>102630</v>
      </c>
      <c r="U10" s="1454">
        <f t="shared" si="0"/>
        <v>283741161</v>
      </c>
      <c r="V10" s="559">
        <f t="shared" si="0"/>
        <v>149820</v>
      </c>
      <c r="W10" s="1454">
        <f t="shared" si="0"/>
        <v>414207354</v>
      </c>
      <c r="X10" s="120">
        <f t="shared" si="0"/>
        <v>302940</v>
      </c>
      <c r="Y10" s="1455">
        <f t="shared" si="0"/>
        <v>837538218</v>
      </c>
      <c r="Z10" s="1456">
        <f t="shared" si="0"/>
        <v>965240435.08000016</v>
      </c>
      <c r="AB10" s="118"/>
      <c r="AC10" s="118"/>
      <c r="AD10" s="118"/>
      <c r="AE10" s="118"/>
      <c r="AF10" s="118"/>
    </row>
    <row r="11" spans="1:32" s="920" customFormat="1" x14ac:dyDescent="0.25">
      <c r="A11" s="1203" t="s">
        <v>14</v>
      </c>
      <c r="B11" s="1204"/>
      <c r="C11" s="1219"/>
      <c r="D11" s="532"/>
      <c r="E11" s="1454"/>
      <c r="F11" s="120"/>
      <c r="G11" s="1454"/>
      <c r="H11" s="120"/>
      <c r="I11" s="1454"/>
      <c r="J11" s="120"/>
      <c r="K11" s="1454"/>
      <c r="L11" s="120">
        <f>D11+H11</f>
        <v>0</v>
      </c>
      <c r="M11" s="1455">
        <f>E11+I11</f>
        <v>0</v>
      </c>
      <c r="N11" s="120">
        <f>F11+J11</f>
        <v>0</v>
      </c>
      <c r="O11" s="1455">
        <f>G11+K11</f>
        <v>0</v>
      </c>
      <c r="P11" s="919">
        <f>L11+N11</f>
        <v>0</v>
      </c>
      <c r="Q11" s="1455">
        <f>M11+O11</f>
        <v>0</v>
      </c>
      <c r="R11" s="458"/>
      <c r="S11" s="1454"/>
      <c r="T11" s="120"/>
      <c r="U11" s="1454"/>
      <c r="V11" s="353"/>
      <c r="W11" s="1457"/>
      <c r="X11" s="919">
        <f>R11+T11+V11</f>
        <v>0</v>
      </c>
      <c r="Y11" s="1455">
        <f>S11+U11+W11</f>
        <v>0</v>
      </c>
      <c r="Z11" s="1456">
        <f>Q11+Y11</f>
        <v>0</v>
      </c>
      <c r="AB11" s="118"/>
      <c r="AC11" s="118"/>
      <c r="AD11" s="118"/>
      <c r="AE11" s="118"/>
      <c r="AF11" s="118"/>
    </row>
    <row r="12" spans="1:32" s="1463" customFormat="1" x14ac:dyDescent="0.25">
      <c r="A12" s="1203" t="s">
        <v>444</v>
      </c>
      <c r="B12" s="1204"/>
      <c r="C12" s="1219"/>
      <c r="D12" s="551"/>
      <c r="E12" s="1458"/>
      <c r="F12" s="559"/>
      <c r="G12" s="1458"/>
      <c r="H12" s="559"/>
      <c r="I12" s="1458"/>
      <c r="J12" s="353">
        <f>2877-2877</f>
        <v>0</v>
      </c>
      <c r="K12" s="1459">
        <f t="shared" ref="K12" si="1">ROUND(J12*$K$9,2)</f>
        <v>0</v>
      </c>
      <c r="L12" s="559">
        <v>0</v>
      </c>
      <c r="M12" s="1455">
        <v>554.29999999999995</v>
      </c>
      <c r="N12" s="559">
        <f t="shared" ref="N12" si="2">F12+J12</f>
        <v>0</v>
      </c>
      <c r="O12" s="1460">
        <f>G12+K12+79+3.45</f>
        <v>82.45</v>
      </c>
      <c r="P12" s="544">
        <f t="shared" ref="P12" si="3">L12+N12</f>
        <v>0</v>
      </c>
      <c r="Q12" s="1461">
        <f>M12+O12+0.08</f>
        <v>636.83000000000004</v>
      </c>
      <c r="R12" s="551"/>
      <c r="S12" s="1458"/>
      <c r="T12" s="559"/>
      <c r="U12" s="1458"/>
      <c r="V12" s="559">
        <f>9900-8525</f>
        <v>1375</v>
      </c>
      <c r="W12" s="1495">
        <f>ROUND(V12*$W$9,2)</f>
        <v>3801462.5</v>
      </c>
      <c r="X12" s="919">
        <f>R12+T12+V12</f>
        <v>1375</v>
      </c>
      <c r="Y12" s="1455">
        <f>S12+U12+W12</f>
        <v>3801462.5</v>
      </c>
      <c r="Z12" s="1462">
        <f>Q12+Y12</f>
        <v>3802099.33</v>
      </c>
      <c r="AB12" s="118"/>
      <c r="AC12" s="121"/>
      <c r="AD12" s="118"/>
      <c r="AE12" s="121"/>
      <c r="AF12" s="118"/>
    </row>
    <row r="13" spans="1:32" s="920" customFormat="1" x14ac:dyDescent="0.25">
      <c r="A13" s="1203" t="s">
        <v>15</v>
      </c>
      <c r="B13" s="1204"/>
      <c r="C13" s="1219"/>
      <c r="D13" s="532">
        <f>SUM(D14:D158)</f>
        <v>73687</v>
      </c>
      <c r="E13" s="1464">
        <f t="shared" ref="E13:Z13" si="4">SUM(E14:E158)</f>
        <v>36058733.449999996</v>
      </c>
      <c r="F13" s="532">
        <f t="shared" si="4"/>
        <v>11369</v>
      </c>
      <c r="G13" s="1464">
        <f t="shared" si="4"/>
        <v>27818237.65000001</v>
      </c>
      <c r="H13" s="532">
        <f t="shared" si="4"/>
        <v>73655</v>
      </c>
      <c r="I13" s="1464">
        <f t="shared" si="4"/>
        <v>36043074.25</v>
      </c>
      <c r="J13" s="532">
        <f t="shared" si="4"/>
        <v>11354</v>
      </c>
      <c r="K13" s="1464">
        <f t="shared" si="4"/>
        <v>27781534.899999999</v>
      </c>
      <c r="L13" s="532">
        <f t="shared" si="4"/>
        <v>147342</v>
      </c>
      <c r="M13" s="532">
        <f t="shared" si="4"/>
        <v>72101807.700000003</v>
      </c>
      <c r="N13" s="532">
        <f t="shared" si="4"/>
        <v>22723</v>
      </c>
      <c r="O13" s="532">
        <f t="shared" si="4"/>
        <v>55599772.550000004</v>
      </c>
      <c r="P13" s="532">
        <f t="shared" si="4"/>
        <v>170065</v>
      </c>
      <c r="Q13" s="532">
        <f t="shared" si="4"/>
        <v>127701580.25000001</v>
      </c>
      <c r="R13" s="532">
        <f t="shared" si="4"/>
        <v>50490</v>
      </c>
      <c r="S13" s="1464">
        <f t="shared" si="4"/>
        <v>139589703</v>
      </c>
      <c r="T13" s="532">
        <f t="shared" si="4"/>
        <v>102630</v>
      </c>
      <c r="U13" s="1464">
        <f t="shared" si="4"/>
        <v>283741161</v>
      </c>
      <c r="V13" s="532">
        <f t="shared" si="4"/>
        <v>148445</v>
      </c>
      <c r="W13" s="1464">
        <f t="shared" si="4"/>
        <v>410405891.5</v>
      </c>
      <c r="X13" s="532">
        <f t="shared" si="4"/>
        <v>301565</v>
      </c>
      <c r="Y13" s="1465">
        <f t="shared" si="4"/>
        <v>833736755.5</v>
      </c>
      <c r="Z13" s="1456">
        <f t="shared" si="4"/>
        <v>961438335.75000012</v>
      </c>
      <c r="AB13" s="118"/>
      <c r="AC13" s="118"/>
      <c r="AD13" s="118"/>
      <c r="AE13" s="118"/>
      <c r="AF13" s="118"/>
    </row>
    <row r="14" spans="1:32" x14ac:dyDescent="0.25">
      <c r="A14" s="927">
        <v>1</v>
      </c>
      <c r="B14" s="354" t="s">
        <v>16</v>
      </c>
      <c r="C14" s="510" t="s">
        <v>17</v>
      </c>
      <c r="D14" s="459"/>
      <c r="E14" s="1466"/>
      <c r="F14" s="119"/>
      <c r="G14" s="1466"/>
      <c r="H14" s="119"/>
      <c r="I14" s="1466"/>
      <c r="J14" s="119"/>
      <c r="K14" s="1466"/>
      <c r="L14" s="526">
        <f>D14+H14</f>
        <v>0</v>
      </c>
      <c r="M14" s="1467">
        <f>E14+I14</f>
        <v>0</v>
      </c>
      <c r="N14" s="526">
        <f>F14+J14</f>
        <v>0</v>
      </c>
      <c r="O14" s="1467">
        <f>G14+K14</f>
        <v>0</v>
      </c>
      <c r="P14" s="1468">
        <f t="shared" ref="P14:Q45" si="5">L14+N14</f>
        <v>0</v>
      </c>
      <c r="Q14" s="1469">
        <f t="shared" si="5"/>
        <v>0</v>
      </c>
      <c r="R14" s="1470">
        <v>550</v>
      </c>
      <c r="S14" s="1466">
        <f t="shared" ref="S14:S66" si="6">ROUND(R14*$S$9,2)</f>
        <v>1520585</v>
      </c>
      <c r="T14" s="511">
        <v>1100</v>
      </c>
      <c r="U14" s="1466">
        <f t="shared" ref="U14:U66" si="7">ROUND(T14*$U$9,2)</f>
        <v>3041170</v>
      </c>
      <c r="V14" s="564">
        <v>1650</v>
      </c>
      <c r="W14" s="1466">
        <f>ROUND(V14*$W$9,2)</f>
        <v>4561755</v>
      </c>
      <c r="X14" s="919">
        <f>R14+T14+V14</f>
        <v>3300</v>
      </c>
      <c r="Y14" s="1455">
        <f>S14+U14+W14</f>
        <v>9123510</v>
      </c>
      <c r="Z14" s="1456">
        <f>Q14+Y14</f>
        <v>9123510</v>
      </c>
      <c r="AB14" s="118"/>
    </row>
    <row r="15" spans="1:32" x14ac:dyDescent="0.25">
      <c r="A15" s="927">
        <v>2</v>
      </c>
      <c r="B15" s="354" t="s">
        <v>18</v>
      </c>
      <c r="C15" s="510" t="s">
        <v>19</v>
      </c>
      <c r="D15" s="459">
        <v>993</v>
      </c>
      <c r="E15" s="1459">
        <f>ROUND(D15*$E$9,2)</f>
        <v>485924.55</v>
      </c>
      <c r="F15" s="119">
        <v>101</v>
      </c>
      <c r="G15" s="1459">
        <f>ROUND(F15*$G$9,2)</f>
        <v>247131.85</v>
      </c>
      <c r="H15" s="119">
        <v>992</v>
      </c>
      <c r="I15" s="1459">
        <f>ROUND(H15*$I$9,2)</f>
        <v>485435.2</v>
      </c>
      <c r="J15" s="119">
        <v>101</v>
      </c>
      <c r="K15" s="1459">
        <f>ROUND(J15*$K$9,2)</f>
        <v>247131.85</v>
      </c>
      <c r="L15" s="120">
        <f t="shared" ref="L15:O46" si="8">D15+H15</f>
        <v>1985</v>
      </c>
      <c r="M15" s="1455">
        <f t="shared" si="8"/>
        <v>971359.75</v>
      </c>
      <c r="N15" s="120">
        <f t="shared" si="8"/>
        <v>202</v>
      </c>
      <c r="O15" s="1455">
        <f t="shared" si="8"/>
        <v>494263.7</v>
      </c>
      <c r="P15" s="1468">
        <f t="shared" si="5"/>
        <v>2187</v>
      </c>
      <c r="Q15" s="1469">
        <f t="shared" si="5"/>
        <v>1465623.45</v>
      </c>
      <c r="R15" s="1470">
        <v>550</v>
      </c>
      <c r="S15" s="1466">
        <f t="shared" si="6"/>
        <v>1520585</v>
      </c>
      <c r="T15" s="511">
        <v>1100</v>
      </c>
      <c r="U15" s="1466">
        <f t="shared" si="7"/>
        <v>3041170</v>
      </c>
      <c r="V15" s="564">
        <v>1650</v>
      </c>
      <c r="W15" s="1466">
        <f t="shared" ref="W15:W66" si="9">ROUND(V15*$W$9,2)</f>
        <v>4561755</v>
      </c>
      <c r="X15" s="919">
        <f t="shared" ref="X15:Y78" si="10">R15+T15+V15</f>
        <v>3300</v>
      </c>
      <c r="Y15" s="1455">
        <f t="shared" si="10"/>
        <v>9123510</v>
      </c>
      <c r="Z15" s="1456">
        <f t="shared" ref="Z15:Z78" si="11">Q15+Y15</f>
        <v>10589133.449999999</v>
      </c>
      <c r="AB15" s="118"/>
    </row>
    <row r="16" spans="1:32" x14ac:dyDescent="0.25">
      <c r="A16" s="927">
        <v>3</v>
      </c>
      <c r="B16" s="355" t="s">
        <v>20</v>
      </c>
      <c r="C16" s="512" t="s">
        <v>21</v>
      </c>
      <c r="D16" s="459">
        <v>1124</v>
      </c>
      <c r="E16" s="1459">
        <f t="shared" ref="E16:E79" si="12">ROUND(D16*$E$9,2)</f>
        <v>550029.4</v>
      </c>
      <c r="F16" s="119">
        <v>229</v>
      </c>
      <c r="G16" s="1459">
        <f t="shared" ref="G16:G78" si="13">ROUND(F16*$G$9,2)</f>
        <v>560328.65</v>
      </c>
      <c r="H16" s="119">
        <v>1124</v>
      </c>
      <c r="I16" s="1459">
        <f t="shared" ref="I16:I79" si="14">ROUND(H16*$I$9,2)</f>
        <v>550029.4</v>
      </c>
      <c r="J16" s="119">
        <v>228</v>
      </c>
      <c r="K16" s="1459">
        <f t="shared" ref="K16:K78" si="15">ROUND(J16*$K$9,2)</f>
        <v>557881.80000000005</v>
      </c>
      <c r="L16" s="120">
        <f t="shared" si="8"/>
        <v>2248</v>
      </c>
      <c r="M16" s="1455">
        <f t="shared" si="8"/>
        <v>1100058.8</v>
      </c>
      <c r="N16" s="120">
        <f t="shared" si="8"/>
        <v>457</v>
      </c>
      <c r="O16" s="1455">
        <f t="shared" si="8"/>
        <v>1118210.4500000002</v>
      </c>
      <c r="P16" s="1468">
        <f t="shared" si="5"/>
        <v>2705</v>
      </c>
      <c r="Q16" s="1469">
        <f t="shared" si="5"/>
        <v>2218269.25</v>
      </c>
      <c r="R16" s="1470">
        <v>880</v>
      </c>
      <c r="S16" s="1466">
        <f t="shared" si="6"/>
        <v>2432936</v>
      </c>
      <c r="T16" s="511">
        <v>1760</v>
      </c>
      <c r="U16" s="1466">
        <f t="shared" si="7"/>
        <v>4865872</v>
      </c>
      <c r="V16" s="564">
        <v>2640</v>
      </c>
      <c r="W16" s="1466">
        <f t="shared" si="9"/>
        <v>7298808</v>
      </c>
      <c r="X16" s="919">
        <f t="shared" si="10"/>
        <v>5280</v>
      </c>
      <c r="Y16" s="1455">
        <f t="shared" si="10"/>
        <v>14597616</v>
      </c>
      <c r="Z16" s="1456">
        <f t="shared" si="11"/>
        <v>16815885.25</v>
      </c>
      <c r="AB16" s="118"/>
    </row>
    <row r="17" spans="1:28" s="118" customFormat="1" x14ac:dyDescent="0.25">
      <c r="A17" s="927">
        <v>4</v>
      </c>
      <c r="B17" s="354" t="s">
        <v>22</v>
      </c>
      <c r="C17" s="510" t="s">
        <v>23</v>
      </c>
      <c r="D17" s="459">
        <v>574</v>
      </c>
      <c r="E17" s="1459">
        <f t="shared" si="12"/>
        <v>280886.90000000002</v>
      </c>
      <c r="F17" s="119"/>
      <c r="G17" s="1459"/>
      <c r="H17" s="119">
        <v>573</v>
      </c>
      <c r="I17" s="1459">
        <f t="shared" si="14"/>
        <v>280397.55</v>
      </c>
      <c r="J17" s="119"/>
      <c r="K17" s="1459"/>
      <c r="L17" s="120">
        <f t="shared" si="8"/>
        <v>1147</v>
      </c>
      <c r="M17" s="1455">
        <f t="shared" si="8"/>
        <v>561284.44999999995</v>
      </c>
      <c r="N17" s="120">
        <f t="shared" si="8"/>
        <v>0</v>
      </c>
      <c r="O17" s="1455">
        <f t="shared" si="8"/>
        <v>0</v>
      </c>
      <c r="P17" s="1468">
        <f t="shared" si="5"/>
        <v>1147</v>
      </c>
      <c r="Q17" s="1469">
        <f t="shared" si="5"/>
        <v>561284.44999999995</v>
      </c>
      <c r="R17" s="1470">
        <v>550</v>
      </c>
      <c r="S17" s="1466">
        <f t="shared" si="6"/>
        <v>1520585</v>
      </c>
      <c r="T17" s="511">
        <v>1100</v>
      </c>
      <c r="U17" s="1466">
        <f t="shared" si="7"/>
        <v>3041170</v>
      </c>
      <c r="V17" s="564">
        <v>1650</v>
      </c>
      <c r="W17" s="1466">
        <f t="shared" si="9"/>
        <v>4561755</v>
      </c>
      <c r="X17" s="919">
        <f t="shared" si="10"/>
        <v>3300</v>
      </c>
      <c r="Y17" s="1455">
        <f t="shared" si="10"/>
        <v>9123510</v>
      </c>
      <c r="Z17" s="1456">
        <f t="shared" si="11"/>
        <v>9684794.4499999993</v>
      </c>
      <c r="AA17" s="116"/>
    </row>
    <row r="18" spans="1:28" s="118" customFormat="1" x14ac:dyDescent="0.25">
      <c r="A18" s="927">
        <v>5</v>
      </c>
      <c r="B18" s="354" t="s">
        <v>24</v>
      </c>
      <c r="C18" s="510" t="s">
        <v>25</v>
      </c>
      <c r="D18" s="459"/>
      <c r="E18" s="1459"/>
      <c r="F18" s="119"/>
      <c r="G18" s="1459"/>
      <c r="H18" s="119"/>
      <c r="I18" s="1459"/>
      <c r="J18" s="119"/>
      <c r="K18" s="1459"/>
      <c r="L18" s="120">
        <f t="shared" si="8"/>
        <v>0</v>
      </c>
      <c r="M18" s="1455">
        <f t="shared" si="8"/>
        <v>0</v>
      </c>
      <c r="N18" s="120">
        <f t="shared" si="8"/>
        <v>0</v>
      </c>
      <c r="O18" s="1455">
        <f t="shared" si="8"/>
        <v>0</v>
      </c>
      <c r="P18" s="1468">
        <f t="shared" si="5"/>
        <v>0</v>
      </c>
      <c r="Q18" s="1469">
        <f t="shared" si="5"/>
        <v>0</v>
      </c>
      <c r="R18" s="1470">
        <v>550</v>
      </c>
      <c r="S18" s="1466">
        <f t="shared" si="6"/>
        <v>1520585</v>
      </c>
      <c r="T18" s="511">
        <v>1100</v>
      </c>
      <c r="U18" s="1466">
        <f t="shared" si="7"/>
        <v>3041170</v>
      </c>
      <c r="V18" s="564">
        <v>1650</v>
      </c>
      <c r="W18" s="1466">
        <f t="shared" si="9"/>
        <v>4561755</v>
      </c>
      <c r="X18" s="919">
        <f t="shared" si="10"/>
        <v>3300</v>
      </c>
      <c r="Y18" s="1455">
        <f t="shared" si="10"/>
        <v>9123510</v>
      </c>
      <c r="Z18" s="1456">
        <f t="shared" si="11"/>
        <v>9123510</v>
      </c>
      <c r="AA18" s="116"/>
    </row>
    <row r="19" spans="1:28" s="118" customFormat="1" x14ac:dyDescent="0.25">
      <c r="A19" s="927">
        <v>6</v>
      </c>
      <c r="B19" s="355" t="s">
        <v>26</v>
      </c>
      <c r="C19" s="512" t="s">
        <v>27</v>
      </c>
      <c r="D19" s="459">
        <v>2106</v>
      </c>
      <c r="E19" s="1459">
        <f t="shared" si="12"/>
        <v>1030571.1</v>
      </c>
      <c r="F19" s="119">
        <f>528-107</f>
        <v>421</v>
      </c>
      <c r="G19" s="1459">
        <f t="shared" si="13"/>
        <v>1030123.85</v>
      </c>
      <c r="H19" s="119">
        <v>2106</v>
      </c>
      <c r="I19" s="1459">
        <f t="shared" si="14"/>
        <v>1030571.1</v>
      </c>
      <c r="J19" s="119">
        <f>527-393</f>
        <v>134</v>
      </c>
      <c r="K19" s="1459">
        <f t="shared" si="15"/>
        <v>327877.90000000002</v>
      </c>
      <c r="L19" s="120">
        <f t="shared" si="8"/>
        <v>4212</v>
      </c>
      <c r="M19" s="1455">
        <f t="shared" si="8"/>
        <v>2061142.2</v>
      </c>
      <c r="N19" s="120">
        <f t="shared" si="8"/>
        <v>555</v>
      </c>
      <c r="O19" s="1455">
        <f t="shared" si="8"/>
        <v>1358001.75</v>
      </c>
      <c r="P19" s="1468">
        <f t="shared" si="5"/>
        <v>4767</v>
      </c>
      <c r="Q19" s="1469">
        <f t="shared" si="5"/>
        <v>3419143.95</v>
      </c>
      <c r="R19" s="1470">
        <v>1430</v>
      </c>
      <c r="S19" s="1466">
        <f t="shared" si="6"/>
        <v>3953521</v>
      </c>
      <c r="T19" s="511">
        <f>2860-1187</f>
        <v>1673</v>
      </c>
      <c r="U19" s="1466">
        <f t="shared" si="7"/>
        <v>4625343.0999999996</v>
      </c>
      <c r="V19" s="564">
        <f>3465+825</f>
        <v>4290</v>
      </c>
      <c r="W19" s="1466">
        <f t="shared" si="9"/>
        <v>11860563</v>
      </c>
      <c r="X19" s="919">
        <f t="shared" si="10"/>
        <v>7393</v>
      </c>
      <c r="Y19" s="1455">
        <f t="shared" si="10"/>
        <v>20439427.100000001</v>
      </c>
      <c r="Z19" s="1456">
        <f t="shared" si="11"/>
        <v>23858571.050000001</v>
      </c>
      <c r="AA19" s="116"/>
    </row>
    <row r="20" spans="1:28" s="118" customFormat="1" x14ac:dyDescent="0.25">
      <c r="A20" s="927">
        <v>7</v>
      </c>
      <c r="B20" s="560" t="s">
        <v>28</v>
      </c>
      <c r="C20" s="513" t="s">
        <v>29</v>
      </c>
      <c r="D20" s="459">
        <v>1707</v>
      </c>
      <c r="E20" s="1459">
        <f t="shared" si="12"/>
        <v>835320.45</v>
      </c>
      <c r="F20" s="119">
        <v>249</v>
      </c>
      <c r="G20" s="1459">
        <f t="shared" si="13"/>
        <v>609265.65</v>
      </c>
      <c r="H20" s="119">
        <v>1707</v>
      </c>
      <c r="I20" s="1459">
        <f t="shared" si="14"/>
        <v>835320.45</v>
      </c>
      <c r="J20" s="119">
        <v>249</v>
      </c>
      <c r="K20" s="1459">
        <f t="shared" si="15"/>
        <v>609265.65</v>
      </c>
      <c r="L20" s="120">
        <f t="shared" si="8"/>
        <v>3414</v>
      </c>
      <c r="M20" s="1455">
        <f t="shared" si="8"/>
        <v>1670640.9</v>
      </c>
      <c r="N20" s="120">
        <f t="shared" si="8"/>
        <v>498</v>
      </c>
      <c r="O20" s="1455">
        <f t="shared" si="8"/>
        <v>1218531.3</v>
      </c>
      <c r="P20" s="1468">
        <f t="shared" si="5"/>
        <v>3912</v>
      </c>
      <c r="Q20" s="1469">
        <f t="shared" si="5"/>
        <v>2889172.2</v>
      </c>
      <c r="R20" s="1470">
        <v>550</v>
      </c>
      <c r="S20" s="1466">
        <f t="shared" si="6"/>
        <v>1520585</v>
      </c>
      <c r="T20" s="511">
        <v>1100</v>
      </c>
      <c r="U20" s="1466">
        <f t="shared" si="7"/>
        <v>3041170</v>
      </c>
      <c r="V20" s="564">
        <v>1650</v>
      </c>
      <c r="W20" s="1466">
        <f t="shared" si="9"/>
        <v>4561755</v>
      </c>
      <c r="X20" s="919">
        <f t="shared" si="10"/>
        <v>3300</v>
      </c>
      <c r="Y20" s="1455">
        <f t="shared" si="10"/>
        <v>9123510</v>
      </c>
      <c r="Z20" s="1456">
        <f t="shared" si="11"/>
        <v>12012682.199999999</v>
      </c>
      <c r="AA20" s="116"/>
    </row>
    <row r="21" spans="1:28" s="118" customFormat="1" x14ac:dyDescent="0.25">
      <c r="A21" s="927">
        <v>8</v>
      </c>
      <c r="B21" s="355" t="s">
        <v>30</v>
      </c>
      <c r="C21" s="512" t="s">
        <v>31</v>
      </c>
      <c r="D21" s="459"/>
      <c r="E21" s="1459"/>
      <c r="F21" s="119"/>
      <c r="G21" s="1459"/>
      <c r="H21" s="119"/>
      <c r="I21" s="1459"/>
      <c r="J21" s="119"/>
      <c r="K21" s="1459"/>
      <c r="L21" s="120">
        <f t="shared" si="8"/>
        <v>0</v>
      </c>
      <c r="M21" s="1455">
        <f t="shared" si="8"/>
        <v>0</v>
      </c>
      <c r="N21" s="120">
        <f t="shared" si="8"/>
        <v>0</v>
      </c>
      <c r="O21" s="1455">
        <f t="shared" si="8"/>
        <v>0</v>
      </c>
      <c r="P21" s="1468">
        <f t="shared" si="5"/>
        <v>0</v>
      </c>
      <c r="Q21" s="1469">
        <f t="shared" si="5"/>
        <v>0</v>
      </c>
      <c r="R21" s="1470">
        <v>550</v>
      </c>
      <c r="S21" s="1466">
        <f t="shared" si="6"/>
        <v>1520585</v>
      </c>
      <c r="T21" s="511">
        <v>1100</v>
      </c>
      <c r="U21" s="1466">
        <f t="shared" si="7"/>
        <v>3041170</v>
      </c>
      <c r="V21" s="564">
        <v>1650</v>
      </c>
      <c r="W21" s="1466">
        <f t="shared" si="9"/>
        <v>4561755</v>
      </c>
      <c r="X21" s="919">
        <f t="shared" si="10"/>
        <v>3300</v>
      </c>
      <c r="Y21" s="1455">
        <f t="shared" si="10"/>
        <v>9123510</v>
      </c>
      <c r="Z21" s="1456">
        <f t="shared" si="11"/>
        <v>9123510</v>
      </c>
      <c r="AA21" s="116"/>
    </row>
    <row r="22" spans="1:28" s="118" customFormat="1" x14ac:dyDescent="0.25">
      <c r="A22" s="927">
        <v>9</v>
      </c>
      <c r="B22" s="355" t="s">
        <v>32</v>
      </c>
      <c r="C22" s="512" t="s">
        <v>33</v>
      </c>
      <c r="D22" s="459">
        <v>627</v>
      </c>
      <c r="E22" s="1459">
        <f t="shared" si="12"/>
        <v>306822.45</v>
      </c>
      <c r="F22" s="119">
        <v>53</v>
      </c>
      <c r="G22" s="1459">
        <f t="shared" si="13"/>
        <v>129683.05</v>
      </c>
      <c r="H22" s="119">
        <v>626</v>
      </c>
      <c r="I22" s="1459">
        <f t="shared" si="14"/>
        <v>306333.09999999998</v>
      </c>
      <c r="J22" s="119">
        <v>53</v>
      </c>
      <c r="K22" s="1459">
        <f t="shared" si="15"/>
        <v>129683.05</v>
      </c>
      <c r="L22" s="120">
        <f t="shared" si="8"/>
        <v>1253</v>
      </c>
      <c r="M22" s="1455">
        <f t="shared" si="8"/>
        <v>613155.55000000005</v>
      </c>
      <c r="N22" s="120">
        <f t="shared" si="8"/>
        <v>106</v>
      </c>
      <c r="O22" s="1455">
        <f t="shared" si="8"/>
        <v>259366.1</v>
      </c>
      <c r="P22" s="1468">
        <f t="shared" si="5"/>
        <v>1359</v>
      </c>
      <c r="Q22" s="1455">
        <f t="shared" si="5"/>
        <v>872521.65</v>
      </c>
      <c r="R22" s="1471">
        <v>275</v>
      </c>
      <c r="S22" s="1466">
        <f t="shared" si="6"/>
        <v>760292.5</v>
      </c>
      <c r="T22" s="511">
        <v>550</v>
      </c>
      <c r="U22" s="1466">
        <f t="shared" si="7"/>
        <v>1520585</v>
      </c>
      <c r="V22" s="564">
        <v>825</v>
      </c>
      <c r="W22" s="1466">
        <f t="shared" si="9"/>
        <v>2280877.5</v>
      </c>
      <c r="X22" s="919">
        <f t="shared" si="10"/>
        <v>1650</v>
      </c>
      <c r="Y22" s="1455">
        <f t="shared" si="10"/>
        <v>4561755</v>
      </c>
      <c r="Z22" s="1456">
        <f t="shared" si="11"/>
        <v>5434276.6500000004</v>
      </c>
      <c r="AA22" s="116"/>
    </row>
    <row r="23" spans="1:28" s="118" customFormat="1" x14ac:dyDescent="0.25">
      <c r="A23" s="927">
        <v>10</v>
      </c>
      <c r="B23" s="355" t="s">
        <v>34</v>
      </c>
      <c r="C23" s="512" t="s">
        <v>35</v>
      </c>
      <c r="D23" s="459"/>
      <c r="E23" s="1459"/>
      <c r="F23" s="119"/>
      <c r="G23" s="1459"/>
      <c r="H23" s="119"/>
      <c r="I23" s="1459"/>
      <c r="J23" s="119"/>
      <c r="K23" s="1459"/>
      <c r="L23" s="120">
        <f t="shared" si="8"/>
        <v>0</v>
      </c>
      <c r="M23" s="1455">
        <f t="shared" si="8"/>
        <v>0</v>
      </c>
      <c r="N23" s="120">
        <f t="shared" si="8"/>
        <v>0</v>
      </c>
      <c r="O23" s="1455">
        <f t="shared" si="8"/>
        <v>0</v>
      </c>
      <c r="P23" s="1468">
        <f t="shared" si="5"/>
        <v>0</v>
      </c>
      <c r="Q23" s="1455">
        <f t="shared" si="5"/>
        <v>0</v>
      </c>
      <c r="R23" s="1471">
        <v>550</v>
      </c>
      <c r="S23" s="1466">
        <f t="shared" si="6"/>
        <v>1520585</v>
      </c>
      <c r="T23" s="511">
        <v>1100</v>
      </c>
      <c r="U23" s="1466">
        <f t="shared" si="7"/>
        <v>3041170</v>
      </c>
      <c r="V23" s="564">
        <v>1650</v>
      </c>
      <c r="W23" s="1466">
        <f t="shared" si="9"/>
        <v>4561755</v>
      </c>
      <c r="X23" s="919">
        <f t="shared" si="10"/>
        <v>3300</v>
      </c>
      <c r="Y23" s="1455">
        <f t="shared" si="10"/>
        <v>9123510</v>
      </c>
      <c r="Z23" s="1456">
        <f t="shared" si="11"/>
        <v>9123510</v>
      </c>
      <c r="AA23" s="116"/>
    </row>
    <row r="24" spans="1:28" s="118" customFormat="1" x14ac:dyDescent="0.25">
      <c r="A24" s="927">
        <v>11</v>
      </c>
      <c r="B24" s="355" t="s">
        <v>36</v>
      </c>
      <c r="C24" s="512" t="s">
        <v>37</v>
      </c>
      <c r="D24" s="459"/>
      <c r="E24" s="1459"/>
      <c r="F24" s="119"/>
      <c r="G24" s="1459"/>
      <c r="H24" s="119"/>
      <c r="I24" s="1459"/>
      <c r="J24" s="119"/>
      <c r="K24" s="1459"/>
      <c r="L24" s="120">
        <f t="shared" si="8"/>
        <v>0</v>
      </c>
      <c r="M24" s="1455">
        <f t="shared" si="8"/>
        <v>0</v>
      </c>
      <c r="N24" s="120">
        <f t="shared" si="8"/>
        <v>0</v>
      </c>
      <c r="O24" s="1455">
        <f t="shared" si="8"/>
        <v>0</v>
      </c>
      <c r="P24" s="1468">
        <f t="shared" si="5"/>
        <v>0</v>
      </c>
      <c r="Q24" s="1455">
        <f t="shared" si="5"/>
        <v>0</v>
      </c>
      <c r="R24" s="1471">
        <v>550</v>
      </c>
      <c r="S24" s="1466">
        <f t="shared" si="6"/>
        <v>1520585</v>
      </c>
      <c r="T24" s="511">
        <v>1100</v>
      </c>
      <c r="U24" s="1466">
        <f t="shared" si="7"/>
        <v>3041170</v>
      </c>
      <c r="V24" s="564">
        <v>1650</v>
      </c>
      <c r="W24" s="1466">
        <f t="shared" si="9"/>
        <v>4561755</v>
      </c>
      <c r="X24" s="919">
        <f t="shared" si="10"/>
        <v>3300</v>
      </c>
      <c r="Y24" s="1455">
        <f t="shared" si="10"/>
        <v>9123510</v>
      </c>
      <c r="Z24" s="1456">
        <f t="shared" si="11"/>
        <v>9123510</v>
      </c>
      <c r="AA24" s="116"/>
    </row>
    <row r="25" spans="1:28" s="118" customFormat="1" x14ac:dyDescent="0.25">
      <c r="A25" s="927">
        <v>12</v>
      </c>
      <c r="B25" s="355" t="s">
        <v>38</v>
      </c>
      <c r="C25" s="512" t="s">
        <v>39</v>
      </c>
      <c r="D25" s="459">
        <v>1074</v>
      </c>
      <c r="E25" s="1459">
        <f t="shared" si="12"/>
        <v>525561.9</v>
      </c>
      <c r="F25" s="119"/>
      <c r="G25" s="1459"/>
      <c r="H25" s="119">
        <v>1073</v>
      </c>
      <c r="I25" s="1459">
        <f t="shared" si="14"/>
        <v>525072.55000000005</v>
      </c>
      <c r="J25" s="119"/>
      <c r="K25" s="1459"/>
      <c r="L25" s="120">
        <f t="shared" si="8"/>
        <v>2147</v>
      </c>
      <c r="M25" s="1455">
        <f t="shared" si="8"/>
        <v>1050634.4500000002</v>
      </c>
      <c r="N25" s="120">
        <f t="shared" si="8"/>
        <v>0</v>
      </c>
      <c r="O25" s="1455">
        <f t="shared" si="8"/>
        <v>0</v>
      </c>
      <c r="P25" s="1468">
        <f t="shared" si="5"/>
        <v>2147</v>
      </c>
      <c r="Q25" s="1455">
        <f t="shared" si="5"/>
        <v>1050634.4500000002</v>
      </c>
      <c r="R25" s="1471">
        <v>550</v>
      </c>
      <c r="S25" s="1466">
        <f t="shared" si="6"/>
        <v>1520585</v>
      </c>
      <c r="T25" s="511">
        <v>1100</v>
      </c>
      <c r="U25" s="1466">
        <f t="shared" si="7"/>
        <v>3041170</v>
      </c>
      <c r="V25" s="564">
        <v>1650</v>
      </c>
      <c r="W25" s="1466">
        <f t="shared" si="9"/>
        <v>4561755</v>
      </c>
      <c r="X25" s="919">
        <f t="shared" si="10"/>
        <v>3300</v>
      </c>
      <c r="Y25" s="1455">
        <f t="shared" si="10"/>
        <v>9123510</v>
      </c>
      <c r="Z25" s="1456">
        <f t="shared" si="11"/>
        <v>10174144.449999999</v>
      </c>
      <c r="AA25" s="116"/>
    </row>
    <row r="26" spans="1:28" s="118" customFormat="1" x14ac:dyDescent="0.25">
      <c r="A26" s="927">
        <v>13</v>
      </c>
      <c r="B26" s="357" t="s">
        <v>40</v>
      </c>
      <c r="C26" s="514" t="s">
        <v>41</v>
      </c>
      <c r="D26" s="459"/>
      <c r="E26" s="1459"/>
      <c r="F26" s="119"/>
      <c r="G26" s="1459"/>
      <c r="H26" s="119"/>
      <c r="I26" s="1459"/>
      <c r="J26" s="119"/>
      <c r="K26" s="1459"/>
      <c r="L26" s="120">
        <f t="shared" si="8"/>
        <v>0</v>
      </c>
      <c r="M26" s="1455">
        <f t="shared" si="8"/>
        <v>0</v>
      </c>
      <c r="N26" s="120">
        <f t="shared" si="8"/>
        <v>0</v>
      </c>
      <c r="O26" s="1455">
        <f t="shared" si="8"/>
        <v>0</v>
      </c>
      <c r="P26" s="1468">
        <f t="shared" si="5"/>
        <v>0</v>
      </c>
      <c r="Q26" s="1455">
        <f t="shared" si="5"/>
        <v>0</v>
      </c>
      <c r="R26" s="1471"/>
      <c r="S26" s="1466"/>
      <c r="T26" s="511"/>
      <c r="U26" s="1466"/>
      <c r="V26" s="564"/>
      <c r="W26" s="1466"/>
      <c r="X26" s="919">
        <f t="shared" si="10"/>
        <v>0</v>
      </c>
      <c r="Y26" s="1455">
        <f t="shared" si="10"/>
        <v>0</v>
      </c>
      <c r="Z26" s="1456">
        <f t="shared" si="11"/>
        <v>0</v>
      </c>
      <c r="AA26" s="116"/>
    </row>
    <row r="27" spans="1:28" s="118" customFormat="1" x14ac:dyDescent="0.25">
      <c r="A27" s="927">
        <v>14</v>
      </c>
      <c r="B27" s="358" t="s">
        <v>42</v>
      </c>
      <c r="C27" s="515" t="s">
        <v>43</v>
      </c>
      <c r="D27" s="459"/>
      <c r="E27" s="1459"/>
      <c r="F27" s="119"/>
      <c r="G27" s="1459"/>
      <c r="H27" s="119"/>
      <c r="I27" s="1459"/>
      <c r="J27" s="119"/>
      <c r="K27" s="1459"/>
      <c r="L27" s="120">
        <f t="shared" si="8"/>
        <v>0</v>
      </c>
      <c r="M27" s="1455">
        <f t="shared" si="8"/>
        <v>0</v>
      </c>
      <c r="N27" s="120">
        <f t="shared" si="8"/>
        <v>0</v>
      </c>
      <c r="O27" s="1455">
        <f t="shared" si="8"/>
        <v>0</v>
      </c>
      <c r="P27" s="1468">
        <f t="shared" si="5"/>
        <v>0</v>
      </c>
      <c r="Q27" s="1455">
        <f t="shared" si="5"/>
        <v>0</v>
      </c>
      <c r="R27" s="1471"/>
      <c r="S27" s="1466"/>
      <c r="T27" s="511"/>
      <c r="U27" s="1466"/>
      <c r="V27" s="564"/>
      <c r="W27" s="1466"/>
      <c r="X27" s="919">
        <f t="shared" si="10"/>
        <v>0</v>
      </c>
      <c r="Y27" s="1455">
        <f t="shared" si="10"/>
        <v>0</v>
      </c>
      <c r="Z27" s="1456">
        <f t="shared" si="11"/>
        <v>0</v>
      </c>
      <c r="AA27" s="116"/>
    </row>
    <row r="28" spans="1:28" s="118" customFormat="1" x14ac:dyDescent="0.25">
      <c r="A28" s="927">
        <v>15</v>
      </c>
      <c r="B28" s="355" t="s">
        <v>44</v>
      </c>
      <c r="C28" s="512" t="s">
        <v>45</v>
      </c>
      <c r="D28" s="459"/>
      <c r="E28" s="1459"/>
      <c r="F28" s="119"/>
      <c r="G28" s="1459"/>
      <c r="H28" s="119"/>
      <c r="I28" s="1459"/>
      <c r="J28" s="119"/>
      <c r="K28" s="1459"/>
      <c r="L28" s="120">
        <f t="shared" si="8"/>
        <v>0</v>
      </c>
      <c r="M28" s="1455">
        <f t="shared" si="8"/>
        <v>0</v>
      </c>
      <c r="N28" s="120">
        <f t="shared" si="8"/>
        <v>0</v>
      </c>
      <c r="O28" s="1455">
        <f t="shared" si="8"/>
        <v>0</v>
      </c>
      <c r="P28" s="1468">
        <f t="shared" si="5"/>
        <v>0</v>
      </c>
      <c r="Q28" s="1455">
        <f t="shared" si="5"/>
        <v>0</v>
      </c>
      <c r="R28" s="1471">
        <v>550</v>
      </c>
      <c r="S28" s="1466">
        <f t="shared" ref="S28:S29" si="16">ROUND(R28*$S$9,2)</f>
        <v>1520585</v>
      </c>
      <c r="T28" s="511">
        <v>1100</v>
      </c>
      <c r="U28" s="1466">
        <f t="shared" si="7"/>
        <v>3041170</v>
      </c>
      <c r="V28" s="564">
        <v>1650</v>
      </c>
      <c r="W28" s="1466">
        <f t="shared" si="9"/>
        <v>4561755</v>
      </c>
      <c r="X28" s="919">
        <f t="shared" si="10"/>
        <v>3300</v>
      </c>
      <c r="Y28" s="1455">
        <f t="shared" si="10"/>
        <v>9123510</v>
      </c>
      <c r="Z28" s="1456">
        <f t="shared" si="11"/>
        <v>9123510</v>
      </c>
      <c r="AA28" s="116"/>
    </row>
    <row r="29" spans="1:28" s="118" customFormat="1" x14ac:dyDescent="0.25">
      <c r="A29" s="927">
        <v>16</v>
      </c>
      <c r="B29" s="355" t="s">
        <v>46</v>
      </c>
      <c r="C29" s="512" t="s">
        <v>47</v>
      </c>
      <c r="D29" s="459"/>
      <c r="E29" s="1459"/>
      <c r="F29" s="119"/>
      <c r="G29" s="1459"/>
      <c r="H29" s="119"/>
      <c r="I29" s="1459"/>
      <c r="J29" s="119"/>
      <c r="K29" s="1459"/>
      <c r="L29" s="120">
        <f t="shared" si="8"/>
        <v>0</v>
      </c>
      <c r="M29" s="1455">
        <f t="shared" si="8"/>
        <v>0</v>
      </c>
      <c r="N29" s="120">
        <f t="shared" si="8"/>
        <v>0</v>
      </c>
      <c r="O29" s="1455">
        <f t="shared" si="8"/>
        <v>0</v>
      </c>
      <c r="P29" s="1468">
        <f t="shared" si="5"/>
        <v>0</v>
      </c>
      <c r="Q29" s="1455">
        <f t="shared" si="5"/>
        <v>0</v>
      </c>
      <c r="R29" s="1471">
        <v>550</v>
      </c>
      <c r="S29" s="1466">
        <f t="shared" si="16"/>
        <v>1520585</v>
      </c>
      <c r="T29" s="511">
        <v>1100</v>
      </c>
      <c r="U29" s="1466">
        <f t="shared" si="7"/>
        <v>3041170</v>
      </c>
      <c r="V29" s="564">
        <v>1650</v>
      </c>
      <c r="W29" s="1466">
        <f t="shared" si="9"/>
        <v>4561755</v>
      </c>
      <c r="X29" s="919">
        <f t="shared" si="10"/>
        <v>3300</v>
      </c>
      <c r="Y29" s="1455">
        <f t="shared" si="10"/>
        <v>9123510</v>
      </c>
      <c r="Z29" s="1456">
        <f t="shared" si="11"/>
        <v>9123510</v>
      </c>
      <c r="AA29" s="116"/>
    </row>
    <row r="30" spans="1:28" s="118" customFormat="1" x14ac:dyDescent="0.25">
      <c r="A30" s="927">
        <v>17</v>
      </c>
      <c r="B30" s="355" t="s">
        <v>48</v>
      </c>
      <c r="C30" s="512" t="s">
        <v>49</v>
      </c>
      <c r="D30" s="459">
        <v>1083</v>
      </c>
      <c r="E30" s="1459">
        <f t="shared" si="12"/>
        <v>529966.05000000005</v>
      </c>
      <c r="F30" s="119">
        <v>172</v>
      </c>
      <c r="G30" s="1459">
        <f t="shared" si="13"/>
        <v>420858.2</v>
      </c>
      <c r="H30" s="119">
        <v>1083</v>
      </c>
      <c r="I30" s="1459">
        <f t="shared" si="14"/>
        <v>529966.05000000005</v>
      </c>
      <c r="J30" s="119">
        <v>172</v>
      </c>
      <c r="K30" s="1459">
        <f t="shared" si="15"/>
        <v>420858.2</v>
      </c>
      <c r="L30" s="120">
        <f t="shared" si="8"/>
        <v>2166</v>
      </c>
      <c r="M30" s="1455">
        <f t="shared" si="8"/>
        <v>1059932.1000000001</v>
      </c>
      <c r="N30" s="120">
        <f t="shared" si="8"/>
        <v>344</v>
      </c>
      <c r="O30" s="1455">
        <f t="shared" si="8"/>
        <v>841716.4</v>
      </c>
      <c r="P30" s="1468">
        <f t="shared" si="5"/>
        <v>2510</v>
      </c>
      <c r="Q30" s="1455">
        <f t="shared" si="5"/>
        <v>1901648.5</v>
      </c>
      <c r="R30" s="1471">
        <v>605</v>
      </c>
      <c r="S30" s="1466">
        <f t="shared" si="6"/>
        <v>1672643.5</v>
      </c>
      <c r="T30" s="511">
        <v>1100</v>
      </c>
      <c r="U30" s="1466">
        <f t="shared" si="7"/>
        <v>3041170</v>
      </c>
      <c r="V30" s="564">
        <v>1650</v>
      </c>
      <c r="W30" s="1466">
        <f t="shared" si="9"/>
        <v>4561755</v>
      </c>
      <c r="X30" s="919">
        <f t="shared" si="10"/>
        <v>3355</v>
      </c>
      <c r="Y30" s="1455">
        <f t="shared" si="10"/>
        <v>9275568.5</v>
      </c>
      <c r="Z30" s="1456">
        <f t="shared" si="11"/>
        <v>11177217</v>
      </c>
      <c r="AA30" s="116"/>
      <c r="AB30" s="1472"/>
    </row>
    <row r="31" spans="1:28" s="118" customFormat="1" x14ac:dyDescent="0.25">
      <c r="A31" s="927">
        <v>18</v>
      </c>
      <c r="B31" s="355" t="s">
        <v>50</v>
      </c>
      <c r="C31" s="512" t="s">
        <v>51</v>
      </c>
      <c r="D31" s="459">
        <v>2310</v>
      </c>
      <c r="E31" s="1459">
        <f t="shared" si="12"/>
        <v>1130398.5</v>
      </c>
      <c r="F31" s="119">
        <f>467-43</f>
        <v>424</v>
      </c>
      <c r="G31" s="1459">
        <f t="shared" si="13"/>
        <v>1037464.4</v>
      </c>
      <c r="H31" s="119">
        <v>2310</v>
      </c>
      <c r="I31" s="1459">
        <f t="shared" si="14"/>
        <v>1130398.5</v>
      </c>
      <c r="J31" s="119">
        <f>467-157</f>
        <v>310</v>
      </c>
      <c r="K31" s="1459">
        <f t="shared" si="15"/>
        <v>758523.5</v>
      </c>
      <c r="L31" s="120">
        <f t="shared" si="8"/>
        <v>4620</v>
      </c>
      <c r="M31" s="1455">
        <f t="shared" si="8"/>
        <v>2260797</v>
      </c>
      <c r="N31" s="120">
        <f t="shared" si="8"/>
        <v>734</v>
      </c>
      <c r="O31" s="1455">
        <f t="shared" si="8"/>
        <v>1795987.9</v>
      </c>
      <c r="P31" s="1468">
        <f t="shared" si="5"/>
        <v>5354</v>
      </c>
      <c r="Q31" s="1455">
        <f t="shared" si="5"/>
        <v>4056784.9</v>
      </c>
      <c r="R31" s="1471">
        <v>1155</v>
      </c>
      <c r="S31" s="1466">
        <f t="shared" si="6"/>
        <v>3193228.5</v>
      </c>
      <c r="T31" s="511">
        <v>2310</v>
      </c>
      <c r="U31" s="1466">
        <f t="shared" si="7"/>
        <v>6386457</v>
      </c>
      <c r="V31" s="564">
        <v>2640</v>
      </c>
      <c r="W31" s="1466">
        <f t="shared" si="9"/>
        <v>7298808</v>
      </c>
      <c r="X31" s="919">
        <f t="shared" si="10"/>
        <v>6105</v>
      </c>
      <c r="Y31" s="1455">
        <f t="shared" si="10"/>
        <v>16878493.5</v>
      </c>
      <c r="Z31" s="1456">
        <f t="shared" si="11"/>
        <v>20935278.399999999</v>
      </c>
      <c r="AA31" s="116"/>
    </row>
    <row r="32" spans="1:28" s="118" customFormat="1" x14ac:dyDescent="0.25">
      <c r="A32" s="927">
        <v>19</v>
      </c>
      <c r="B32" s="354" t="s">
        <v>52</v>
      </c>
      <c r="C32" s="510" t="s">
        <v>53</v>
      </c>
      <c r="D32" s="459">
        <v>701</v>
      </c>
      <c r="E32" s="1459">
        <f t="shared" si="12"/>
        <v>343034.35</v>
      </c>
      <c r="F32" s="119">
        <v>51</v>
      </c>
      <c r="G32" s="1459">
        <f t="shared" si="13"/>
        <v>124789.35</v>
      </c>
      <c r="H32" s="119">
        <v>701</v>
      </c>
      <c r="I32" s="1459">
        <f t="shared" si="14"/>
        <v>343034.35</v>
      </c>
      <c r="J32" s="119">
        <v>51</v>
      </c>
      <c r="K32" s="1459">
        <f t="shared" si="15"/>
        <v>124789.35</v>
      </c>
      <c r="L32" s="120">
        <f t="shared" si="8"/>
        <v>1402</v>
      </c>
      <c r="M32" s="1455">
        <f t="shared" si="8"/>
        <v>686068.7</v>
      </c>
      <c r="N32" s="120">
        <f t="shared" si="8"/>
        <v>102</v>
      </c>
      <c r="O32" s="1455">
        <f t="shared" si="8"/>
        <v>249578.7</v>
      </c>
      <c r="P32" s="1468">
        <f t="shared" si="5"/>
        <v>1504</v>
      </c>
      <c r="Q32" s="1455">
        <f t="shared" si="5"/>
        <v>935647.39999999991</v>
      </c>
      <c r="R32" s="1471">
        <v>275</v>
      </c>
      <c r="S32" s="1466">
        <f t="shared" si="6"/>
        <v>760292.5</v>
      </c>
      <c r="T32" s="511">
        <v>550</v>
      </c>
      <c r="U32" s="1466">
        <f t="shared" si="7"/>
        <v>1520585</v>
      </c>
      <c r="V32" s="564">
        <v>825</v>
      </c>
      <c r="W32" s="1466">
        <f t="shared" si="9"/>
        <v>2280877.5</v>
      </c>
      <c r="X32" s="919">
        <f t="shared" si="10"/>
        <v>1650</v>
      </c>
      <c r="Y32" s="1455">
        <f t="shared" si="10"/>
        <v>4561755</v>
      </c>
      <c r="Z32" s="1456">
        <f t="shared" si="11"/>
        <v>5497402.4000000004</v>
      </c>
      <c r="AA32" s="116"/>
    </row>
    <row r="33" spans="1:28" s="118" customFormat="1" x14ac:dyDescent="0.25">
      <c r="A33" s="927">
        <v>20</v>
      </c>
      <c r="B33" s="354" t="s">
        <v>54</v>
      </c>
      <c r="C33" s="510" t="s">
        <v>55</v>
      </c>
      <c r="D33" s="459">
        <v>680</v>
      </c>
      <c r="E33" s="1459">
        <f t="shared" si="12"/>
        <v>332758</v>
      </c>
      <c r="F33" s="119">
        <v>133</v>
      </c>
      <c r="G33" s="1459">
        <f t="shared" si="13"/>
        <v>325431.05</v>
      </c>
      <c r="H33" s="119">
        <v>679</v>
      </c>
      <c r="I33" s="1459">
        <f t="shared" si="14"/>
        <v>332268.65000000002</v>
      </c>
      <c r="J33" s="119">
        <v>132</v>
      </c>
      <c r="K33" s="1459">
        <f t="shared" si="15"/>
        <v>322984.2</v>
      </c>
      <c r="L33" s="120">
        <f t="shared" si="8"/>
        <v>1359</v>
      </c>
      <c r="M33" s="1455">
        <f t="shared" si="8"/>
        <v>665026.65</v>
      </c>
      <c r="N33" s="120">
        <f t="shared" si="8"/>
        <v>265</v>
      </c>
      <c r="O33" s="1455">
        <f t="shared" si="8"/>
        <v>648415.25</v>
      </c>
      <c r="P33" s="1468">
        <f t="shared" si="5"/>
        <v>1624</v>
      </c>
      <c r="Q33" s="1455">
        <f t="shared" si="5"/>
        <v>1313441.8999999999</v>
      </c>
      <c r="R33" s="1471">
        <v>550</v>
      </c>
      <c r="S33" s="1466">
        <f t="shared" si="6"/>
        <v>1520585</v>
      </c>
      <c r="T33" s="511">
        <v>1100</v>
      </c>
      <c r="U33" s="1466">
        <f t="shared" si="7"/>
        <v>3041170</v>
      </c>
      <c r="V33" s="564">
        <v>1650</v>
      </c>
      <c r="W33" s="1466">
        <f t="shared" si="9"/>
        <v>4561755</v>
      </c>
      <c r="X33" s="919">
        <f t="shared" si="10"/>
        <v>3300</v>
      </c>
      <c r="Y33" s="1455">
        <f t="shared" si="10"/>
        <v>9123510</v>
      </c>
      <c r="Z33" s="1456">
        <f t="shared" si="11"/>
        <v>10436951.9</v>
      </c>
      <c r="AA33" s="116"/>
    </row>
    <row r="34" spans="1:28" s="118" customFormat="1" x14ac:dyDescent="0.25">
      <c r="A34" s="927">
        <v>21</v>
      </c>
      <c r="B34" s="354" t="s">
        <v>56</v>
      </c>
      <c r="C34" s="510" t="s">
        <v>57</v>
      </c>
      <c r="D34" s="459">
        <v>1986</v>
      </c>
      <c r="E34" s="1459">
        <f t="shared" si="12"/>
        <v>971849.1</v>
      </c>
      <c r="F34" s="119">
        <v>214</v>
      </c>
      <c r="G34" s="1459">
        <f t="shared" si="13"/>
        <v>523625.9</v>
      </c>
      <c r="H34" s="119">
        <v>1985</v>
      </c>
      <c r="I34" s="1459">
        <f t="shared" si="14"/>
        <v>971359.75</v>
      </c>
      <c r="J34" s="119">
        <v>214</v>
      </c>
      <c r="K34" s="1459">
        <f t="shared" si="15"/>
        <v>523625.9</v>
      </c>
      <c r="L34" s="120">
        <f t="shared" si="8"/>
        <v>3971</v>
      </c>
      <c r="M34" s="1455">
        <f t="shared" si="8"/>
        <v>1943208.85</v>
      </c>
      <c r="N34" s="120">
        <f t="shared" si="8"/>
        <v>428</v>
      </c>
      <c r="O34" s="1455">
        <f t="shared" si="8"/>
        <v>1047251.8</v>
      </c>
      <c r="P34" s="1468">
        <f t="shared" si="5"/>
        <v>4399</v>
      </c>
      <c r="Q34" s="1455">
        <f t="shared" si="5"/>
        <v>2990460.6500000004</v>
      </c>
      <c r="R34" s="1471">
        <v>550</v>
      </c>
      <c r="S34" s="1466">
        <f t="shared" si="6"/>
        <v>1520585</v>
      </c>
      <c r="T34" s="511">
        <v>1100</v>
      </c>
      <c r="U34" s="1466">
        <f t="shared" si="7"/>
        <v>3041170</v>
      </c>
      <c r="V34" s="564">
        <v>1650</v>
      </c>
      <c r="W34" s="1466">
        <f t="shared" si="9"/>
        <v>4561755</v>
      </c>
      <c r="X34" s="919">
        <f t="shared" si="10"/>
        <v>3300</v>
      </c>
      <c r="Y34" s="1455">
        <f t="shared" si="10"/>
        <v>9123510</v>
      </c>
      <c r="Z34" s="1456">
        <f t="shared" si="11"/>
        <v>12113970.65</v>
      </c>
      <c r="AA34" s="116"/>
    </row>
    <row r="35" spans="1:28" s="118" customFormat="1" x14ac:dyDescent="0.25">
      <c r="A35" s="927">
        <v>22</v>
      </c>
      <c r="B35" s="354" t="s">
        <v>58</v>
      </c>
      <c r="C35" s="510" t="s">
        <v>59</v>
      </c>
      <c r="D35" s="459">
        <v>1771</v>
      </c>
      <c r="E35" s="1459">
        <f t="shared" si="12"/>
        <v>866638.85</v>
      </c>
      <c r="F35" s="119">
        <v>185</v>
      </c>
      <c r="G35" s="1459">
        <f t="shared" si="13"/>
        <v>452667.25</v>
      </c>
      <c r="H35" s="119">
        <v>1770</v>
      </c>
      <c r="I35" s="1459">
        <f t="shared" si="14"/>
        <v>866149.5</v>
      </c>
      <c r="J35" s="119">
        <v>185</v>
      </c>
      <c r="K35" s="1459">
        <f t="shared" si="15"/>
        <v>452667.25</v>
      </c>
      <c r="L35" s="120">
        <f t="shared" si="8"/>
        <v>3541</v>
      </c>
      <c r="M35" s="1455">
        <f t="shared" si="8"/>
        <v>1732788.35</v>
      </c>
      <c r="N35" s="120">
        <f t="shared" si="8"/>
        <v>370</v>
      </c>
      <c r="O35" s="1455">
        <f t="shared" si="8"/>
        <v>905334.5</v>
      </c>
      <c r="P35" s="1468">
        <f t="shared" si="5"/>
        <v>3911</v>
      </c>
      <c r="Q35" s="1455">
        <f t="shared" si="5"/>
        <v>2638122.85</v>
      </c>
      <c r="R35" s="1471">
        <v>880</v>
      </c>
      <c r="S35" s="1466">
        <f t="shared" si="6"/>
        <v>2432936</v>
      </c>
      <c r="T35" s="511">
        <v>1760</v>
      </c>
      <c r="U35" s="1466">
        <f t="shared" si="7"/>
        <v>4865872</v>
      </c>
      <c r="V35" s="564">
        <v>2640</v>
      </c>
      <c r="W35" s="1466">
        <f t="shared" si="9"/>
        <v>7298808</v>
      </c>
      <c r="X35" s="919">
        <f t="shared" si="10"/>
        <v>5280</v>
      </c>
      <c r="Y35" s="1455">
        <f t="shared" si="10"/>
        <v>14597616</v>
      </c>
      <c r="Z35" s="1456">
        <f t="shared" si="11"/>
        <v>17235738.850000001</v>
      </c>
      <c r="AA35" s="116"/>
    </row>
    <row r="36" spans="1:28" s="118" customFormat="1" x14ac:dyDescent="0.25">
      <c r="A36" s="927">
        <v>23</v>
      </c>
      <c r="B36" s="355" t="s">
        <v>60</v>
      </c>
      <c r="C36" s="512" t="s">
        <v>61</v>
      </c>
      <c r="D36" s="459"/>
      <c r="E36" s="1459"/>
      <c r="F36" s="119"/>
      <c r="G36" s="1459"/>
      <c r="H36" s="119"/>
      <c r="I36" s="1459"/>
      <c r="J36" s="119"/>
      <c r="K36" s="1459"/>
      <c r="L36" s="120">
        <f t="shared" si="8"/>
        <v>0</v>
      </c>
      <c r="M36" s="1455">
        <f t="shared" si="8"/>
        <v>0</v>
      </c>
      <c r="N36" s="120">
        <f t="shared" si="8"/>
        <v>0</v>
      </c>
      <c r="O36" s="1455">
        <f t="shared" si="8"/>
        <v>0</v>
      </c>
      <c r="P36" s="1468">
        <f t="shared" si="5"/>
        <v>0</v>
      </c>
      <c r="Q36" s="1455">
        <f t="shared" si="5"/>
        <v>0</v>
      </c>
      <c r="R36" s="1471"/>
      <c r="S36" s="1466"/>
      <c r="T36" s="511"/>
      <c r="U36" s="1466"/>
      <c r="V36" s="564"/>
      <c r="W36" s="1466"/>
      <c r="X36" s="919">
        <f t="shared" si="10"/>
        <v>0</v>
      </c>
      <c r="Y36" s="1455">
        <f t="shared" si="10"/>
        <v>0</v>
      </c>
      <c r="Z36" s="1456">
        <f t="shared" si="11"/>
        <v>0</v>
      </c>
      <c r="AA36" s="116"/>
    </row>
    <row r="37" spans="1:28" s="118" customFormat="1" x14ac:dyDescent="0.25">
      <c r="A37" s="927">
        <v>24</v>
      </c>
      <c r="B37" s="355" t="s">
        <v>62</v>
      </c>
      <c r="C37" s="512" t="s">
        <v>63</v>
      </c>
      <c r="D37" s="459"/>
      <c r="E37" s="1459"/>
      <c r="F37" s="119"/>
      <c r="G37" s="1459"/>
      <c r="H37" s="119"/>
      <c r="I37" s="1459"/>
      <c r="J37" s="119"/>
      <c r="K37" s="1459"/>
      <c r="L37" s="120">
        <f t="shared" si="8"/>
        <v>0</v>
      </c>
      <c r="M37" s="1455">
        <f t="shared" si="8"/>
        <v>0</v>
      </c>
      <c r="N37" s="120">
        <f t="shared" si="8"/>
        <v>0</v>
      </c>
      <c r="O37" s="1455">
        <f t="shared" si="8"/>
        <v>0</v>
      </c>
      <c r="P37" s="1468">
        <f t="shared" si="5"/>
        <v>0</v>
      </c>
      <c r="Q37" s="1455">
        <f t="shared" si="5"/>
        <v>0</v>
      </c>
      <c r="R37" s="1471"/>
      <c r="S37" s="1466"/>
      <c r="T37" s="511"/>
      <c r="U37" s="1466"/>
      <c r="V37" s="564"/>
      <c r="W37" s="1466"/>
      <c r="X37" s="919">
        <f t="shared" si="10"/>
        <v>0</v>
      </c>
      <c r="Y37" s="1455">
        <f t="shared" si="10"/>
        <v>0</v>
      </c>
      <c r="Z37" s="1456">
        <f t="shared" si="11"/>
        <v>0</v>
      </c>
      <c r="AA37" s="116"/>
    </row>
    <row r="38" spans="1:28" s="118" customFormat="1" ht="24" x14ac:dyDescent="0.25">
      <c r="A38" s="927">
        <v>25</v>
      </c>
      <c r="B38" s="355" t="s">
        <v>64</v>
      </c>
      <c r="C38" s="512" t="s">
        <v>65</v>
      </c>
      <c r="D38" s="459"/>
      <c r="E38" s="1459"/>
      <c r="F38" s="119"/>
      <c r="G38" s="1459"/>
      <c r="H38" s="119"/>
      <c r="I38" s="1459"/>
      <c r="J38" s="119"/>
      <c r="K38" s="1459"/>
      <c r="L38" s="120">
        <f t="shared" si="8"/>
        <v>0</v>
      </c>
      <c r="M38" s="1455">
        <f t="shared" si="8"/>
        <v>0</v>
      </c>
      <c r="N38" s="120">
        <f t="shared" si="8"/>
        <v>0</v>
      </c>
      <c r="O38" s="1455">
        <f t="shared" si="8"/>
        <v>0</v>
      </c>
      <c r="P38" s="1468">
        <f t="shared" si="5"/>
        <v>0</v>
      </c>
      <c r="Q38" s="1455">
        <f t="shared" si="5"/>
        <v>0</v>
      </c>
      <c r="R38" s="1471"/>
      <c r="S38" s="1466"/>
      <c r="T38" s="511"/>
      <c r="U38" s="1466"/>
      <c r="V38" s="564"/>
      <c r="W38" s="1466"/>
      <c r="X38" s="919">
        <f t="shared" si="10"/>
        <v>0</v>
      </c>
      <c r="Y38" s="1455">
        <f t="shared" si="10"/>
        <v>0</v>
      </c>
      <c r="Z38" s="1456">
        <f t="shared" si="11"/>
        <v>0</v>
      </c>
      <c r="AA38" s="116"/>
    </row>
    <row r="39" spans="1:28" s="118" customFormat="1" x14ac:dyDescent="0.25">
      <c r="A39" s="927">
        <v>26</v>
      </c>
      <c r="B39" s="354" t="s">
        <v>66</v>
      </c>
      <c r="C39" s="513" t="s">
        <v>67</v>
      </c>
      <c r="D39" s="459">
        <f>0+625+18</f>
        <v>643</v>
      </c>
      <c r="E39" s="1459">
        <f t="shared" si="12"/>
        <v>314652.05</v>
      </c>
      <c r="F39" s="119">
        <f>0+123-63</f>
        <v>60</v>
      </c>
      <c r="G39" s="1459">
        <f t="shared" si="13"/>
        <v>146811</v>
      </c>
      <c r="H39" s="119">
        <f>0+3747</f>
        <v>3747</v>
      </c>
      <c r="I39" s="1459">
        <f t="shared" si="14"/>
        <v>1833594.45</v>
      </c>
      <c r="J39" s="119">
        <f>0+454</f>
        <v>454</v>
      </c>
      <c r="K39" s="1459">
        <f t="shared" si="15"/>
        <v>1110869.8999999999</v>
      </c>
      <c r="L39" s="120">
        <f t="shared" si="8"/>
        <v>4390</v>
      </c>
      <c r="M39" s="1455">
        <f t="shared" si="8"/>
        <v>2148246.5</v>
      </c>
      <c r="N39" s="120">
        <f t="shared" si="8"/>
        <v>514</v>
      </c>
      <c r="O39" s="1455">
        <f t="shared" si="8"/>
        <v>1257680.8999999999</v>
      </c>
      <c r="P39" s="1468">
        <f t="shared" si="5"/>
        <v>4904</v>
      </c>
      <c r="Q39" s="1455">
        <f t="shared" si="5"/>
        <v>3405927.4</v>
      </c>
      <c r="R39" s="1471">
        <v>1650</v>
      </c>
      <c r="S39" s="1466">
        <f t="shared" ref="S39:S40" si="17">ROUND(R39*$S$9,2)</f>
        <v>4561755</v>
      </c>
      <c r="T39" s="511">
        <f>3300-725+275-387</f>
        <v>2463</v>
      </c>
      <c r="U39" s="1466">
        <f t="shared" ref="U39:U40" si="18">ROUND(T39*$U$9,2)</f>
        <v>6809456.0999999996</v>
      </c>
      <c r="V39" s="564">
        <f>4125-1650+1650-825</f>
        <v>3300</v>
      </c>
      <c r="W39" s="1466">
        <f t="shared" ref="W39:W40" si="19">ROUND(V39*$W$9,2)</f>
        <v>9123510</v>
      </c>
      <c r="X39" s="919">
        <f t="shared" si="10"/>
        <v>7413</v>
      </c>
      <c r="Y39" s="1455">
        <f t="shared" si="10"/>
        <v>20494721.100000001</v>
      </c>
      <c r="Z39" s="1456">
        <f t="shared" si="11"/>
        <v>23900648.5</v>
      </c>
      <c r="AA39" s="116"/>
    </row>
    <row r="40" spans="1:28" s="118" customFormat="1" x14ac:dyDescent="0.25">
      <c r="A40" s="927">
        <v>27</v>
      </c>
      <c r="B40" s="355" t="s">
        <v>68</v>
      </c>
      <c r="C40" s="512" t="s">
        <v>69</v>
      </c>
      <c r="D40" s="459">
        <f>3748-625-18</f>
        <v>3105</v>
      </c>
      <c r="E40" s="1459">
        <f t="shared" si="12"/>
        <v>1519431.75</v>
      </c>
      <c r="F40" s="119">
        <f>848-107-123+63</f>
        <v>681</v>
      </c>
      <c r="G40" s="1459">
        <f t="shared" si="13"/>
        <v>1666304.85</v>
      </c>
      <c r="H40" s="119">
        <f>3747-3747</f>
        <v>0</v>
      </c>
      <c r="I40" s="1459">
        <f t="shared" si="14"/>
        <v>0</v>
      </c>
      <c r="J40" s="119">
        <f>847-393-454</f>
        <v>0</v>
      </c>
      <c r="K40" s="1459">
        <f t="shared" si="15"/>
        <v>0</v>
      </c>
      <c r="L40" s="120">
        <f t="shared" si="8"/>
        <v>3105</v>
      </c>
      <c r="M40" s="1455">
        <f t="shared" si="8"/>
        <v>1519431.75</v>
      </c>
      <c r="N40" s="120">
        <f t="shared" si="8"/>
        <v>681</v>
      </c>
      <c r="O40" s="1455">
        <f t="shared" si="8"/>
        <v>1666304.85</v>
      </c>
      <c r="P40" s="1468">
        <f t="shared" si="5"/>
        <v>3786</v>
      </c>
      <c r="Q40" s="1455">
        <f t="shared" si="5"/>
        <v>3185736.6</v>
      </c>
      <c r="R40" s="1471">
        <v>550</v>
      </c>
      <c r="S40" s="1466">
        <f t="shared" si="17"/>
        <v>1520585</v>
      </c>
      <c r="T40" s="511">
        <f>1100-275+387</f>
        <v>1212</v>
      </c>
      <c r="U40" s="1466">
        <f t="shared" si="18"/>
        <v>3350816.4</v>
      </c>
      <c r="V40" s="564">
        <f>1650-1650</f>
        <v>0</v>
      </c>
      <c r="W40" s="1466">
        <f t="shared" si="19"/>
        <v>0</v>
      </c>
      <c r="X40" s="919">
        <f t="shared" si="10"/>
        <v>1762</v>
      </c>
      <c r="Y40" s="1455">
        <f t="shared" si="10"/>
        <v>4871401.4000000004</v>
      </c>
      <c r="Z40" s="1456">
        <f t="shared" si="11"/>
        <v>8057138</v>
      </c>
    </row>
    <row r="41" spans="1:28" s="118" customFormat="1" x14ac:dyDescent="0.25">
      <c r="A41" s="927">
        <v>28</v>
      </c>
      <c r="B41" s="355" t="s">
        <v>70</v>
      </c>
      <c r="C41" s="512" t="s">
        <v>71</v>
      </c>
      <c r="D41" s="459"/>
      <c r="E41" s="1459"/>
      <c r="F41" s="119"/>
      <c r="G41" s="1459"/>
      <c r="H41" s="119"/>
      <c r="I41" s="1459"/>
      <c r="J41" s="119"/>
      <c r="K41" s="1459"/>
      <c r="L41" s="120">
        <f t="shared" si="8"/>
        <v>0</v>
      </c>
      <c r="M41" s="1455">
        <f t="shared" si="8"/>
        <v>0</v>
      </c>
      <c r="N41" s="120">
        <f t="shared" si="8"/>
        <v>0</v>
      </c>
      <c r="O41" s="1455">
        <f t="shared" si="8"/>
        <v>0</v>
      </c>
      <c r="P41" s="1468">
        <f t="shared" si="5"/>
        <v>0</v>
      </c>
      <c r="Q41" s="1455">
        <f t="shared" si="5"/>
        <v>0</v>
      </c>
      <c r="R41" s="1471">
        <v>165</v>
      </c>
      <c r="S41" s="1466">
        <f t="shared" si="6"/>
        <v>456175.5</v>
      </c>
      <c r="T41" s="511">
        <v>110</v>
      </c>
      <c r="U41" s="1466">
        <f t="shared" si="7"/>
        <v>304117</v>
      </c>
      <c r="V41" s="564">
        <f>165+250</f>
        <v>415</v>
      </c>
      <c r="W41" s="1466">
        <f t="shared" si="9"/>
        <v>1147350.5</v>
      </c>
      <c r="X41" s="919">
        <f t="shared" si="10"/>
        <v>690</v>
      </c>
      <c r="Y41" s="1455">
        <f t="shared" si="10"/>
        <v>1907643</v>
      </c>
      <c r="Z41" s="1456">
        <f t="shared" si="11"/>
        <v>1907643</v>
      </c>
      <c r="AA41" s="116"/>
      <c r="AB41" s="1472"/>
    </row>
    <row r="42" spans="1:28" s="118" customFormat="1" x14ac:dyDescent="0.25">
      <c r="A42" s="927">
        <v>29</v>
      </c>
      <c r="B42" s="354" t="s">
        <v>72</v>
      </c>
      <c r="C42" s="510" t="s">
        <v>73</v>
      </c>
      <c r="D42" s="459"/>
      <c r="E42" s="1459"/>
      <c r="F42" s="119"/>
      <c r="G42" s="1459"/>
      <c r="H42" s="119"/>
      <c r="I42" s="1459"/>
      <c r="J42" s="119"/>
      <c r="K42" s="1459"/>
      <c r="L42" s="120">
        <f t="shared" si="8"/>
        <v>0</v>
      </c>
      <c r="M42" s="1455">
        <f t="shared" si="8"/>
        <v>0</v>
      </c>
      <c r="N42" s="120">
        <f t="shared" si="8"/>
        <v>0</v>
      </c>
      <c r="O42" s="1455">
        <f t="shared" si="8"/>
        <v>0</v>
      </c>
      <c r="P42" s="1468">
        <f t="shared" si="5"/>
        <v>0</v>
      </c>
      <c r="Q42" s="1455">
        <f t="shared" si="5"/>
        <v>0</v>
      </c>
      <c r="R42" s="1471"/>
      <c r="S42" s="1466"/>
      <c r="T42" s="511"/>
      <c r="U42" s="1466"/>
      <c r="V42" s="564"/>
      <c r="W42" s="1466"/>
      <c r="X42" s="919">
        <f t="shared" si="10"/>
        <v>0</v>
      </c>
      <c r="Y42" s="1455">
        <f t="shared" si="10"/>
        <v>0</v>
      </c>
      <c r="Z42" s="1456">
        <f t="shared" si="11"/>
        <v>0</v>
      </c>
      <c r="AA42" s="116"/>
    </row>
    <row r="43" spans="1:28" s="118" customFormat="1" ht="24" x14ac:dyDescent="0.25">
      <c r="A43" s="927">
        <v>30</v>
      </c>
      <c r="B43" s="354" t="s">
        <v>74</v>
      </c>
      <c r="C43" s="513" t="s">
        <v>377</v>
      </c>
      <c r="D43" s="459"/>
      <c r="E43" s="1459"/>
      <c r="F43" s="119"/>
      <c r="G43" s="1459"/>
      <c r="H43" s="119"/>
      <c r="I43" s="1459"/>
      <c r="J43" s="119"/>
      <c r="K43" s="1459"/>
      <c r="L43" s="120">
        <f t="shared" si="8"/>
        <v>0</v>
      </c>
      <c r="M43" s="1455">
        <f t="shared" si="8"/>
        <v>0</v>
      </c>
      <c r="N43" s="120">
        <f t="shared" si="8"/>
        <v>0</v>
      </c>
      <c r="O43" s="1455">
        <f t="shared" si="8"/>
        <v>0</v>
      </c>
      <c r="P43" s="1468">
        <f t="shared" si="5"/>
        <v>0</v>
      </c>
      <c r="Q43" s="1455">
        <f t="shared" si="5"/>
        <v>0</v>
      </c>
      <c r="R43" s="1471"/>
      <c r="S43" s="1466"/>
      <c r="T43" s="511"/>
      <c r="U43" s="1466"/>
      <c r="V43" s="564"/>
      <c r="W43" s="1466"/>
      <c r="X43" s="919">
        <f t="shared" si="10"/>
        <v>0</v>
      </c>
      <c r="Y43" s="1455">
        <f t="shared" si="10"/>
        <v>0</v>
      </c>
      <c r="Z43" s="1456">
        <f t="shared" si="11"/>
        <v>0</v>
      </c>
      <c r="AA43" s="116"/>
    </row>
    <row r="44" spans="1:28" s="118" customFormat="1" x14ac:dyDescent="0.25">
      <c r="A44" s="927">
        <v>31</v>
      </c>
      <c r="B44" s="354" t="s">
        <v>75</v>
      </c>
      <c r="C44" s="510" t="s">
        <v>76</v>
      </c>
      <c r="D44" s="459"/>
      <c r="E44" s="1459"/>
      <c r="F44" s="119"/>
      <c r="G44" s="1459"/>
      <c r="H44" s="119"/>
      <c r="I44" s="1459"/>
      <c r="J44" s="119"/>
      <c r="K44" s="1459"/>
      <c r="L44" s="120">
        <f t="shared" si="8"/>
        <v>0</v>
      </c>
      <c r="M44" s="1455">
        <f t="shared" si="8"/>
        <v>0</v>
      </c>
      <c r="N44" s="120">
        <f t="shared" si="8"/>
        <v>0</v>
      </c>
      <c r="O44" s="1455">
        <f t="shared" si="8"/>
        <v>0</v>
      </c>
      <c r="P44" s="1468">
        <f t="shared" si="5"/>
        <v>0</v>
      </c>
      <c r="Q44" s="1455">
        <f t="shared" si="5"/>
        <v>0</v>
      </c>
      <c r="R44" s="1471"/>
      <c r="S44" s="1466"/>
      <c r="T44" s="511"/>
      <c r="U44" s="1466"/>
      <c r="V44" s="564"/>
      <c r="W44" s="1466"/>
      <c r="X44" s="919">
        <f t="shared" si="10"/>
        <v>0</v>
      </c>
      <c r="Y44" s="1455">
        <f t="shared" si="10"/>
        <v>0</v>
      </c>
      <c r="Z44" s="1456">
        <f t="shared" si="11"/>
        <v>0</v>
      </c>
      <c r="AA44" s="116"/>
    </row>
    <row r="45" spans="1:28" s="118" customFormat="1" x14ac:dyDescent="0.25">
      <c r="A45" s="927">
        <v>32</v>
      </c>
      <c r="B45" s="355" t="s">
        <v>77</v>
      </c>
      <c r="C45" s="512" t="s">
        <v>78</v>
      </c>
      <c r="D45" s="459">
        <v>1876</v>
      </c>
      <c r="E45" s="1459">
        <f t="shared" si="12"/>
        <v>918020.6</v>
      </c>
      <c r="F45" s="119">
        <v>342</v>
      </c>
      <c r="G45" s="1459">
        <f t="shared" si="13"/>
        <v>836822.7</v>
      </c>
      <c r="H45" s="119">
        <v>1876</v>
      </c>
      <c r="I45" s="1459">
        <f t="shared" si="14"/>
        <v>918020.6</v>
      </c>
      <c r="J45" s="119">
        <v>342</v>
      </c>
      <c r="K45" s="1459">
        <f t="shared" si="15"/>
        <v>836822.7</v>
      </c>
      <c r="L45" s="120">
        <f t="shared" si="8"/>
        <v>3752</v>
      </c>
      <c r="M45" s="1455">
        <f t="shared" si="8"/>
        <v>1836041.2</v>
      </c>
      <c r="N45" s="120">
        <f t="shared" si="8"/>
        <v>684</v>
      </c>
      <c r="O45" s="1455">
        <f t="shared" si="8"/>
        <v>1673645.4</v>
      </c>
      <c r="P45" s="1468">
        <f t="shared" si="5"/>
        <v>4436</v>
      </c>
      <c r="Q45" s="1455">
        <f t="shared" si="5"/>
        <v>3509686.5999999996</v>
      </c>
      <c r="R45" s="1471">
        <v>880</v>
      </c>
      <c r="S45" s="1466">
        <f t="shared" si="6"/>
        <v>2432936</v>
      </c>
      <c r="T45" s="511">
        <v>1760</v>
      </c>
      <c r="U45" s="1466">
        <f t="shared" si="7"/>
        <v>4865872</v>
      </c>
      <c r="V45" s="564">
        <v>2640</v>
      </c>
      <c r="W45" s="1466">
        <f t="shared" si="9"/>
        <v>7298808</v>
      </c>
      <c r="X45" s="919">
        <f t="shared" si="10"/>
        <v>5280</v>
      </c>
      <c r="Y45" s="1455">
        <f t="shared" si="10"/>
        <v>14597616</v>
      </c>
      <c r="Z45" s="1456">
        <f t="shared" si="11"/>
        <v>18107302.600000001</v>
      </c>
      <c r="AA45" s="116"/>
    </row>
    <row r="46" spans="1:28" s="118" customFormat="1" x14ac:dyDescent="0.25">
      <c r="A46" s="927">
        <v>33</v>
      </c>
      <c r="B46" s="354" t="s">
        <v>79</v>
      </c>
      <c r="C46" s="510" t="s">
        <v>80</v>
      </c>
      <c r="D46" s="459">
        <v>1307</v>
      </c>
      <c r="E46" s="1459">
        <f t="shared" si="12"/>
        <v>639580.44999999995</v>
      </c>
      <c r="F46" s="119">
        <v>422</v>
      </c>
      <c r="G46" s="1459">
        <f t="shared" si="13"/>
        <v>1032570.7</v>
      </c>
      <c r="H46" s="119">
        <v>1307</v>
      </c>
      <c r="I46" s="1459">
        <f t="shared" si="14"/>
        <v>639580.44999999995</v>
      </c>
      <c r="J46" s="119">
        <v>421</v>
      </c>
      <c r="K46" s="1459">
        <f t="shared" si="15"/>
        <v>1030123.85</v>
      </c>
      <c r="L46" s="120">
        <f t="shared" si="8"/>
        <v>2614</v>
      </c>
      <c r="M46" s="1455">
        <f t="shared" si="8"/>
        <v>1279160.8999999999</v>
      </c>
      <c r="N46" s="120">
        <f t="shared" si="8"/>
        <v>843</v>
      </c>
      <c r="O46" s="1455">
        <f t="shared" si="8"/>
        <v>2062694.5499999998</v>
      </c>
      <c r="P46" s="1468">
        <f t="shared" ref="P46:Q77" si="20">L46+N46</f>
        <v>3457</v>
      </c>
      <c r="Q46" s="1455">
        <f t="shared" si="20"/>
        <v>3341855.4499999997</v>
      </c>
      <c r="R46" s="1471">
        <v>1155</v>
      </c>
      <c r="S46" s="1466">
        <f t="shared" si="6"/>
        <v>3193228.5</v>
      </c>
      <c r="T46" s="511">
        <v>2200</v>
      </c>
      <c r="U46" s="1466">
        <f t="shared" si="7"/>
        <v>6082340</v>
      </c>
      <c r="V46" s="564">
        <f>3300-825</f>
        <v>2475</v>
      </c>
      <c r="W46" s="1466">
        <f t="shared" si="9"/>
        <v>6842632.5</v>
      </c>
      <c r="X46" s="919">
        <f t="shared" si="10"/>
        <v>5830</v>
      </c>
      <c r="Y46" s="1455">
        <f t="shared" si="10"/>
        <v>16118201</v>
      </c>
      <c r="Z46" s="1456">
        <f t="shared" si="11"/>
        <v>19460056.449999999</v>
      </c>
      <c r="AA46" s="116"/>
      <c r="AB46" s="1472"/>
    </row>
    <row r="47" spans="1:28" s="118" customFormat="1" x14ac:dyDescent="0.25">
      <c r="A47" s="927">
        <v>34</v>
      </c>
      <c r="B47" s="560" t="s">
        <v>81</v>
      </c>
      <c r="C47" s="513" t="s">
        <v>82</v>
      </c>
      <c r="D47" s="459">
        <v>823</v>
      </c>
      <c r="E47" s="1459">
        <f t="shared" si="12"/>
        <v>402735.05</v>
      </c>
      <c r="F47" s="119">
        <v>78</v>
      </c>
      <c r="G47" s="1459">
        <f t="shared" si="13"/>
        <v>190854.3</v>
      </c>
      <c r="H47" s="119">
        <v>823</v>
      </c>
      <c r="I47" s="1459">
        <f t="shared" si="14"/>
        <v>402735.05</v>
      </c>
      <c r="J47" s="119">
        <v>77</v>
      </c>
      <c r="K47" s="1459">
        <f t="shared" si="15"/>
        <v>188407.45</v>
      </c>
      <c r="L47" s="120">
        <f t="shared" ref="L47:O78" si="21">D47+H47</f>
        <v>1646</v>
      </c>
      <c r="M47" s="1455">
        <f t="shared" si="21"/>
        <v>805470.1</v>
      </c>
      <c r="N47" s="120">
        <f t="shared" si="21"/>
        <v>155</v>
      </c>
      <c r="O47" s="1455">
        <f t="shared" si="21"/>
        <v>379261.75</v>
      </c>
      <c r="P47" s="1468">
        <f t="shared" si="20"/>
        <v>1801</v>
      </c>
      <c r="Q47" s="1455">
        <f t="shared" si="20"/>
        <v>1184731.8500000001</v>
      </c>
      <c r="R47" s="1471">
        <v>550</v>
      </c>
      <c r="S47" s="1466">
        <f t="shared" si="6"/>
        <v>1520585</v>
      </c>
      <c r="T47" s="511">
        <v>1100</v>
      </c>
      <c r="U47" s="1466">
        <f t="shared" si="7"/>
        <v>3041170</v>
      </c>
      <c r="V47" s="564">
        <v>1650</v>
      </c>
      <c r="W47" s="1466">
        <f t="shared" si="9"/>
        <v>4561755</v>
      </c>
      <c r="X47" s="919">
        <f t="shared" si="10"/>
        <v>3300</v>
      </c>
      <c r="Y47" s="1455">
        <f t="shared" si="10"/>
        <v>9123510</v>
      </c>
      <c r="Z47" s="1456">
        <f t="shared" si="11"/>
        <v>10308241.85</v>
      </c>
      <c r="AA47" s="116"/>
    </row>
    <row r="48" spans="1:28" s="118" customFormat="1" x14ac:dyDescent="0.25">
      <c r="A48" s="927">
        <v>35</v>
      </c>
      <c r="B48" s="354" t="s">
        <v>83</v>
      </c>
      <c r="C48" s="510" t="s">
        <v>84</v>
      </c>
      <c r="D48" s="459">
        <v>1379</v>
      </c>
      <c r="E48" s="1459">
        <f t="shared" si="12"/>
        <v>674813.65</v>
      </c>
      <c r="F48" s="119">
        <v>256</v>
      </c>
      <c r="G48" s="1459">
        <f t="shared" si="13"/>
        <v>626393.59999999998</v>
      </c>
      <c r="H48" s="119">
        <v>1379</v>
      </c>
      <c r="I48" s="1459">
        <f t="shared" si="14"/>
        <v>674813.65</v>
      </c>
      <c r="J48" s="119">
        <v>256</v>
      </c>
      <c r="K48" s="1459">
        <f t="shared" si="15"/>
        <v>626393.59999999998</v>
      </c>
      <c r="L48" s="120">
        <f t="shared" si="21"/>
        <v>2758</v>
      </c>
      <c r="M48" s="1455">
        <f t="shared" si="21"/>
        <v>1349627.3</v>
      </c>
      <c r="N48" s="120">
        <f t="shared" si="21"/>
        <v>512</v>
      </c>
      <c r="O48" s="1455">
        <f t="shared" si="21"/>
        <v>1252787.2</v>
      </c>
      <c r="P48" s="1468">
        <f t="shared" si="20"/>
        <v>3270</v>
      </c>
      <c r="Q48" s="1455">
        <f t="shared" si="20"/>
        <v>2602414.5</v>
      </c>
      <c r="R48" s="1471">
        <v>825</v>
      </c>
      <c r="S48" s="1466">
        <f t="shared" si="6"/>
        <v>2280877.5</v>
      </c>
      <c r="T48" s="511">
        <v>1650</v>
      </c>
      <c r="U48" s="1466">
        <f t="shared" si="7"/>
        <v>4561755</v>
      </c>
      <c r="V48" s="564">
        <v>2475</v>
      </c>
      <c r="W48" s="1466">
        <f t="shared" si="9"/>
        <v>6842632.5</v>
      </c>
      <c r="X48" s="919">
        <f t="shared" si="10"/>
        <v>4950</v>
      </c>
      <c r="Y48" s="1455">
        <f t="shared" si="10"/>
        <v>13685265</v>
      </c>
      <c r="Z48" s="1456">
        <f t="shared" si="11"/>
        <v>16287679.5</v>
      </c>
      <c r="AA48" s="116"/>
    </row>
    <row r="49" spans="1:27" s="118" customFormat="1" x14ac:dyDescent="0.25">
      <c r="A49" s="927">
        <v>36</v>
      </c>
      <c r="B49" s="354" t="s">
        <v>85</v>
      </c>
      <c r="C49" s="510" t="s">
        <v>86</v>
      </c>
      <c r="D49" s="459"/>
      <c r="E49" s="1459"/>
      <c r="F49" s="119"/>
      <c r="G49" s="1459"/>
      <c r="H49" s="119"/>
      <c r="I49" s="1459"/>
      <c r="J49" s="119"/>
      <c r="K49" s="1459"/>
      <c r="L49" s="120">
        <f t="shared" si="21"/>
        <v>0</v>
      </c>
      <c r="M49" s="1455">
        <f t="shared" si="21"/>
        <v>0</v>
      </c>
      <c r="N49" s="120">
        <f t="shared" si="21"/>
        <v>0</v>
      </c>
      <c r="O49" s="1455">
        <f t="shared" si="21"/>
        <v>0</v>
      </c>
      <c r="P49" s="1468">
        <f t="shared" si="20"/>
        <v>0</v>
      </c>
      <c r="Q49" s="1455">
        <f t="shared" si="20"/>
        <v>0</v>
      </c>
      <c r="R49" s="1471">
        <v>550</v>
      </c>
      <c r="S49" s="1466">
        <f t="shared" si="6"/>
        <v>1520585</v>
      </c>
      <c r="T49" s="511">
        <v>1100</v>
      </c>
      <c r="U49" s="1466">
        <f t="shared" si="7"/>
        <v>3041170</v>
      </c>
      <c r="V49" s="564">
        <v>1650</v>
      </c>
      <c r="W49" s="1466">
        <f t="shared" si="9"/>
        <v>4561755</v>
      </c>
      <c r="X49" s="919">
        <f t="shared" si="10"/>
        <v>3300</v>
      </c>
      <c r="Y49" s="1455">
        <f t="shared" si="10"/>
        <v>9123510</v>
      </c>
      <c r="Z49" s="1456">
        <f t="shared" si="11"/>
        <v>9123510</v>
      </c>
      <c r="AA49" s="116"/>
    </row>
    <row r="50" spans="1:27" s="118" customFormat="1" x14ac:dyDescent="0.25">
      <c r="A50" s="927">
        <v>37</v>
      </c>
      <c r="B50" s="355" t="s">
        <v>87</v>
      </c>
      <c r="C50" s="512" t="s">
        <v>88</v>
      </c>
      <c r="D50" s="459">
        <v>1617</v>
      </c>
      <c r="E50" s="1459">
        <f t="shared" si="12"/>
        <v>791278.95</v>
      </c>
      <c r="F50" s="119">
        <v>296</v>
      </c>
      <c r="G50" s="1459">
        <f t="shared" si="13"/>
        <v>724267.6</v>
      </c>
      <c r="H50" s="119">
        <v>1617</v>
      </c>
      <c r="I50" s="1459">
        <f t="shared" si="14"/>
        <v>791278.95</v>
      </c>
      <c r="J50" s="119">
        <v>295</v>
      </c>
      <c r="K50" s="1459">
        <f t="shared" si="15"/>
        <v>721820.75</v>
      </c>
      <c r="L50" s="120">
        <f t="shared" si="21"/>
        <v>3234</v>
      </c>
      <c r="M50" s="1455">
        <f t="shared" si="21"/>
        <v>1582557.9</v>
      </c>
      <c r="N50" s="120">
        <f t="shared" si="21"/>
        <v>591</v>
      </c>
      <c r="O50" s="1455">
        <f t="shared" si="21"/>
        <v>1446088.35</v>
      </c>
      <c r="P50" s="1468">
        <f t="shared" si="20"/>
        <v>3825</v>
      </c>
      <c r="Q50" s="1455">
        <f t="shared" si="20"/>
        <v>3028646.25</v>
      </c>
      <c r="R50" s="1471">
        <v>825</v>
      </c>
      <c r="S50" s="1466">
        <f t="shared" si="6"/>
        <v>2280877.5</v>
      </c>
      <c r="T50" s="511">
        <v>1650</v>
      </c>
      <c r="U50" s="1466">
        <f t="shared" si="7"/>
        <v>4561755</v>
      </c>
      <c r="V50" s="564">
        <f>2475-825</f>
        <v>1650</v>
      </c>
      <c r="W50" s="1466">
        <f t="shared" si="9"/>
        <v>4561755</v>
      </c>
      <c r="X50" s="919">
        <f t="shared" si="10"/>
        <v>4125</v>
      </c>
      <c r="Y50" s="1455">
        <f t="shared" si="10"/>
        <v>11404387.5</v>
      </c>
      <c r="Z50" s="1456">
        <f t="shared" si="11"/>
        <v>14433033.75</v>
      </c>
      <c r="AA50" s="116"/>
    </row>
    <row r="51" spans="1:27" s="118" customFormat="1" x14ac:dyDescent="0.25">
      <c r="A51" s="927">
        <v>38</v>
      </c>
      <c r="B51" s="354" t="s">
        <v>89</v>
      </c>
      <c r="C51" s="510" t="s">
        <v>90</v>
      </c>
      <c r="D51" s="459"/>
      <c r="E51" s="1459"/>
      <c r="F51" s="119"/>
      <c r="G51" s="1459"/>
      <c r="H51" s="119"/>
      <c r="I51" s="1459"/>
      <c r="J51" s="119"/>
      <c r="K51" s="1459"/>
      <c r="L51" s="120">
        <f t="shared" si="21"/>
        <v>0</v>
      </c>
      <c r="M51" s="1455">
        <f t="shared" si="21"/>
        <v>0</v>
      </c>
      <c r="N51" s="120">
        <f t="shared" si="21"/>
        <v>0</v>
      </c>
      <c r="O51" s="1455">
        <f t="shared" si="21"/>
        <v>0</v>
      </c>
      <c r="P51" s="1468">
        <f t="shared" si="20"/>
        <v>0</v>
      </c>
      <c r="Q51" s="1455">
        <f t="shared" si="20"/>
        <v>0</v>
      </c>
      <c r="R51" s="1471">
        <v>550</v>
      </c>
      <c r="S51" s="1466">
        <f t="shared" si="6"/>
        <v>1520585</v>
      </c>
      <c r="T51" s="511">
        <v>1100</v>
      </c>
      <c r="U51" s="1466">
        <f t="shared" si="7"/>
        <v>3041170</v>
      </c>
      <c r="V51" s="564">
        <v>1650</v>
      </c>
      <c r="W51" s="1466">
        <f t="shared" si="9"/>
        <v>4561755</v>
      </c>
      <c r="X51" s="919">
        <f t="shared" si="10"/>
        <v>3300</v>
      </c>
      <c r="Y51" s="1455">
        <f t="shared" si="10"/>
        <v>9123510</v>
      </c>
      <c r="Z51" s="1456">
        <f t="shared" si="11"/>
        <v>9123510</v>
      </c>
      <c r="AA51" s="116"/>
    </row>
    <row r="52" spans="1:27" s="118" customFormat="1" x14ac:dyDescent="0.25">
      <c r="A52" s="927">
        <v>39</v>
      </c>
      <c r="B52" s="354" t="s">
        <v>91</v>
      </c>
      <c r="C52" s="510" t="s">
        <v>92</v>
      </c>
      <c r="D52" s="459">
        <v>727</v>
      </c>
      <c r="E52" s="1459">
        <f t="shared" si="12"/>
        <v>355757.45</v>
      </c>
      <c r="F52" s="119">
        <v>45</v>
      </c>
      <c r="G52" s="1459">
        <f t="shared" si="13"/>
        <v>110108.25</v>
      </c>
      <c r="H52" s="119">
        <v>726</v>
      </c>
      <c r="I52" s="1459">
        <f t="shared" si="14"/>
        <v>355268.1</v>
      </c>
      <c r="J52" s="119">
        <v>45</v>
      </c>
      <c r="K52" s="1459">
        <f t="shared" si="15"/>
        <v>110108.25</v>
      </c>
      <c r="L52" s="120">
        <f t="shared" si="21"/>
        <v>1453</v>
      </c>
      <c r="M52" s="1455">
        <f t="shared" si="21"/>
        <v>711025.55</v>
      </c>
      <c r="N52" s="120">
        <f t="shared" si="21"/>
        <v>90</v>
      </c>
      <c r="O52" s="1455">
        <f t="shared" si="21"/>
        <v>220216.5</v>
      </c>
      <c r="P52" s="1468">
        <f t="shared" si="20"/>
        <v>1543</v>
      </c>
      <c r="Q52" s="1455">
        <f t="shared" si="20"/>
        <v>931242.05</v>
      </c>
      <c r="R52" s="1471">
        <v>550</v>
      </c>
      <c r="S52" s="1466">
        <f t="shared" si="6"/>
        <v>1520585</v>
      </c>
      <c r="T52" s="511">
        <v>1100</v>
      </c>
      <c r="U52" s="1466">
        <f t="shared" si="7"/>
        <v>3041170</v>
      </c>
      <c r="V52" s="564">
        <v>1650</v>
      </c>
      <c r="W52" s="1466">
        <f t="shared" si="9"/>
        <v>4561755</v>
      </c>
      <c r="X52" s="919">
        <f t="shared" si="10"/>
        <v>3300</v>
      </c>
      <c r="Y52" s="1455">
        <f t="shared" si="10"/>
        <v>9123510</v>
      </c>
      <c r="Z52" s="1456">
        <f t="shared" si="11"/>
        <v>10054752.050000001</v>
      </c>
      <c r="AA52" s="116"/>
    </row>
    <row r="53" spans="1:27" s="118" customFormat="1" x14ac:dyDescent="0.25">
      <c r="A53" s="927">
        <v>40</v>
      </c>
      <c r="B53" s="115" t="s">
        <v>93</v>
      </c>
      <c r="C53" s="516" t="s">
        <v>94</v>
      </c>
      <c r="D53" s="459"/>
      <c r="E53" s="1459"/>
      <c r="F53" s="119"/>
      <c r="G53" s="1459"/>
      <c r="H53" s="119"/>
      <c r="I53" s="1459"/>
      <c r="J53" s="119"/>
      <c r="K53" s="1459"/>
      <c r="L53" s="120">
        <f t="shared" si="21"/>
        <v>0</v>
      </c>
      <c r="M53" s="1455">
        <f t="shared" si="21"/>
        <v>0</v>
      </c>
      <c r="N53" s="120">
        <f t="shared" si="21"/>
        <v>0</v>
      </c>
      <c r="O53" s="1455">
        <f t="shared" si="21"/>
        <v>0</v>
      </c>
      <c r="P53" s="1468">
        <f t="shared" si="20"/>
        <v>0</v>
      </c>
      <c r="Q53" s="1455">
        <f t="shared" si="20"/>
        <v>0</v>
      </c>
      <c r="R53" s="1471">
        <v>550</v>
      </c>
      <c r="S53" s="1466">
        <f t="shared" si="6"/>
        <v>1520585</v>
      </c>
      <c r="T53" s="511">
        <v>1100</v>
      </c>
      <c r="U53" s="1466">
        <f t="shared" si="7"/>
        <v>3041170</v>
      </c>
      <c r="V53" s="564">
        <v>1650</v>
      </c>
      <c r="W53" s="1466">
        <f t="shared" si="9"/>
        <v>4561755</v>
      </c>
      <c r="X53" s="919">
        <f t="shared" si="10"/>
        <v>3300</v>
      </c>
      <c r="Y53" s="1455">
        <f t="shared" si="10"/>
        <v>9123510</v>
      </c>
      <c r="Z53" s="1456">
        <f t="shared" si="11"/>
        <v>9123510</v>
      </c>
      <c r="AA53" s="116"/>
    </row>
    <row r="54" spans="1:27" s="118" customFormat="1" x14ac:dyDescent="0.25">
      <c r="A54" s="927">
        <v>41</v>
      </c>
      <c r="B54" s="354" t="s">
        <v>95</v>
      </c>
      <c r="C54" s="510" t="s">
        <v>96</v>
      </c>
      <c r="D54" s="459"/>
      <c r="E54" s="1459"/>
      <c r="F54" s="119"/>
      <c r="G54" s="1459"/>
      <c r="H54" s="119"/>
      <c r="I54" s="1459"/>
      <c r="J54" s="119"/>
      <c r="K54" s="1459"/>
      <c r="L54" s="120">
        <f t="shared" si="21"/>
        <v>0</v>
      </c>
      <c r="M54" s="1455">
        <f t="shared" si="21"/>
        <v>0</v>
      </c>
      <c r="N54" s="120">
        <f t="shared" si="21"/>
        <v>0</v>
      </c>
      <c r="O54" s="1455">
        <f t="shared" si="21"/>
        <v>0</v>
      </c>
      <c r="P54" s="1468">
        <f t="shared" si="20"/>
        <v>0</v>
      </c>
      <c r="Q54" s="1455">
        <f t="shared" si="20"/>
        <v>0</v>
      </c>
      <c r="R54" s="1471">
        <v>550</v>
      </c>
      <c r="S54" s="1466">
        <f t="shared" si="6"/>
        <v>1520585</v>
      </c>
      <c r="T54" s="511">
        <v>1100</v>
      </c>
      <c r="U54" s="1466">
        <f t="shared" si="7"/>
        <v>3041170</v>
      </c>
      <c r="V54" s="564">
        <v>1650</v>
      </c>
      <c r="W54" s="1466">
        <f t="shared" si="9"/>
        <v>4561755</v>
      </c>
      <c r="X54" s="919">
        <f t="shared" si="10"/>
        <v>3300</v>
      </c>
      <c r="Y54" s="1455">
        <f t="shared" si="10"/>
        <v>9123510</v>
      </c>
      <c r="Z54" s="1456">
        <f t="shared" si="11"/>
        <v>9123510</v>
      </c>
      <c r="AA54" s="116"/>
    </row>
    <row r="55" spans="1:27" s="118" customFormat="1" x14ac:dyDescent="0.25">
      <c r="A55" s="927">
        <v>42</v>
      </c>
      <c r="B55" s="560" t="s">
        <v>97</v>
      </c>
      <c r="C55" s="513" t="s">
        <v>98</v>
      </c>
      <c r="D55" s="459"/>
      <c r="E55" s="1459"/>
      <c r="F55" s="119"/>
      <c r="G55" s="1459"/>
      <c r="H55" s="119"/>
      <c r="I55" s="1459"/>
      <c r="J55" s="119"/>
      <c r="K55" s="1459"/>
      <c r="L55" s="120">
        <f t="shared" si="21"/>
        <v>0</v>
      </c>
      <c r="M55" s="1455">
        <f t="shared" si="21"/>
        <v>0</v>
      </c>
      <c r="N55" s="120">
        <f t="shared" si="21"/>
        <v>0</v>
      </c>
      <c r="O55" s="1455">
        <f t="shared" si="21"/>
        <v>0</v>
      </c>
      <c r="P55" s="1468">
        <f t="shared" si="20"/>
        <v>0</v>
      </c>
      <c r="Q55" s="1455">
        <f t="shared" si="20"/>
        <v>0</v>
      </c>
      <c r="R55" s="1471"/>
      <c r="S55" s="1466"/>
      <c r="T55" s="511"/>
      <c r="U55" s="1466"/>
      <c r="V55" s="564"/>
      <c r="W55" s="1466"/>
      <c r="X55" s="919">
        <f t="shared" si="10"/>
        <v>0</v>
      </c>
      <c r="Y55" s="1455">
        <f t="shared" si="10"/>
        <v>0</v>
      </c>
      <c r="Z55" s="1456">
        <f t="shared" si="11"/>
        <v>0</v>
      </c>
      <c r="AA55" s="116"/>
    </row>
    <row r="56" spans="1:27" s="118" customFormat="1" x14ac:dyDescent="0.25">
      <c r="A56" s="927">
        <v>43</v>
      </c>
      <c r="B56" s="355" t="s">
        <v>99</v>
      </c>
      <c r="C56" s="512" t="s">
        <v>100</v>
      </c>
      <c r="D56" s="459">
        <v>2118</v>
      </c>
      <c r="E56" s="1459">
        <f t="shared" si="12"/>
        <v>1036443.3</v>
      </c>
      <c r="F56" s="119">
        <v>353</v>
      </c>
      <c r="G56" s="1459">
        <f t="shared" si="13"/>
        <v>863738.05</v>
      </c>
      <c r="H56" s="119">
        <v>2117</v>
      </c>
      <c r="I56" s="1459">
        <f t="shared" si="14"/>
        <v>1035953.95</v>
      </c>
      <c r="J56" s="119">
        <v>352</v>
      </c>
      <c r="K56" s="1459">
        <f t="shared" si="15"/>
        <v>861291.2</v>
      </c>
      <c r="L56" s="120">
        <f t="shared" si="21"/>
        <v>4235</v>
      </c>
      <c r="M56" s="1455">
        <f t="shared" si="21"/>
        <v>2072397.25</v>
      </c>
      <c r="N56" s="120">
        <f t="shared" si="21"/>
        <v>705</v>
      </c>
      <c r="O56" s="1455">
        <f t="shared" si="21"/>
        <v>1725029.25</v>
      </c>
      <c r="P56" s="1468">
        <f t="shared" si="20"/>
        <v>4940</v>
      </c>
      <c r="Q56" s="1455">
        <f t="shared" si="20"/>
        <v>3797426.5</v>
      </c>
      <c r="R56" s="1471">
        <v>880</v>
      </c>
      <c r="S56" s="1466">
        <f t="shared" si="6"/>
        <v>2432936</v>
      </c>
      <c r="T56" s="511">
        <v>1760</v>
      </c>
      <c r="U56" s="1466">
        <f t="shared" si="7"/>
        <v>4865872</v>
      </c>
      <c r="V56" s="564">
        <v>2640</v>
      </c>
      <c r="W56" s="1466">
        <f t="shared" si="9"/>
        <v>7298808</v>
      </c>
      <c r="X56" s="919">
        <f t="shared" si="10"/>
        <v>5280</v>
      </c>
      <c r="Y56" s="1455">
        <f t="shared" si="10"/>
        <v>14597616</v>
      </c>
      <c r="Z56" s="1456">
        <f t="shared" si="11"/>
        <v>18395042.5</v>
      </c>
      <c r="AA56" s="116"/>
    </row>
    <row r="57" spans="1:27" s="118" customFormat="1" x14ac:dyDescent="0.25">
      <c r="A57" s="927">
        <v>44</v>
      </c>
      <c r="B57" s="354" t="s">
        <v>101</v>
      </c>
      <c r="C57" s="510" t="s">
        <v>102</v>
      </c>
      <c r="D57" s="459">
        <v>874</v>
      </c>
      <c r="E57" s="1459">
        <f t="shared" si="12"/>
        <v>427691.9</v>
      </c>
      <c r="F57" s="119">
        <v>144</v>
      </c>
      <c r="G57" s="1459">
        <f t="shared" si="13"/>
        <v>352346.4</v>
      </c>
      <c r="H57" s="119">
        <v>873</v>
      </c>
      <c r="I57" s="1459">
        <f t="shared" si="14"/>
        <v>427202.55</v>
      </c>
      <c r="J57" s="119">
        <v>144</v>
      </c>
      <c r="K57" s="1459">
        <f t="shared" si="15"/>
        <v>352346.4</v>
      </c>
      <c r="L57" s="120">
        <f t="shared" si="21"/>
        <v>1747</v>
      </c>
      <c r="M57" s="1455">
        <f t="shared" si="21"/>
        <v>854894.45</v>
      </c>
      <c r="N57" s="120">
        <f t="shared" si="21"/>
        <v>288</v>
      </c>
      <c r="O57" s="1455">
        <f t="shared" si="21"/>
        <v>704692.8</v>
      </c>
      <c r="P57" s="1468">
        <f t="shared" si="20"/>
        <v>2035</v>
      </c>
      <c r="Q57" s="1455">
        <f t="shared" si="20"/>
        <v>1559587.25</v>
      </c>
      <c r="R57" s="1471">
        <v>550</v>
      </c>
      <c r="S57" s="1466">
        <f t="shared" si="6"/>
        <v>1520585</v>
      </c>
      <c r="T57" s="511">
        <v>1100</v>
      </c>
      <c r="U57" s="1466">
        <f t="shared" si="7"/>
        <v>3041170</v>
      </c>
      <c r="V57" s="564">
        <v>1650</v>
      </c>
      <c r="W57" s="1466">
        <f t="shared" si="9"/>
        <v>4561755</v>
      </c>
      <c r="X57" s="919">
        <f t="shared" si="10"/>
        <v>3300</v>
      </c>
      <c r="Y57" s="1455">
        <f t="shared" si="10"/>
        <v>9123510</v>
      </c>
      <c r="Z57" s="1456">
        <f t="shared" si="11"/>
        <v>10683097.25</v>
      </c>
      <c r="AA57" s="116"/>
    </row>
    <row r="58" spans="1:27" s="118" customFormat="1" x14ac:dyDescent="0.25">
      <c r="A58" s="927">
        <v>45</v>
      </c>
      <c r="B58" s="355" t="s">
        <v>103</v>
      </c>
      <c r="C58" s="512" t="s">
        <v>104</v>
      </c>
      <c r="D58" s="459">
        <v>2385</v>
      </c>
      <c r="E58" s="1459">
        <f t="shared" si="12"/>
        <v>1167099.75</v>
      </c>
      <c r="F58" s="119">
        <v>339</v>
      </c>
      <c r="G58" s="1459">
        <f t="shared" si="13"/>
        <v>829482.15</v>
      </c>
      <c r="H58" s="119">
        <v>2384</v>
      </c>
      <c r="I58" s="1459">
        <f t="shared" si="14"/>
        <v>1166610.3999999999</v>
      </c>
      <c r="J58" s="119">
        <v>339</v>
      </c>
      <c r="K58" s="1459">
        <f t="shared" si="15"/>
        <v>829482.15</v>
      </c>
      <c r="L58" s="120">
        <f t="shared" si="21"/>
        <v>4769</v>
      </c>
      <c r="M58" s="1455">
        <f t="shared" si="21"/>
        <v>2333710.15</v>
      </c>
      <c r="N58" s="120">
        <f t="shared" si="21"/>
        <v>678</v>
      </c>
      <c r="O58" s="1455">
        <f t="shared" si="21"/>
        <v>1658964.3</v>
      </c>
      <c r="P58" s="1468">
        <f t="shared" si="20"/>
        <v>5447</v>
      </c>
      <c r="Q58" s="1455">
        <f t="shared" si="20"/>
        <v>3992674.45</v>
      </c>
      <c r="R58" s="1471">
        <v>1100</v>
      </c>
      <c r="S58" s="1466">
        <f t="shared" si="6"/>
        <v>3041170</v>
      </c>
      <c r="T58" s="511">
        <v>2200</v>
      </c>
      <c r="U58" s="1466">
        <f t="shared" si="7"/>
        <v>6082340</v>
      </c>
      <c r="V58" s="564">
        <v>3300</v>
      </c>
      <c r="W58" s="1466">
        <f t="shared" si="9"/>
        <v>9123510</v>
      </c>
      <c r="X58" s="919">
        <f t="shared" si="10"/>
        <v>6600</v>
      </c>
      <c r="Y58" s="1455">
        <f t="shared" si="10"/>
        <v>18247020</v>
      </c>
      <c r="Z58" s="1456">
        <f t="shared" si="11"/>
        <v>22239694.449999999</v>
      </c>
      <c r="AA58" s="116"/>
    </row>
    <row r="59" spans="1:27" s="118" customFormat="1" x14ac:dyDescent="0.25">
      <c r="A59" s="927">
        <v>46</v>
      </c>
      <c r="B59" s="354" t="s">
        <v>105</v>
      </c>
      <c r="C59" s="510" t="s">
        <v>106</v>
      </c>
      <c r="D59" s="459"/>
      <c r="E59" s="1459"/>
      <c r="F59" s="119"/>
      <c r="G59" s="1459"/>
      <c r="H59" s="119"/>
      <c r="I59" s="1459"/>
      <c r="J59" s="119"/>
      <c r="K59" s="1459"/>
      <c r="L59" s="120">
        <f t="shared" si="21"/>
        <v>0</v>
      </c>
      <c r="M59" s="1455">
        <f t="shared" si="21"/>
        <v>0</v>
      </c>
      <c r="N59" s="120">
        <f t="shared" si="21"/>
        <v>0</v>
      </c>
      <c r="O59" s="1455">
        <f t="shared" si="21"/>
        <v>0</v>
      </c>
      <c r="P59" s="1468">
        <f t="shared" si="20"/>
        <v>0</v>
      </c>
      <c r="Q59" s="1455">
        <f t="shared" si="20"/>
        <v>0</v>
      </c>
      <c r="R59" s="1471">
        <v>550</v>
      </c>
      <c r="S59" s="1466">
        <f t="shared" si="6"/>
        <v>1520585</v>
      </c>
      <c r="T59" s="511">
        <v>1100</v>
      </c>
      <c r="U59" s="1466">
        <f t="shared" si="7"/>
        <v>3041170</v>
      </c>
      <c r="V59" s="564">
        <v>1650</v>
      </c>
      <c r="W59" s="1466">
        <f t="shared" si="9"/>
        <v>4561755</v>
      </c>
      <c r="X59" s="919">
        <f t="shared" si="10"/>
        <v>3300</v>
      </c>
      <c r="Y59" s="1455">
        <f t="shared" si="10"/>
        <v>9123510</v>
      </c>
      <c r="Z59" s="1456">
        <f t="shared" si="11"/>
        <v>9123510</v>
      </c>
      <c r="AA59" s="116"/>
    </row>
    <row r="60" spans="1:27" s="118" customFormat="1" x14ac:dyDescent="0.25">
      <c r="A60" s="927">
        <v>47</v>
      </c>
      <c r="B60" s="354" t="s">
        <v>107</v>
      </c>
      <c r="C60" s="510" t="s">
        <v>108</v>
      </c>
      <c r="D60" s="459"/>
      <c r="E60" s="1459"/>
      <c r="F60" s="119"/>
      <c r="G60" s="1459"/>
      <c r="H60" s="119"/>
      <c r="I60" s="1459"/>
      <c r="J60" s="119"/>
      <c r="K60" s="1459"/>
      <c r="L60" s="120">
        <f t="shared" si="21"/>
        <v>0</v>
      </c>
      <c r="M60" s="1455">
        <f t="shared" si="21"/>
        <v>0</v>
      </c>
      <c r="N60" s="120">
        <f t="shared" si="21"/>
        <v>0</v>
      </c>
      <c r="O60" s="1455">
        <f t="shared" si="21"/>
        <v>0</v>
      </c>
      <c r="P60" s="1468">
        <f t="shared" si="20"/>
        <v>0</v>
      </c>
      <c r="Q60" s="1455">
        <f t="shared" si="20"/>
        <v>0</v>
      </c>
      <c r="R60" s="1471">
        <v>550</v>
      </c>
      <c r="S60" s="1466">
        <f t="shared" si="6"/>
        <v>1520585</v>
      </c>
      <c r="T60" s="511">
        <v>1100</v>
      </c>
      <c r="U60" s="1466">
        <f t="shared" si="7"/>
        <v>3041170</v>
      </c>
      <c r="V60" s="564">
        <v>1650</v>
      </c>
      <c r="W60" s="1466">
        <f t="shared" si="9"/>
        <v>4561755</v>
      </c>
      <c r="X60" s="919">
        <f t="shared" si="10"/>
        <v>3300</v>
      </c>
      <c r="Y60" s="1455">
        <f t="shared" si="10"/>
        <v>9123510</v>
      </c>
      <c r="Z60" s="1456">
        <f t="shared" si="11"/>
        <v>9123510</v>
      </c>
      <c r="AA60" s="116"/>
    </row>
    <row r="61" spans="1:27" s="118" customFormat="1" x14ac:dyDescent="0.25">
      <c r="A61" s="927">
        <v>48</v>
      </c>
      <c r="B61" s="355" t="s">
        <v>109</v>
      </c>
      <c r="C61" s="512" t="s">
        <v>110</v>
      </c>
      <c r="D61" s="459">
        <v>930</v>
      </c>
      <c r="E61" s="1459">
        <f t="shared" si="12"/>
        <v>455095.5</v>
      </c>
      <c r="F61" s="119">
        <v>236</v>
      </c>
      <c r="G61" s="1459">
        <f t="shared" si="13"/>
        <v>577456.6</v>
      </c>
      <c r="H61" s="119">
        <v>929</v>
      </c>
      <c r="I61" s="1459">
        <f t="shared" si="14"/>
        <v>454606.15</v>
      </c>
      <c r="J61" s="119">
        <v>236</v>
      </c>
      <c r="K61" s="1459">
        <f t="shared" si="15"/>
        <v>577456.6</v>
      </c>
      <c r="L61" s="120">
        <f t="shared" si="21"/>
        <v>1859</v>
      </c>
      <c r="M61" s="1455">
        <f t="shared" si="21"/>
        <v>909701.65</v>
      </c>
      <c r="N61" s="120">
        <f t="shared" si="21"/>
        <v>472</v>
      </c>
      <c r="O61" s="1455">
        <f t="shared" si="21"/>
        <v>1154913.2</v>
      </c>
      <c r="P61" s="1468">
        <f t="shared" si="20"/>
        <v>2331</v>
      </c>
      <c r="Q61" s="1455">
        <f t="shared" si="20"/>
        <v>2064614.85</v>
      </c>
      <c r="R61" s="1471">
        <v>550</v>
      </c>
      <c r="S61" s="1466">
        <f t="shared" si="6"/>
        <v>1520585</v>
      </c>
      <c r="T61" s="511">
        <v>1100</v>
      </c>
      <c r="U61" s="1466">
        <f t="shared" si="7"/>
        <v>3041170</v>
      </c>
      <c r="V61" s="564">
        <v>1650</v>
      </c>
      <c r="W61" s="1466">
        <f t="shared" si="9"/>
        <v>4561755</v>
      </c>
      <c r="X61" s="919">
        <f t="shared" si="10"/>
        <v>3300</v>
      </c>
      <c r="Y61" s="1455">
        <f t="shared" si="10"/>
        <v>9123510</v>
      </c>
      <c r="Z61" s="1456">
        <f t="shared" si="11"/>
        <v>11188124.85</v>
      </c>
      <c r="AA61" s="116"/>
    </row>
    <row r="62" spans="1:27" s="118" customFormat="1" x14ac:dyDescent="0.25">
      <c r="A62" s="927">
        <v>49</v>
      </c>
      <c r="B62" s="355" t="s">
        <v>111</v>
      </c>
      <c r="C62" s="512" t="s">
        <v>112</v>
      </c>
      <c r="D62" s="459">
        <v>574</v>
      </c>
      <c r="E62" s="1459">
        <f t="shared" si="12"/>
        <v>280886.90000000002</v>
      </c>
      <c r="F62" s="119"/>
      <c r="G62" s="1459"/>
      <c r="H62" s="119">
        <v>573</v>
      </c>
      <c r="I62" s="1459">
        <f t="shared" si="14"/>
        <v>280397.55</v>
      </c>
      <c r="J62" s="119"/>
      <c r="K62" s="1459"/>
      <c r="L62" s="120">
        <f t="shared" si="21"/>
        <v>1147</v>
      </c>
      <c r="M62" s="1455">
        <f t="shared" si="21"/>
        <v>561284.44999999995</v>
      </c>
      <c r="N62" s="120">
        <f t="shared" si="21"/>
        <v>0</v>
      </c>
      <c r="O62" s="1455">
        <f t="shared" si="21"/>
        <v>0</v>
      </c>
      <c r="P62" s="1468">
        <f t="shared" si="20"/>
        <v>1147</v>
      </c>
      <c r="Q62" s="1455">
        <f t="shared" si="20"/>
        <v>561284.44999999995</v>
      </c>
      <c r="R62" s="1471">
        <v>550</v>
      </c>
      <c r="S62" s="1466">
        <f t="shared" si="6"/>
        <v>1520585</v>
      </c>
      <c r="T62" s="511">
        <v>1100</v>
      </c>
      <c r="U62" s="1466">
        <f t="shared" si="7"/>
        <v>3041170</v>
      </c>
      <c r="V62" s="564">
        <v>1650</v>
      </c>
      <c r="W62" s="1466">
        <f t="shared" si="9"/>
        <v>4561755</v>
      </c>
      <c r="X62" s="919">
        <f t="shared" si="10"/>
        <v>3300</v>
      </c>
      <c r="Y62" s="1455">
        <f t="shared" si="10"/>
        <v>9123510</v>
      </c>
      <c r="Z62" s="1456">
        <f t="shared" si="11"/>
        <v>9684794.4499999993</v>
      </c>
      <c r="AA62" s="116"/>
    </row>
    <row r="63" spans="1:27" s="118" customFormat="1" x14ac:dyDescent="0.25">
      <c r="A63" s="927">
        <v>50</v>
      </c>
      <c r="B63" s="354" t="s">
        <v>113</v>
      </c>
      <c r="C63" s="510" t="s">
        <v>114</v>
      </c>
      <c r="D63" s="459">
        <v>910</v>
      </c>
      <c r="E63" s="1459">
        <f t="shared" si="12"/>
        <v>445308.5</v>
      </c>
      <c r="F63" s="119">
        <v>61</v>
      </c>
      <c r="G63" s="1459">
        <f t="shared" si="13"/>
        <v>149257.85</v>
      </c>
      <c r="H63" s="119">
        <v>909</v>
      </c>
      <c r="I63" s="1459">
        <f t="shared" si="14"/>
        <v>444819.15</v>
      </c>
      <c r="J63" s="119">
        <v>60</v>
      </c>
      <c r="K63" s="1459">
        <f t="shared" si="15"/>
        <v>146811</v>
      </c>
      <c r="L63" s="120">
        <f t="shared" si="21"/>
        <v>1819</v>
      </c>
      <c r="M63" s="1455">
        <f t="shared" si="21"/>
        <v>890127.65</v>
      </c>
      <c r="N63" s="120">
        <f t="shared" si="21"/>
        <v>121</v>
      </c>
      <c r="O63" s="1455">
        <f t="shared" si="21"/>
        <v>296068.84999999998</v>
      </c>
      <c r="P63" s="1468">
        <f t="shared" si="20"/>
        <v>1940</v>
      </c>
      <c r="Q63" s="1455">
        <f t="shared" si="20"/>
        <v>1186196.5</v>
      </c>
      <c r="R63" s="1471">
        <v>550</v>
      </c>
      <c r="S63" s="1466">
        <f t="shared" si="6"/>
        <v>1520585</v>
      </c>
      <c r="T63" s="511">
        <v>1100</v>
      </c>
      <c r="U63" s="1466">
        <f t="shared" si="7"/>
        <v>3041170</v>
      </c>
      <c r="V63" s="564">
        <v>1650</v>
      </c>
      <c r="W63" s="1466">
        <f t="shared" si="9"/>
        <v>4561755</v>
      </c>
      <c r="X63" s="919">
        <f t="shared" si="10"/>
        <v>3300</v>
      </c>
      <c r="Y63" s="1455">
        <f t="shared" si="10"/>
        <v>9123510</v>
      </c>
      <c r="Z63" s="1456">
        <f t="shared" si="11"/>
        <v>10309706.5</v>
      </c>
      <c r="AA63" s="116"/>
    </row>
    <row r="64" spans="1:27" s="118" customFormat="1" x14ac:dyDescent="0.25">
      <c r="A64" s="927">
        <v>51</v>
      </c>
      <c r="B64" s="355" t="s">
        <v>115</v>
      </c>
      <c r="C64" s="512" t="s">
        <v>116</v>
      </c>
      <c r="D64" s="459">
        <v>975</v>
      </c>
      <c r="E64" s="1459">
        <f t="shared" si="12"/>
        <v>477116.25</v>
      </c>
      <c r="F64" s="119"/>
      <c r="G64" s="1459"/>
      <c r="H64" s="119">
        <v>975</v>
      </c>
      <c r="I64" s="1459">
        <f t="shared" si="14"/>
        <v>477116.25</v>
      </c>
      <c r="J64" s="119"/>
      <c r="K64" s="1459"/>
      <c r="L64" s="120">
        <f t="shared" si="21"/>
        <v>1950</v>
      </c>
      <c r="M64" s="1455">
        <f t="shared" si="21"/>
        <v>954232.5</v>
      </c>
      <c r="N64" s="120">
        <f t="shared" si="21"/>
        <v>0</v>
      </c>
      <c r="O64" s="1455">
        <f t="shared" si="21"/>
        <v>0</v>
      </c>
      <c r="P64" s="1468">
        <f t="shared" si="20"/>
        <v>1950</v>
      </c>
      <c r="Q64" s="1455">
        <f t="shared" si="20"/>
        <v>954232.5</v>
      </c>
      <c r="R64" s="1471">
        <v>550</v>
      </c>
      <c r="S64" s="1466">
        <f t="shared" si="6"/>
        <v>1520585</v>
      </c>
      <c r="T64" s="511">
        <v>1100</v>
      </c>
      <c r="U64" s="1466">
        <f t="shared" si="7"/>
        <v>3041170</v>
      </c>
      <c r="V64" s="564">
        <v>1650</v>
      </c>
      <c r="W64" s="1466">
        <f t="shared" si="9"/>
        <v>4561755</v>
      </c>
      <c r="X64" s="919">
        <f t="shared" si="10"/>
        <v>3300</v>
      </c>
      <c r="Y64" s="1455">
        <f t="shared" si="10"/>
        <v>9123510</v>
      </c>
      <c r="Z64" s="1456">
        <f t="shared" si="11"/>
        <v>10077742.5</v>
      </c>
      <c r="AA64" s="116"/>
    </row>
    <row r="65" spans="1:27" s="118" customFormat="1" x14ac:dyDescent="0.25">
      <c r="A65" s="927">
        <v>52</v>
      </c>
      <c r="B65" s="354" t="s">
        <v>117</v>
      </c>
      <c r="C65" s="510" t="s">
        <v>118</v>
      </c>
      <c r="D65" s="459">
        <v>1687</v>
      </c>
      <c r="E65" s="1459">
        <f t="shared" si="12"/>
        <v>825533.45</v>
      </c>
      <c r="F65" s="119">
        <f>450-43</f>
        <v>407</v>
      </c>
      <c r="G65" s="1459">
        <f t="shared" si="13"/>
        <v>995867.95</v>
      </c>
      <c r="H65" s="119">
        <v>1686</v>
      </c>
      <c r="I65" s="1459">
        <f t="shared" si="14"/>
        <v>825044.1</v>
      </c>
      <c r="J65" s="119">
        <f>450-157</f>
        <v>293</v>
      </c>
      <c r="K65" s="1459">
        <f t="shared" si="15"/>
        <v>716927.05</v>
      </c>
      <c r="L65" s="120">
        <f t="shared" si="21"/>
        <v>3373</v>
      </c>
      <c r="M65" s="1455">
        <f t="shared" si="21"/>
        <v>1650577.5499999998</v>
      </c>
      <c r="N65" s="120">
        <f t="shared" si="21"/>
        <v>700</v>
      </c>
      <c r="O65" s="1455">
        <f t="shared" si="21"/>
        <v>1712795</v>
      </c>
      <c r="P65" s="1468">
        <f t="shared" si="20"/>
        <v>4073</v>
      </c>
      <c r="Q65" s="1455">
        <f t="shared" si="20"/>
        <v>3363372.55</v>
      </c>
      <c r="R65" s="1471">
        <v>1100</v>
      </c>
      <c r="S65" s="1466">
        <f t="shared" si="6"/>
        <v>3041170</v>
      </c>
      <c r="T65" s="511">
        <f>2200-1187</f>
        <v>1013</v>
      </c>
      <c r="U65" s="1466">
        <f t="shared" si="7"/>
        <v>2800641.1</v>
      </c>
      <c r="V65" s="564">
        <f>2475+825</f>
        <v>3300</v>
      </c>
      <c r="W65" s="1466">
        <f t="shared" si="9"/>
        <v>9123510</v>
      </c>
      <c r="X65" s="919">
        <f t="shared" si="10"/>
        <v>5413</v>
      </c>
      <c r="Y65" s="1455">
        <f t="shared" si="10"/>
        <v>14965321.1</v>
      </c>
      <c r="Z65" s="1456">
        <f t="shared" si="11"/>
        <v>18328693.649999999</v>
      </c>
      <c r="AA65" s="116"/>
    </row>
    <row r="66" spans="1:27" s="118" customFormat="1" x14ac:dyDescent="0.25">
      <c r="A66" s="927">
        <v>53</v>
      </c>
      <c r="B66" s="355" t="s">
        <v>119</v>
      </c>
      <c r="C66" s="512" t="s">
        <v>120</v>
      </c>
      <c r="D66" s="459">
        <v>765</v>
      </c>
      <c r="E66" s="1459">
        <f t="shared" si="12"/>
        <v>374352.75</v>
      </c>
      <c r="F66" s="119"/>
      <c r="G66" s="1459"/>
      <c r="H66" s="119">
        <v>764</v>
      </c>
      <c r="I66" s="1459">
        <f t="shared" si="14"/>
        <v>373863.4</v>
      </c>
      <c r="J66" s="119"/>
      <c r="K66" s="1459"/>
      <c r="L66" s="120">
        <f t="shared" si="21"/>
        <v>1529</v>
      </c>
      <c r="M66" s="1455">
        <f t="shared" si="21"/>
        <v>748216.15</v>
      </c>
      <c r="N66" s="120">
        <f t="shared" si="21"/>
        <v>0</v>
      </c>
      <c r="O66" s="1455">
        <f t="shared" si="21"/>
        <v>0</v>
      </c>
      <c r="P66" s="1468">
        <f t="shared" si="20"/>
        <v>1529</v>
      </c>
      <c r="Q66" s="1455">
        <f t="shared" si="20"/>
        <v>748216.15</v>
      </c>
      <c r="R66" s="1471">
        <v>550</v>
      </c>
      <c r="S66" s="1466">
        <f t="shared" si="6"/>
        <v>1520585</v>
      </c>
      <c r="T66" s="511">
        <v>1100</v>
      </c>
      <c r="U66" s="1466">
        <f t="shared" si="7"/>
        <v>3041170</v>
      </c>
      <c r="V66" s="564">
        <v>1650</v>
      </c>
      <c r="W66" s="1466">
        <f t="shared" si="9"/>
        <v>4561755</v>
      </c>
      <c r="X66" s="919">
        <f t="shared" si="10"/>
        <v>3300</v>
      </c>
      <c r="Y66" s="1455">
        <f t="shared" si="10"/>
        <v>9123510</v>
      </c>
      <c r="Z66" s="1456">
        <f t="shared" si="11"/>
        <v>9871726.1500000004</v>
      </c>
      <c r="AA66" s="116"/>
    </row>
    <row r="67" spans="1:27" s="118" customFormat="1" x14ac:dyDescent="0.25">
      <c r="A67" s="927">
        <v>54</v>
      </c>
      <c r="B67" s="355" t="s">
        <v>121</v>
      </c>
      <c r="C67" s="512" t="s">
        <v>122</v>
      </c>
      <c r="D67" s="459"/>
      <c r="E67" s="1459"/>
      <c r="F67" s="119"/>
      <c r="G67" s="1459"/>
      <c r="H67" s="119"/>
      <c r="I67" s="1459"/>
      <c r="J67" s="119"/>
      <c r="K67" s="1459"/>
      <c r="L67" s="120">
        <f t="shared" si="21"/>
        <v>0</v>
      </c>
      <c r="M67" s="1455">
        <f t="shared" si="21"/>
        <v>0</v>
      </c>
      <c r="N67" s="120">
        <f t="shared" si="21"/>
        <v>0</v>
      </c>
      <c r="O67" s="1455">
        <f t="shared" si="21"/>
        <v>0</v>
      </c>
      <c r="P67" s="1468">
        <f t="shared" si="20"/>
        <v>0</v>
      </c>
      <c r="Q67" s="1455">
        <f t="shared" si="20"/>
        <v>0</v>
      </c>
      <c r="R67" s="1471"/>
      <c r="S67" s="1466"/>
      <c r="T67" s="511"/>
      <c r="U67" s="1466"/>
      <c r="V67" s="564"/>
      <c r="W67" s="1466"/>
      <c r="X67" s="919">
        <f t="shared" si="10"/>
        <v>0</v>
      </c>
      <c r="Y67" s="1455">
        <f t="shared" si="10"/>
        <v>0</v>
      </c>
      <c r="Z67" s="1456">
        <f t="shared" si="11"/>
        <v>0</v>
      </c>
      <c r="AA67" s="116"/>
    </row>
    <row r="68" spans="1:27" s="118" customFormat="1" x14ac:dyDescent="0.25">
      <c r="A68" s="927">
        <v>55</v>
      </c>
      <c r="B68" s="355" t="s">
        <v>123</v>
      </c>
      <c r="C68" s="512" t="s">
        <v>124</v>
      </c>
      <c r="D68" s="459"/>
      <c r="E68" s="1459"/>
      <c r="F68" s="119"/>
      <c r="G68" s="1459"/>
      <c r="H68" s="119"/>
      <c r="I68" s="1459"/>
      <c r="J68" s="119"/>
      <c r="K68" s="1459"/>
      <c r="L68" s="120">
        <f t="shared" si="21"/>
        <v>0</v>
      </c>
      <c r="M68" s="1455">
        <f t="shared" si="21"/>
        <v>0</v>
      </c>
      <c r="N68" s="120">
        <f t="shared" si="21"/>
        <v>0</v>
      </c>
      <c r="O68" s="1455">
        <f t="shared" si="21"/>
        <v>0</v>
      </c>
      <c r="P68" s="1468">
        <f t="shared" si="20"/>
        <v>0</v>
      </c>
      <c r="Q68" s="1455">
        <f t="shared" si="20"/>
        <v>0</v>
      </c>
      <c r="R68" s="1471"/>
      <c r="S68" s="1466"/>
      <c r="T68" s="511"/>
      <c r="U68" s="1466"/>
      <c r="V68" s="564"/>
      <c r="W68" s="1466"/>
      <c r="X68" s="919">
        <f t="shared" si="10"/>
        <v>0</v>
      </c>
      <c r="Y68" s="1455">
        <f t="shared" si="10"/>
        <v>0</v>
      </c>
      <c r="Z68" s="1456">
        <f t="shared" si="11"/>
        <v>0</v>
      </c>
      <c r="AA68" s="116"/>
    </row>
    <row r="69" spans="1:27" s="118" customFormat="1" x14ac:dyDescent="0.25">
      <c r="A69" s="927">
        <v>56</v>
      </c>
      <c r="B69" s="928" t="s">
        <v>125</v>
      </c>
      <c r="C69" s="517" t="s">
        <v>126</v>
      </c>
      <c r="D69" s="459"/>
      <c r="E69" s="1459"/>
      <c r="F69" s="119"/>
      <c r="G69" s="1459"/>
      <c r="H69" s="119"/>
      <c r="I69" s="1459"/>
      <c r="J69" s="119"/>
      <c r="K69" s="1459"/>
      <c r="L69" s="120">
        <f t="shared" si="21"/>
        <v>0</v>
      </c>
      <c r="M69" s="1455">
        <f t="shared" si="21"/>
        <v>0</v>
      </c>
      <c r="N69" s="120">
        <f t="shared" si="21"/>
        <v>0</v>
      </c>
      <c r="O69" s="1455">
        <f t="shared" si="21"/>
        <v>0</v>
      </c>
      <c r="P69" s="1468">
        <f t="shared" si="20"/>
        <v>0</v>
      </c>
      <c r="Q69" s="1455">
        <f t="shared" si="20"/>
        <v>0</v>
      </c>
      <c r="R69" s="1471"/>
      <c r="S69" s="1466"/>
      <c r="T69" s="511"/>
      <c r="U69" s="1466"/>
      <c r="V69" s="564"/>
      <c r="W69" s="1466"/>
      <c r="X69" s="919">
        <f t="shared" si="10"/>
        <v>0</v>
      </c>
      <c r="Y69" s="1455">
        <f t="shared" si="10"/>
        <v>0</v>
      </c>
      <c r="Z69" s="1456">
        <f t="shared" si="11"/>
        <v>0</v>
      </c>
      <c r="AA69" s="116"/>
    </row>
    <row r="70" spans="1:27" s="118" customFormat="1" ht="24" x14ac:dyDescent="0.25">
      <c r="A70" s="927">
        <v>57</v>
      </c>
      <c r="B70" s="355" t="s">
        <v>127</v>
      </c>
      <c r="C70" s="512" t="s">
        <v>128</v>
      </c>
      <c r="D70" s="459"/>
      <c r="E70" s="1459"/>
      <c r="F70" s="119"/>
      <c r="G70" s="1459"/>
      <c r="H70" s="119"/>
      <c r="I70" s="1459"/>
      <c r="J70" s="119"/>
      <c r="K70" s="1459"/>
      <c r="L70" s="120">
        <f t="shared" si="21"/>
        <v>0</v>
      </c>
      <c r="M70" s="1455">
        <f t="shared" si="21"/>
        <v>0</v>
      </c>
      <c r="N70" s="120">
        <f t="shared" si="21"/>
        <v>0</v>
      </c>
      <c r="O70" s="1455">
        <f t="shared" si="21"/>
        <v>0</v>
      </c>
      <c r="P70" s="1468">
        <f t="shared" si="20"/>
        <v>0</v>
      </c>
      <c r="Q70" s="1455">
        <f t="shared" si="20"/>
        <v>0</v>
      </c>
      <c r="R70" s="1471"/>
      <c r="S70" s="1466"/>
      <c r="T70" s="511"/>
      <c r="U70" s="1466"/>
      <c r="V70" s="564"/>
      <c r="W70" s="1466"/>
      <c r="X70" s="919">
        <f t="shared" si="10"/>
        <v>0</v>
      </c>
      <c r="Y70" s="1455">
        <f t="shared" si="10"/>
        <v>0</v>
      </c>
      <c r="Z70" s="1456">
        <f t="shared" si="11"/>
        <v>0</v>
      </c>
      <c r="AA70" s="116"/>
    </row>
    <row r="71" spans="1:27" s="118" customFormat="1" ht="24" x14ac:dyDescent="0.25">
      <c r="A71" s="927">
        <v>58</v>
      </c>
      <c r="B71" s="355" t="s">
        <v>129</v>
      </c>
      <c r="C71" s="512" t="s">
        <v>459</v>
      </c>
      <c r="D71" s="459"/>
      <c r="E71" s="1459"/>
      <c r="F71" s="119"/>
      <c r="G71" s="1459"/>
      <c r="H71" s="119"/>
      <c r="I71" s="1459"/>
      <c r="J71" s="119"/>
      <c r="K71" s="1459"/>
      <c r="L71" s="120">
        <f t="shared" si="21"/>
        <v>0</v>
      </c>
      <c r="M71" s="1455">
        <f t="shared" si="21"/>
        <v>0</v>
      </c>
      <c r="N71" s="120">
        <f t="shared" si="21"/>
        <v>0</v>
      </c>
      <c r="O71" s="1455">
        <f t="shared" si="21"/>
        <v>0</v>
      </c>
      <c r="P71" s="1468">
        <f t="shared" si="20"/>
        <v>0</v>
      </c>
      <c r="Q71" s="1455">
        <f t="shared" si="20"/>
        <v>0</v>
      </c>
      <c r="R71" s="1471"/>
      <c r="S71" s="1466"/>
      <c r="T71" s="511"/>
      <c r="U71" s="1466"/>
      <c r="V71" s="564"/>
      <c r="W71" s="1466"/>
      <c r="X71" s="919">
        <f t="shared" si="10"/>
        <v>0</v>
      </c>
      <c r="Y71" s="1455">
        <f t="shared" si="10"/>
        <v>0</v>
      </c>
      <c r="Z71" s="1456">
        <f t="shared" si="11"/>
        <v>0</v>
      </c>
      <c r="AA71" s="116"/>
    </row>
    <row r="72" spans="1:27" s="118" customFormat="1" ht="24" x14ac:dyDescent="0.25">
      <c r="A72" s="927">
        <v>59</v>
      </c>
      <c r="B72" s="355" t="s">
        <v>131</v>
      </c>
      <c r="C72" s="512" t="s">
        <v>132</v>
      </c>
      <c r="D72" s="459"/>
      <c r="E72" s="1459"/>
      <c r="F72" s="119"/>
      <c r="G72" s="1459"/>
      <c r="H72" s="119"/>
      <c r="I72" s="1459"/>
      <c r="J72" s="119"/>
      <c r="K72" s="1459"/>
      <c r="L72" s="120">
        <f t="shared" si="21"/>
        <v>0</v>
      </c>
      <c r="M72" s="1455">
        <f t="shared" si="21"/>
        <v>0</v>
      </c>
      <c r="N72" s="120">
        <f t="shared" si="21"/>
        <v>0</v>
      </c>
      <c r="O72" s="1455">
        <f t="shared" si="21"/>
        <v>0</v>
      </c>
      <c r="P72" s="1468">
        <f t="shared" si="20"/>
        <v>0</v>
      </c>
      <c r="Q72" s="1455">
        <f t="shared" si="20"/>
        <v>0</v>
      </c>
      <c r="R72" s="1471"/>
      <c r="S72" s="1466"/>
      <c r="T72" s="511"/>
      <c r="U72" s="1466"/>
      <c r="V72" s="564"/>
      <c r="W72" s="1466"/>
      <c r="X72" s="919">
        <f t="shared" si="10"/>
        <v>0</v>
      </c>
      <c r="Y72" s="1455">
        <f t="shared" si="10"/>
        <v>0</v>
      </c>
      <c r="Z72" s="1456">
        <f t="shared" si="11"/>
        <v>0</v>
      </c>
      <c r="AA72" s="116"/>
    </row>
    <row r="73" spans="1:27" s="118" customFormat="1" ht="24" x14ac:dyDescent="0.25">
      <c r="A73" s="927">
        <v>60</v>
      </c>
      <c r="B73" s="354" t="s">
        <v>133</v>
      </c>
      <c r="C73" s="512" t="s">
        <v>299</v>
      </c>
      <c r="D73" s="459"/>
      <c r="E73" s="1459"/>
      <c r="F73" s="119">
        <f>288-90</f>
        <v>198</v>
      </c>
      <c r="G73" s="1459">
        <f t="shared" si="13"/>
        <v>484476.3</v>
      </c>
      <c r="H73" s="119"/>
      <c r="I73" s="1459"/>
      <c r="J73" s="119">
        <v>287</v>
      </c>
      <c r="K73" s="1459">
        <f t="shared" si="15"/>
        <v>702245.95</v>
      </c>
      <c r="L73" s="120">
        <f t="shared" si="21"/>
        <v>0</v>
      </c>
      <c r="M73" s="1455">
        <f t="shared" si="21"/>
        <v>0</v>
      </c>
      <c r="N73" s="120">
        <f t="shared" si="21"/>
        <v>485</v>
      </c>
      <c r="O73" s="1455">
        <f t="shared" si="21"/>
        <v>1186722.25</v>
      </c>
      <c r="P73" s="1468">
        <f t="shared" si="20"/>
        <v>485</v>
      </c>
      <c r="Q73" s="1455">
        <f t="shared" si="20"/>
        <v>1186722.25</v>
      </c>
      <c r="R73" s="1471"/>
      <c r="S73" s="1466"/>
      <c r="T73" s="511"/>
      <c r="U73" s="1466"/>
      <c r="V73" s="564"/>
      <c r="W73" s="1466"/>
      <c r="X73" s="919">
        <f t="shared" si="10"/>
        <v>0</v>
      </c>
      <c r="Y73" s="1455">
        <f t="shared" si="10"/>
        <v>0</v>
      </c>
      <c r="Z73" s="1456">
        <f t="shared" si="11"/>
        <v>1186722.25</v>
      </c>
      <c r="AA73" s="116"/>
    </row>
    <row r="74" spans="1:27" s="118" customFormat="1" ht="24" x14ac:dyDescent="0.25">
      <c r="A74" s="927">
        <v>61</v>
      </c>
      <c r="B74" s="560" t="s">
        <v>135</v>
      </c>
      <c r="C74" s="512" t="s">
        <v>461</v>
      </c>
      <c r="D74" s="459"/>
      <c r="E74" s="1459"/>
      <c r="F74" s="119"/>
      <c r="G74" s="1459"/>
      <c r="H74" s="119"/>
      <c r="I74" s="1459"/>
      <c r="J74" s="119"/>
      <c r="K74" s="1459"/>
      <c r="L74" s="120">
        <f t="shared" si="21"/>
        <v>0</v>
      </c>
      <c r="M74" s="1455">
        <f t="shared" si="21"/>
        <v>0</v>
      </c>
      <c r="N74" s="120">
        <f t="shared" si="21"/>
        <v>0</v>
      </c>
      <c r="O74" s="1455">
        <f t="shared" si="21"/>
        <v>0</v>
      </c>
      <c r="P74" s="1468">
        <f t="shared" si="20"/>
        <v>0</v>
      </c>
      <c r="Q74" s="1455">
        <f t="shared" si="20"/>
        <v>0</v>
      </c>
      <c r="R74" s="1471"/>
      <c r="S74" s="1466"/>
      <c r="T74" s="511"/>
      <c r="U74" s="1466"/>
      <c r="V74" s="564"/>
      <c r="W74" s="1466"/>
      <c r="X74" s="919">
        <f t="shared" si="10"/>
        <v>0</v>
      </c>
      <c r="Y74" s="1455">
        <f t="shared" si="10"/>
        <v>0</v>
      </c>
      <c r="Z74" s="1456">
        <f t="shared" si="11"/>
        <v>0</v>
      </c>
      <c r="AA74" s="116"/>
    </row>
    <row r="75" spans="1:27" s="118" customFormat="1" ht="24" x14ac:dyDescent="0.25">
      <c r="A75" s="927">
        <v>62</v>
      </c>
      <c r="B75" s="354" t="s">
        <v>137</v>
      </c>
      <c r="C75" s="512" t="s">
        <v>640</v>
      </c>
      <c r="D75" s="459"/>
      <c r="E75" s="1459"/>
      <c r="F75" s="119"/>
      <c r="G75" s="1459"/>
      <c r="H75" s="119"/>
      <c r="I75" s="1459"/>
      <c r="J75" s="119"/>
      <c r="K75" s="1459"/>
      <c r="L75" s="120">
        <f t="shared" si="21"/>
        <v>0</v>
      </c>
      <c r="M75" s="1455">
        <f t="shared" si="21"/>
        <v>0</v>
      </c>
      <c r="N75" s="120">
        <f t="shared" si="21"/>
        <v>0</v>
      </c>
      <c r="O75" s="1455">
        <f t="shared" si="21"/>
        <v>0</v>
      </c>
      <c r="P75" s="1468">
        <f t="shared" si="20"/>
        <v>0</v>
      </c>
      <c r="Q75" s="1455">
        <f t="shared" si="20"/>
        <v>0</v>
      </c>
      <c r="R75" s="1471"/>
      <c r="S75" s="1466"/>
      <c r="T75" s="511"/>
      <c r="U75" s="1466"/>
      <c r="V75" s="564"/>
      <c r="W75" s="1466"/>
      <c r="X75" s="919">
        <f t="shared" si="10"/>
        <v>0</v>
      </c>
      <c r="Y75" s="1455">
        <f t="shared" si="10"/>
        <v>0</v>
      </c>
      <c r="Z75" s="1456">
        <f t="shared" si="11"/>
        <v>0</v>
      </c>
      <c r="AA75" s="116"/>
    </row>
    <row r="76" spans="1:27" s="118" customFormat="1" ht="24" x14ac:dyDescent="0.25">
      <c r="A76" s="927">
        <v>63</v>
      </c>
      <c r="B76" s="355" t="s">
        <v>139</v>
      </c>
      <c r="C76" s="512" t="s">
        <v>641</v>
      </c>
      <c r="D76" s="459"/>
      <c r="E76" s="1459"/>
      <c r="F76" s="119"/>
      <c r="G76" s="1459"/>
      <c r="H76" s="119"/>
      <c r="I76" s="1459"/>
      <c r="J76" s="119"/>
      <c r="K76" s="1459"/>
      <c r="L76" s="120">
        <f t="shared" si="21"/>
        <v>0</v>
      </c>
      <c r="M76" s="1455">
        <f t="shared" si="21"/>
        <v>0</v>
      </c>
      <c r="N76" s="120">
        <f t="shared" si="21"/>
        <v>0</v>
      </c>
      <c r="O76" s="1455">
        <f t="shared" si="21"/>
        <v>0</v>
      </c>
      <c r="P76" s="1468">
        <f t="shared" si="20"/>
        <v>0</v>
      </c>
      <c r="Q76" s="1455">
        <f t="shared" si="20"/>
        <v>0</v>
      </c>
      <c r="R76" s="1471"/>
      <c r="S76" s="1466"/>
      <c r="T76" s="511"/>
      <c r="U76" s="1466"/>
      <c r="V76" s="564"/>
      <c r="W76" s="1466"/>
      <c r="X76" s="919">
        <f t="shared" si="10"/>
        <v>0</v>
      </c>
      <c r="Y76" s="1455">
        <f t="shared" si="10"/>
        <v>0</v>
      </c>
      <c r="Z76" s="1456">
        <f t="shared" si="11"/>
        <v>0</v>
      </c>
      <c r="AA76" s="116"/>
    </row>
    <row r="77" spans="1:27" s="118" customFormat="1" x14ac:dyDescent="0.25">
      <c r="A77" s="927">
        <v>64</v>
      </c>
      <c r="B77" s="354" t="s">
        <v>141</v>
      </c>
      <c r="C77" s="512" t="s">
        <v>456</v>
      </c>
      <c r="D77" s="459">
        <f>2783-47</f>
        <v>2736</v>
      </c>
      <c r="E77" s="1459">
        <f t="shared" si="12"/>
        <v>1338861.6000000001</v>
      </c>
      <c r="F77" s="119">
        <v>552</v>
      </c>
      <c r="G77" s="1459">
        <f t="shared" si="13"/>
        <v>1350661.2</v>
      </c>
      <c r="H77" s="119">
        <f>2783-172</f>
        <v>2611</v>
      </c>
      <c r="I77" s="1459">
        <f t="shared" si="14"/>
        <v>1277692.8500000001</v>
      </c>
      <c r="J77" s="119">
        <f>0+314</f>
        <v>314</v>
      </c>
      <c r="K77" s="1459">
        <f t="shared" si="15"/>
        <v>768310.9</v>
      </c>
      <c r="L77" s="120">
        <f t="shared" si="21"/>
        <v>5347</v>
      </c>
      <c r="M77" s="1455">
        <f t="shared" si="21"/>
        <v>2616554.4500000002</v>
      </c>
      <c r="N77" s="120">
        <f t="shared" si="21"/>
        <v>866</v>
      </c>
      <c r="O77" s="1455">
        <f t="shared" si="21"/>
        <v>2118972.1</v>
      </c>
      <c r="P77" s="1468">
        <f t="shared" si="20"/>
        <v>6213</v>
      </c>
      <c r="Q77" s="1455">
        <f t="shared" si="20"/>
        <v>4735526.5500000007</v>
      </c>
      <c r="R77" s="1471"/>
      <c r="S77" s="1466"/>
      <c r="T77" s="511"/>
      <c r="U77" s="1466"/>
      <c r="V77" s="564"/>
      <c r="W77" s="1466"/>
      <c r="X77" s="919">
        <f t="shared" si="10"/>
        <v>0</v>
      </c>
      <c r="Y77" s="1455">
        <f t="shared" si="10"/>
        <v>0</v>
      </c>
      <c r="Z77" s="1456">
        <f t="shared" si="11"/>
        <v>4735526.5500000007</v>
      </c>
      <c r="AA77" s="116"/>
    </row>
    <row r="78" spans="1:27" s="118" customFormat="1" x14ac:dyDescent="0.25">
      <c r="A78" s="927">
        <v>65</v>
      </c>
      <c r="B78" s="354" t="s">
        <v>143</v>
      </c>
      <c r="C78" s="512" t="s">
        <v>144</v>
      </c>
      <c r="D78" s="459">
        <f>2191-29</f>
        <v>2162</v>
      </c>
      <c r="E78" s="1459">
        <f t="shared" si="12"/>
        <v>1057974.7</v>
      </c>
      <c r="F78" s="119">
        <v>545</v>
      </c>
      <c r="G78" s="1459">
        <f t="shared" si="13"/>
        <v>1333533.25</v>
      </c>
      <c r="H78" s="119">
        <f>2191-108</f>
        <v>2083</v>
      </c>
      <c r="I78" s="1459">
        <f t="shared" si="14"/>
        <v>1019316.05</v>
      </c>
      <c r="J78" s="119">
        <f>0+440</f>
        <v>440</v>
      </c>
      <c r="K78" s="1459">
        <f t="shared" si="15"/>
        <v>1076614</v>
      </c>
      <c r="L78" s="120">
        <f t="shared" si="21"/>
        <v>4245</v>
      </c>
      <c r="M78" s="1455">
        <f t="shared" si="21"/>
        <v>2077290.75</v>
      </c>
      <c r="N78" s="120">
        <f t="shared" si="21"/>
        <v>985</v>
      </c>
      <c r="O78" s="1455">
        <f t="shared" si="21"/>
        <v>2410147.25</v>
      </c>
      <c r="P78" s="1468">
        <f t="shared" ref="P78:Q96" si="22">L78+N78</f>
        <v>5230</v>
      </c>
      <c r="Q78" s="1455">
        <f t="shared" si="22"/>
        <v>4487438</v>
      </c>
      <c r="R78" s="1471"/>
      <c r="S78" s="1466"/>
      <c r="T78" s="511"/>
      <c r="U78" s="1466"/>
      <c r="V78" s="564"/>
      <c r="W78" s="1466"/>
      <c r="X78" s="919">
        <f t="shared" si="10"/>
        <v>0</v>
      </c>
      <c r="Y78" s="1455">
        <f t="shared" si="10"/>
        <v>0</v>
      </c>
      <c r="Z78" s="1456">
        <f t="shared" si="11"/>
        <v>4487438</v>
      </c>
      <c r="AA78" s="116"/>
    </row>
    <row r="79" spans="1:27" s="118" customFormat="1" x14ac:dyDescent="0.25">
      <c r="A79" s="927">
        <v>66</v>
      </c>
      <c r="B79" s="354" t="s">
        <v>145</v>
      </c>
      <c r="C79" s="512" t="s">
        <v>457</v>
      </c>
      <c r="D79" s="459">
        <f>3429-67</f>
        <v>3362</v>
      </c>
      <c r="E79" s="1459">
        <f t="shared" si="12"/>
        <v>1645194.7</v>
      </c>
      <c r="F79" s="119"/>
      <c r="G79" s="1459"/>
      <c r="H79" s="119">
        <f>3427-245</f>
        <v>3182</v>
      </c>
      <c r="I79" s="1459">
        <f t="shared" si="14"/>
        <v>1557111.7</v>
      </c>
      <c r="J79" s="119"/>
      <c r="K79" s="1459"/>
      <c r="L79" s="120">
        <f t="shared" ref="L79:O110" si="23">D79+H79</f>
        <v>6544</v>
      </c>
      <c r="M79" s="1455">
        <f t="shared" si="23"/>
        <v>3202306.4</v>
      </c>
      <c r="N79" s="120">
        <f t="shared" si="23"/>
        <v>0</v>
      </c>
      <c r="O79" s="1455">
        <f t="shared" si="23"/>
        <v>0</v>
      </c>
      <c r="P79" s="1468">
        <f t="shared" si="22"/>
        <v>6544</v>
      </c>
      <c r="Q79" s="1455">
        <f t="shared" si="22"/>
        <v>3202306.4</v>
      </c>
      <c r="R79" s="1471"/>
      <c r="S79" s="1466"/>
      <c r="T79" s="511"/>
      <c r="U79" s="1466"/>
      <c r="V79" s="564"/>
      <c r="W79" s="1466"/>
      <c r="X79" s="919">
        <f t="shared" ref="X79:Y142" si="24">R79+T79+V79</f>
        <v>0</v>
      </c>
      <c r="Y79" s="1455">
        <f t="shared" si="24"/>
        <v>0</v>
      </c>
      <c r="Z79" s="1456">
        <f t="shared" ref="Z79:Z143" si="25">Q79+Y79</f>
        <v>3202306.4</v>
      </c>
      <c r="AA79" s="116"/>
    </row>
    <row r="80" spans="1:27" s="118" customFormat="1" ht="24" x14ac:dyDescent="0.25">
      <c r="A80" s="927">
        <v>67</v>
      </c>
      <c r="B80" s="354" t="s">
        <v>147</v>
      </c>
      <c r="C80" s="512" t="s">
        <v>642</v>
      </c>
      <c r="D80" s="459"/>
      <c r="E80" s="1459"/>
      <c r="F80" s="119"/>
      <c r="G80" s="1459"/>
      <c r="H80" s="119"/>
      <c r="I80" s="1459"/>
      <c r="J80" s="119"/>
      <c r="K80" s="1459"/>
      <c r="L80" s="120">
        <f t="shared" si="23"/>
        <v>0</v>
      </c>
      <c r="M80" s="1455">
        <f t="shared" si="23"/>
        <v>0</v>
      </c>
      <c r="N80" s="120">
        <f t="shared" si="23"/>
        <v>0</v>
      </c>
      <c r="O80" s="1455">
        <f t="shared" si="23"/>
        <v>0</v>
      </c>
      <c r="P80" s="1468">
        <f t="shared" si="22"/>
        <v>0</v>
      </c>
      <c r="Q80" s="1455">
        <f t="shared" si="22"/>
        <v>0</v>
      </c>
      <c r="R80" s="1471"/>
      <c r="S80" s="1466"/>
      <c r="T80" s="511"/>
      <c r="U80" s="1466"/>
      <c r="V80" s="564"/>
      <c r="W80" s="1466"/>
      <c r="X80" s="919">
        <f t="shared" si="24"/>
        <v>0</v>
      </c>
      <c r="Y80" s="1455">
        <f t="shared" si="24"/>
        <v>0</v>
      </c>
      <c r="Z80" s="1456">
        <f t="shared" si="25"/>
        <v>0</v>
      </c>
      <c r="AA80" s="116"/>
    </row>
    <row r="81" spans="1:28" s="118" customFormat="1" ht="24" x14ac:dyDescent="0.25">
      <c r="A81" s="927">
        <v>68</v>
      </c>
      <c r="B81" s="354" t="s">
        <v>149</v>
      </c>
      <c r="C81" s="512" t="s">
        <v>463</v>
      </c>
      <c r="D81" s="459"/>
      <c r="E81" s="1459"/>
      <c r="F81" s="119"/>
      <c r="G81" s="1459"/>
      <c r="H81" s="119"/>
      <c r="I81" s="1459"/>
      <c r="J81" s="119"/>
      <c r="K81" s="1459"/>
      <c r="L81" s="120">
        <f t="shared" si="23"/>
        <v>0</v>
      </c>
      <c r="M81" s="1455">
        <f t="shared" si="23"/>
        <v>0</v>
      </c>
      <c r="N81" s="120">
        <f t="shared" si="23"/>
        <v>0</v>
      </c>
      <c r="O81" s="1455">
        <f t="shared" si="23"/>
        <v>0</v>
      </c>
      <c r="P81" s="1468">
        <f t="shared" si="22"/>
        <v>0</v>
      </c>
      <c r="Q81" s="1455">
        <f t="shared" si="22"/>
        <v>0</v>
      </c>
      <c r="R81" s="1471"/>
      <c r="S81" s="1466"/>
      <c r="T81" s="511"/>
      <c r="U81" s="1466"/>
      <c r="V81" s="564"/>
      <c r="W81" s="1466"/>
      <c r="X81" s="919">
        <f t="shared" si="24"/>
        <v>0</v>
      </c>
      <c r="Y81" s="1455">
        <f t="shared" si="24"/>
        <v>0</v>
      </c>
      <c r="Z81" s="1456">
        <f t="shared" si="25"/>
        <v>0</v>
      </c>
      <c r="AA81" s="116"/>
    </row>
    <row r="82" spans="1:28" s="118" customFormat="1" ht="24" x14ac:dyDescent="0.25">
      <c r="A82" s="927">
        <v>69</v>
      </c>
      <c r="B82" s="354" t="s">
        <v>151</v>
      </c>
      <c r="C82" s="512" t="s">
        <v>643</v>
      </c>
      <c r="D82" s="459"/>
      <c r="E82" s="1459"/>
      <c r="F82" s="119"/>
      <c r="G82" s="1459"/>
      <c r="H82" s="119"/>
      <c r="I82" s="1459"/>
      <c r="J82" s="119"/>
      <c r="K82" s="1459"/>
      <c r="L82" s="120">
        <f t="shared" si="23"/>
        <v>0</v>
      </c>
      <c r="M82" s="1455">
        <f t="shared" si="23"/>
        <v>0</v>
      </c>
      <c r="N82" s="120">
        <f t="shared" si="23"/>
        <v>0</v>
      </c>
      <c r="O82" s="1455">
        <f t="shared" si="23"/>
        <v>0</v>
      </c>
      <c r="P82" s="1468">
        <f t="shared" si="22"/>
        <v>0</v>
      </c>
      <c r="Q82" s="1455">
        <f t="shared" si="22"/>
        <v>0</v>
      </c>
      <c r="R82" s="1471"/>
      <c r="S82" s="1466"/>
      <c r="T82" s="511"/>
      <c r="U82" s="1466"/>
      <c r="V82" s="564"/>
      <c r="W82" s="1466"/>
      <c r="X82" s="919">
        <f t="shared" si="24"/>
        <v>0</v>
      </c>
      <c r="Y82" s="1455">
        <f t="shared" si="24"/>
        <v>0</v>
      </c>
      <c r="Z82" s="1456">
        <f t="shared" si="25"/>
        <v>0</v>
      </c>
      <c r="AA82" s="116"/>
    </row>
    <row r="83" spans="1:28" s="118" customFormat="1" ht="24" x14ac:dyDescent="0.25">
      <c r="A83" s="927">
        <v>70</v>
      </c>
      <c r="B83" s="354" t="s">
        <v>153</v>
      </c>
      <c r="C83" s="512" t="s">
        <v>644</v>
      </c>
      <c r="D83" s="459"/>
      <c r="E83" s="1459"/>
      <c r="F83" s="119"/>
      <c r="G83" s="1459"/>
      <c r="H83" s="119"/>
      <c r="I83" s="1459"/>
      <c r="J83" s="119"/>
      <c r="K83" s="1459"/>
      <c r="L83" s="120">
        <f t="shared" si="23"/>
        <v>0</v>
      </c>
      <c r="M83" s="1455">
        <f t="shared" si="23"/>
        <v>0</v>
      </c>
      <c r="N83" s="120">
        <f t="shared" si="23"/>
        <v>0</v>
      </c>
      <c r="O83" s="1455">
        <f t="shared" si="23"/>
        <v>0</v>
      </c>
      <c r="P83" s="1468">
        <f t="shared" si="22"/>
        <v>0</v>
      </c>
      <c r="Q83" s="1455">
        <f t="shared" si="22"/>
        <v>0</v>
      </c>
      <c r="R83" s="1471"/>
      <c r="S83" s="1466"/>
      <c r="T83" s="511"/>
      <c r="U83" s="1466"/>
      <c r="V83" s="564"/>
      <c r="W83" s="1466"/>
      <c r="X83" s="919">
        <f t="shared" si="24"/>
        <v>0</v>
      </c>
      <c r="Y83" s="1455">
        <f t="shared" si="24"/>
        <v>0</v>
      </c>
      <c r="Z83" s="1456">
        <f t="shared" si="25"/>
        <v>0</v>
      </c>
      <c r="AA83" s="116"/>
    </row>
    <row r="84" spans="1:28" s="118" customFormat="1" ht="24" x14ac:dyDescent="0.25">
      <c r="A84" s="927">
        <v>71</v>
      </c>
      <c r="B84" s="355" t="s">
        <v>155</v>
      </c>
      <c r="C84" s="512" t="s">
        <v>645</v>
      </c>
      <c r="D84" s="459"/>
      <c r="E84" s="1459"/>
      <c r="F84" s="119"/>
      <c r="G84" s="1459"/>
      <c r="H84" s="119"/>
      <c r="I84" s="1459"/>
      <c r="J84" s="119"/>
      <c r="K84" s="1459"/>
      <c r="L84" s="120">
        <f t="shared" si="23"/>
        <v>0</v>
      </c>
      <c r="M84" s="1455">
        <f t="shared" si="23"/>
        <v>0</v>
      </c>
      <c r="N84" s="120">
        <f t="shared" si="23"/>
        <v>0</v>
      </c>
      <c r="O84" s="1455">
        <f t="shared" si="23"/>
        <v>0</v>
      </c>
      <c r="P84" s="1468">
        <f t="shared" si="22"/>
        <v>0</v>
      </c>
      <c r="Q84" s="1455">
        <f t="shared" si="22"/>
        <v>0</v>
      </c>
      <c r="R84" s="1471"/>
      <c r="S84" s="1466"/>
      <c r="T84" s="511"/>
      <c r="U84" s="1466"/>
      <c r="V84" s="564"/>
      <c r="W84" s="1466"/>
      <c r="X84" s="919">
        <f t="shared" si="24"/>
        <v>0</v>
      </c>
      <c r="Y84" s="1455">
        <f t="shared" si="24"/>
        <v>0</v>
      </c>
      <c r="Z84" s="1456">
        <f t="shared" si="25"/>
        <v>0</v>
      </c>
      <c r="AA84" s="116"/>
    </row>
    <row r="85" spans="1:28" s="118" customFormat="1" ht="24" x14ac:dyDescent="0.25">
      <c r="A85" s="927">
        <v>72</v>
      </c>
      <c r="B85" s="354" t="s">
        <v>157</v>
      </c>
      <c r="C85" s="510" t="s">
        <v>646</v>
      </c>
      <c r="D85" s="459"/>
      <c r="E85" s="1459"/>
      <c r="F85" s="119"/>
      <c r="G85" s="1459"/>
      <c r="H85" s="119"/>
      <c r="I85" s="1459"/>
      <c r="J85" s="119"/>
      <c r="K85" s="1459"/>
      <c r="L85" s="120">
        <f t="shared" si="23"/>
        <v>0</v>
      </c>
      <c r="M85" s="1455">
        <f t="shared" si="23"/>
        <v>0</v>
      </c>
      <c r="N85" s="120">
        <f t="shared" si="23"/>
        <v>0</v>
      </c>
      <c r="O85" s="1455">
        <f t="shared" si="23"/>
        <v>0</v>
      </c>
      <c r="P85" s="1468">
        <f t="shared" si="22"/>
        <v>0</v>
      </c>
      <c r="Q85" s="1455">
        <f t="shared" si="22"/>
        <v>0</v>
      </c>
      <c r="R85" s="1471"/>
      <c r="S85" s="1466"/>
      <c r="T85" s="511"/>
      <c r="U85" s="1466"/>
      <c r="V85" s="564"/>
      <c r="W85" s="1466"/>
      <c r="X85" s="919">
        <f t="shared" si="24"/>
        <v>0</v>
      </c>
      <c r="Y85" s="1455">
        <f t="shared" si="24"/>
        <v>0</v>
      </c>
      <c r="Z85" s="1456">
        <f t="shared" si="25"/>
        <v>0</v>
      </c>
      <c r="AA85" s="116"/>
    </row>
    <row r="86" spans="1:28" s="118" customFormat="1" ht="24" x14ac:dyDescent="0.25">
      <c r="A86" s="927">
        <v>73</v>
      </c>
      <c r="B86" s="355" t="s">
        <v>159</v>
      </c>
      <c r="C86" s="512" t="s">
        <v>647</v>
      </c>
      <c r="D86" s="459"/>
      <c r="E86" s="1459"/>
      <c r="F86" s="119"/>
      <c r="G86" s="1459"/>
      <c r="H86" s="119"/>
      <c r="I86" s="1459"/>
      <c r="J86" s="119"/>
      <c r="K86" s="1459"/>
      <c r="L86" s="120">
        <f t="shared" si="23"/>
        <v>0</v>
      </c>
      <c r="M86" s="1455">
        <f t="shared" si="23"/>
        <v>0</v>
      </c>
      <c r="N86" s="120">
        <f t="shared" si="23"/>
        <v>0</v>
      </c>
      <c r="O86" s="1455">
        <f t="shared" si="23"/>
        <v>0</v>
      </c>
      <c r="P86" s="1468">
        <f t="shared" si="22"/>
        <v>0</v>
      </c>
      <c r="Q86" s="1455">
        <f t="shared" si="22"/>
        <v>0</v>
      </c>
      <c r="R86" s="1471"/>
      <c r="S86" s="1466"/>
      <c r="T86" s="511"/>
      <c r="U86" s="1466"/>
      <c r="V86" s="564"/>
      <c r="W86" s="1466"/>
      <c r="X86" s="919">
        <f t="shared" si="24"/>
        <v>0</v>
      </c>
      <c r="Y86" s="1455">
        <f t="shared" si="24"/>
        <v>0</v>
      </c>
      <c r="Z86" s="1456">
        <f t="shared" si="25"/>
        <v>0</v>
      </c>
      <c r="AA86" s="116"/>
    </row>
    <row r="87" spans="1:28" s="118" customFormat="1" x14ac:dyDescent="0.25">
      <c r="A87" s="927">
        <v>74</v>
      </c>
      <c r="B87" s="354" t="s">
        <v>161</v>
      </c>
      <c r="C87" s="512" t="s">
        <v>162</v>
      </c>
      <c r="D87" s="459">
        <f>1143-49</f>
        <v>1094</v>
      </c>
      <c r="E87" s="1459">
        <f t="shared" ref="E87:E116" si="26">ROUND(D87*$E$9,2)</f>
        <v>535348.9</v>
      </c>
      <c r="F87" s="119"/>
      <c r="G87" s="1459"/>
      <c r="H87" s="119">
        <f>1142-182</f>
        <v>960</v>
      </c>
      <c r="I87" s="1459">
        <f t="shared" ref="I87:I116" si="27">ROUND(H87*$I$9,2)</f>
        <v>469776</v>
      </c>
      <c r="J87" s="119"/>
      <c r="K87" s="1459"/>
      <c r="L87" s="120">
        <f t="shared" si="23"/>
        <v>2054</v>
      </c>
      <c r="M87" s="1455">
        <f t="shared" si="23"/>
        <v>1005124.9</v>
      </c>
      <c r="N87" s="120">
        <f t="shared" si="23"/>
        <v>0</v>
      </c>
      <c r="O87" s="1455">
        <f t="shared" si="23"/>
        <v>0</v>
      </c>
      <c r="P87" s="1468">
        <f t="shared" si="22"/>
        <v>2054</v>
      </c>
      <c r="Q87" s="1455">
        <f t="shared" si="22"/>
        <v>1005124.9</v>
      </c>
      <c r="R87" s="1471">
        <v>0</v>
      </c>
      <c r="S87" s="1466">
        <f t="shared" ref="S87:S142" si="28">ROUND(R87*$S$9,2)</f>
        <v>0</v>
      </c>
      <c r="T87" s="511">
        <v>1650</v>
      </c>
      <c r="U87" s="1466">
        <f t="shared" ref="U87:U142" si="29">ROUND(T87*$U$9,2)</f>
        <v>4561755</v>
      </c>
      <c r="V87" s="564">
        <v>2475</v>
      </c>
      <c r="W87" s="1466">
        <f t="shared" ref="W87:W142" si="30">ROUND(V87*$W$9,2)</f>
        <v>6842632.5</v>
      </c>
      <c r="X87" s="919">
        <f t="shared" si="24"/>
        <v>4125</v>
      </c>
      <c r="Y87" s="1455">
        <f t="shared" si="24"/>
        <v>11404387.5</v>
      </c>
      <c r="Z87" s="1456">
        <f t="shared" si="25"/>
        <v>12409512.4</v>
      </c>
      <c r="AA87" s="116"/>
      <c r="AB87" s="1472"/>
    </row>
    <row r="88" spans="1:28" s="118" customFormat="1" x14ac:dyDescent="0.25">
      <c r="A88" s="927">
        <v>75</v>
      </c>
      <c r="B88" s="355" t="s">
        <v>163</v>
      </c>
      <c r="C88" s="512" t="s">
        <v>458</v>
      </c>
      <c r="D88" s="459">
        <f>4113-135</f>
        <v>3978</v>
      </c>
      <c r="E88" s="1459">
        <f t="shared" si="26"/>
        <v>1946634.3</v>
      </c>
      <c r="F88" s="119">
        <f>543-90+90</f>
        <v>543</v>
      </c>
      <c r="G88" s="1459">
        <f t="shared" ref="G88:G142" si="31">ROUND(F88*$G$9,2)</f>
        <v>1328639.55</v>
      </c>
      <c r="H88" s="119">
        <f>4112-499</f>
        <v>3613</v>
      </c>
      <c r="I88" s="1459">
        <f t="shared" si="27"/>
        <v>1768021.55</v>
      </c>
      <c r="J88" s="119">
        <f>0+550</f>
        <v>550</v>
      </c>
      <c r="K88" s="1459">
        <f t="shared" ref="K88:K142" si="32">ROUND(J88*$K$9,2)</f>
        <v>1345767.5</v>
      </c>
      <c r="L88" s="120">
        <f t="shared" si="23"/>
        <v>7591</v>
      </c>
      <c r="M88" s="1455">
        <f t="shared" si="23"/>
        <v>3714655.85</v>
      </c>
      <c r="N88" s="120">
        <f t="shared" si="23"/>
        <v>1093</v>
      </c>
      <c r="O88" s="1455">
        <f t="shared" si="23"/>
        <v>2674407.0499999998</v>
      </c>
      <c r="P88" s="1468">
        <f t="shared" si="22"/>
        <v>8684</v>
      </c>
      <c r="Q88" s="1455">
        <f t="shared" si="22"/>
        <v>6389062.9000000004</v>
      </c>
      <c r="R88" s="1471">
        <v>1650</v>
      </c>
      <c r="S88" s="1466">
        <f t="shared" si="28"/>
        <v>4561755</v>
      </c>
      <c r="T88" s="511">
        <v>3300</v>
      </c>
      <c r="U88" s="1466">
        <f t="shared" si="29"/>
        <v>9123510</v>
      </c>
      <c r="V88" s="564">
        <v>4950</v>
      </c>
      <c r="W88" s="1466">
        <f t="shared" si="30"/>
        <v>13685265</v>
      </c>
      <c r="X88" s="919">
        <f t="shared" si="24"/>
        <v>9900</v>
      </c>
      <c r="Y88" s="1455">
        <f t="shared" si="24"/>
        <v>27370530</v>
      </c>
      <c r="Z88" s="1456">
        <f t="shared" si="25"/>
        <v>33759592.899999999</v>
      </c>
      <c r="AA88" s="116"/>
    </row>
    <row r="89" spans="1:28" s="118" customFormat="1" x14ac:dyDescent="0.25">
      <c r="A89" s="927">
        <v>76</v>
      </c>
      <c r="B89" s="355" t="s">
        <v>165</v>
      </c>
      <c r="C89" s="512" t="s">
        <v>166</v>
      </c>
      <c r="D89" s="459">
        <f>2243-50</f>
        <v>2193</v>
      </c>
      <c r="E89" s="1459">
        <f t="shared" si="26"/>
        <v>1073144.55</v>
      </c>
      <c r="F89" s="119">
        <v>323</v>
      </c>
      <c r="G89" s="1459">
        <f t="shared" si="31"/>
        <v>790332.55</v>
      </c>
      <c r="H89" s="119">
        <f>2242-185</f>
        <v>2057</v>
      </c>
      <c r="I89" s="1459">
        <f t="shared" si="27"/>
        <v>1006592.95</v>
      </c>
      <c r="J89" s="119">
        <f>323-131</f>
        <v>192</v>
      </c>
      <c r="K89" s="1459">
        <f t="shared" si="32"/>
        <v>469795.2</v>
      </c>
      <c r="L89" s="120">
        <f t="shared" si="23"/>
        <v>4250</v>
      </c>
      <c r="M89" s="1455">
        <f t="shared" si="23"/>
        <v>2079737.5</v>
      </c>
      <c r="N89" s="120">
        <f t="shared" si="23"/>
        <v>515</v>
      </c>
      <c r="O89" s="1455">
        <f t="shared" si="23"/>
        <v>1260127.75</v>
      </c>
      <c r="P89" s="1468">
        <f t="shared" si="22"/>
        <v>4765</v>
      </c>
      <c r="Q89" s="1455">
        <f t="shared" si="22"/>
        <v>3339865.25</v>
      </c>
      <c r="R89" s="1471">
        <v>1925</v>
      </c>
      <c r="S89" s="1466">
        <f t="shared" si="28"/>
        <v>5322047.5</v>
      </c>
      <c r="T89" s="511">
        <v>3190</v>
      </c>
      <c r="U89" s="1466">
        <f t="shared" si="29"/>
        <v>8819393</v>
      </c>
      <c r="V89" s="564">
        <f>3135-1485</f>
        <v>1650</v>
      </c>
      <c r="W89" s="1466">
        <f t="shared" si="30"/>
        <v>4561755</v>
      </c>
      <c r="X89" s="919">
        <f t="shared" si="24"/>
        <v>6765</v>
      </c>
      <c r="Y89" s="1455">
        <f t="shared" si="24"/>
        <v>18703195.5</v>
      </c>
      <c r="Z89" s="1456">
        <f t="shared" si="25"/>
        <v>22043060.75</v>
      </c>
      <c r="AA89" s="116"/>
      <c r="AB89" s="1472"/>
    </row>
    <row r="90" spans="1:28" s="118" customFormat="1" x14ac:dyDescent="0.25">
      <c r="A90" s="927">
        <v>77</v>
      </c>
      <c r="B90" s="354" t="s">
        <v>167</v>
      </c>
      <c r="C90" s="512" t="s">
        <v>168</v>
      </c>
      <c r="D90" s="352">
        <f>483-15</f>
        <v>468</v>
      </c>
      <c r="E90" s="1459">
        <f t="shared" si="26"/>
        <v>229015.8</v>
      </c>
      <c r="F90" s="353">
        <f>383-80</f>
        <v>303</v>
      </c>
      <c r="G90" s="1459">
        <f t="shared" si="31"/>
        <v>741395.55</v>
      </c>
      <c r="H90" s="353">
        <f>482-54</f>
        <v>428</v>
      </c>
      <c r="I90" s="1459">
        <f t="shared" si="27"/>
        <v>209441.8</v>
      </c>
      <c r="J90" s="353"/>
      <c r="K90" s="1459"/>
      <c r="L90" s="120">
        <f t="shared" si="23"/>
        <v>896</v>
      </c>
      <c r="M90" s="1455">
        <f t="shared" si="23"/>
        <v>438457.59999999998</v>
      </c>
      <c r="N90" s="120">
        <f t="shared" si="23"/>
        <v>303</v>
      </c>
      <c r="O90" s="1455">
        <f t="shared" si="23"/>
        <v>741395.55</v>
      </c>
      <c r="P90" s="1468">
        <f t="shared" si="22"/>
        <v>1199</v>
      </c>
      <c r="Q90" s="1455">
        <f t="shared" si="22"/>
        <v>1179853.1499999999</v>
      </c>
      <c r="R90" s="1471">
        <v>825</v>
      </c>
      <c r="S90" s="1466">
        <f t="shared" si="28"/>
        <v>2280877.5</v>
      </c>
      <c r="T90" s="511">
        <v>1650</v>
      </c>
      <c r="U90" s="1466">
        <f t="shared" si="29"/>
        <v>4561755</v>
      </c>
      <c r="V90" s="564">
        <v>2475</v>
      </c>
      <c r="W90" s="1466">
        <f t="shared" si="30"/>
        <v>6842632.5</v>
      </c>
      <c r="X90" s="919">
        <f t="shared" si="24"/>
        <v>4950</v>
      </c>
      <c r="Y90" s="1455">
        <f t="shared" si="24"/>
        <v>13685265</v>
      </c>
      <c r="Z90" s="1456">
        <f t="shared" si="25"/>
        <v>14865118.15</v>
      </c>
      <c r="AA90" s="116"/>
    </row>
    <row r="91" spans="1:28" s="118" customFormat="1" x14ac:dyDescent="0.25">
      <c r="A91" s="927">
        <v>78</v>
      </c>
      <c r="B91" s="354" t="s">
        <v>169</v>
      </c>
      <c r="C91" s="512" t="s">
        <v>170</v>
      </c>
      <c r="D91" s="352">
        <f>840-39</f>
        <v>801</v>
      </c>
      <c r="E91" s="1459">
        <f t="shared" si="26"/>
        <v>391969.35</v>
      </c>
      <c r="F91" s="353">
        <v>500</v>
      </c>
      <c r="G91" s="1459">
        <f t="shared" si="31"/>
        <v>1223425</v>
      </c>
      <c r="H91" s="353">
        <f>840-145</f>
        <v>695</v>
      </c>
      <c r="I91" s="1459">
        <f t="shared" si="27"/>
        <v>340098.25</v>
      </c>
      <c r="J91" s="119">
        <f>0+224</f>
        <v>224</v>
      </c>
      <c r="K91" s="1459">
        <f t="shared" ref="K91" si="33">ROUND(J91*$K$9,2)</f>
        <v>548094.4</v>
      </c>
      <c r="L91" s="120">
        <f t="shared" si="23"/>
        <v>1496</v>
      </c>
      <c r="M91" s="1455">
        <f t="shared" si="23"/>
        <v>732067.6</v>
      </c>
      <c r="N91" s="120">
        <f t="shared" si="23"/>
        <v>724</v>
      </c>
      <c r="O91" s="1455">
        <f t="shared" si="23"/>
        <v>1771519.4</v>
      </c>
      <c r="P91" s="1468">
        <f t="shared" si="22"/>
        <v>2220</v>
      </c>
      <c r="Q91" s="1455">
        <f t="shared" si="22"/>
        <v>2503587</v>
      </c>
      <c r="R91" s="1471">
        <v>825</v>
      </c>
      <c r="S91" s="1466">
        <f t="shared" si="28"/>
        <v>2280877.5</v>
      </c>
      <c r="T91" s="511">
        <v>1650</v>
      </c>
      <c r="U91" s="1466">
        <f t="shared" si="29"/>
        <v>4561755</v>
      </c>
      <c r="V91" s="564">
        <v>2475</v>
      </c>
      <c r="W91" s="1466">
        <f t="shared" si="30"/>
        <v>6842632.5</v>
      </c>
      <c r="X91" s="919">
        <f t="shared" si="24"/>
        <v>4950</v>
      </c>
      <c r="Y91" s="1455">
        <f t="shared" si="24"/>
        <v>13685265</v>
      </c>
      <c r="Z91" s="1456">
        <f t="shared" si="25"/>
        <v>16188852</v>
      </c>
      <c r="AA91" s="116"/>
    </row>
    <row r="92" spans="1:28" s="118" customFormat="1" x14ac:dyDescent="0.25">
      <c r="A92" s="927">
        <v>79</v>
      </c>
      <c r="B92" s="354" t="s">
        <v>171</v>
      </c>
      <c r="C92" s="512" t="s">
        <v>172</v>
      </c>
      <c r="D92" s="352"/>
      <c r="E92" s="1459"/>
      <c r="F92" s="353">
        <f>263-90</f>
        <v>173</v>
      </c>
      <c r="G92" s="1459">
        <f t="shared" si="31"/>
        <v>423305.05</v>
      </c>
      <c r="H92" s="353"/>
      <c r="I92" s="1459"/>
      <c r="J92" s="353">
        <v>263</v>
      </c>
      <c r="K92" s="1459">
        <f t="shared" si="32"/>
        <v>643521.55000000005</v>
      </c>
      <c r="L92" s="120">
        <f t="shared" si="23"/>
        <v>0</v>
      </c>
      <c r="M92" s="1455">
        <f t="shared" si="23"/>
        <v>0</v>
      </c>
      <c r="N92" s="120">
        <f t="shared" si="23"/>
        <v>436</v>
      </c>
      <c r="O92" s="1455">
        <f t="shared" si="23"/>
        <v>1066826.6000000001</v>
      </c>
      <c r="P92" s="1468">
        <f t="shared" si="22"/>
        <v>436</v>
      </c>
      <c r="Q92" s="1455">
        <f t="shared" si="22"/>
        <v>1066826.6000000001</v>
      </c>
      <c r="R92" s="1471">
        <v>550</v>
      </c>
      <c r="S92" s="1466">
        <f t="shared" si="28"/>
        <v>1520585</v>
      </c>
      <c r="T92" s="511">
        <v>1540</v>
      </c>
      <c r="U92" s="1466">
        <f t="shared" si="29"/>
        <v>4257638</v>
      </c>
      <c r="V92" s="564">
        <f>2310-660-380</f>
        <v>1270</v>
      </c>
      <c r="W92" s="1466">
        <f t="shared" si="30"/>
        <v>3511169</v>
      </c>
      <c r="X92" s="919">
        <f t="shared" si="24"/>
        <v>3360</v>
      </c>
      <c r="Y92" s="1455">
        <f t="shared" si="24"/>
        <v>9289392</v>
      </c>
      <c r="Z92" s="1456">
        <f t="shared" si="25"/>
        <v>10356218.6</v>
      </c>
      <c r="AA92" s="116"/>
      <c r="AB92" s="1472"/>
    </row>
    <row r="93" spans="1:28" s="118" customFormat="1" x14ac:dyDescent="0.25">
      <c r="A93" s="927">
        <v>80</v>
      </c>
      <c r="B93" s="354" t="s">
        <v>173</v>
      </c>
      <c r="C93" s="512" t="s">
        <v>617</v>
      </c>
      <c r="D93" s="459">
        <f>2667-67</f>
        <v>2600</v>
      </c>
      <c r="E93" s="1459">
        <f t="shared" si="26"/>
        <v>1272310</v>
      </c>
      <c r="F93" s="119"/>
      <c r="G93" s="1459"/>
      <c r="H93" s="119">
        <f>2665-247</f>
        <v>2418</v>
      </c>
      <c r="I93" s="1459">
        <f t="shared" si="27"/>
        <v>1183248.3</v>
      </c>
      <c r="J93" s="119"/>
      <c r="K93" s="1459"/>
      <c r="L93" s="120">
        <f t="shared" si="23"/>
        <v>5018</v>
      </c>
      <c r="M93" s="1455">
        <f t="shared" si="23"/>
        <v>2455558.2999999998</v>
      </c>
      <c r="N93" s="120">
        <f t="shared" si="23"/>
        <v>0</v>
      </c>
      <c r="O93" s="1455">
        <f t="shared" si="23"/>
        <v>0</v>
      </c>
      <c r="P93" s="1468">
        <f t="shared" si="22"/>
        <v>5018</v>
      </c>
      <c r="Q93" s="1455">
        <f t="shared" si="22"/>
        <v>2455558.2999999998</v>
      </c>
      <c r="R93" s="1471">
        <f>1815-10</f>
        <v>1805</v>
      </c>
      <c r="S93" s="1466">
        <f t="shared" si="28"/>
        <v>4990283.5</v>
      </c>
      <c r="T93" s="511">
        <v>3080</v>
      </c>
      <c r="U93" s="1466">
        <f t="shared" si="29"/>
        <v>8515276</v>
      </c>
      <c r="V93" s="564">
        <f>1650+990</f>
        <v>2640</v>
      </c>
      <c r="W93" s="1466">
        <f t="shared" si="30"/>
        <v>7298808</v>
      </c>
      <c r="X93" s="919">
        <f t="shared" si="24"/>
        <v>7525</v>
      </c>
      <c r="Y93" s="1455">
        <f t="shared" si="24"/>
        <v>20804367.5</v>
      </c>
      <c r="Z93" s="1456">
        <f t="shared" si="25"/>
        <v>23259925.800000001</v>
      </c>
      <c r="AA93" s="116"/>
      <c r="AB93" s="1472"/>
    </row>
    <row r="94" spans="1:28" s="118" customFormat="1" x14ac:dyDescent="0.25">
      <c r="A94" s="927">
        <v>81</v>
      </c>
      <c r="B94" s="354" t="s">
        <v>175</v>
      </c>
      <c r="C94" s="385" t="s">
        <v>749</v>
      </c>
      <c r="D94" s="459"/>
      <c r="E94" s="1459"/>
      <c r="F94" s="119"/>
      <c r="G94" s="1459"/>
      <c r="H94" s="119"/>
      <c r="I94" s="1459"/>
      <c r="J94" s="119"/>
      <c r="K94" s="1459"/>
      <c r="L94" s="120">
        <f t="shared" si="23"/>
        <v>0</v>
      </c>
      <c r="M94" s="1455">
        <f t="shared" si="23"/>
        <v>0</v>
      </c>
      <c r="N94" s="120">
        <f t="shared" si="23"/>
        <v>0</v>
      </c>
      <c r="O94" s="1455">
        <f t="shared" si="23"/>
        <v>0</v>
      </c>
      <c r="P94" s="1468">
        <f t="shared" si="22"/>
        <v>0</v>
      </c>
      <c r="Q94" s="1455">
        <f t="shared" si="22"/>
        <v>0</v>
      </c>
      <c r="R94" s="1471"/>
      <c r="S94" s="1466"/>
      <c r="T94" s="511"/>
      <c r="U94" s="1466"/>
      <c r="V94" s="564"/>
      <c r="W94" s="1466"/>
      <c r="X94" s="919">
        <f t="shared" si="24"/>
        <v>0</v>
      </c>
      <c r="Y94" s="1455">
        <f t="shared" si="24"/>
        <v>0</v>
      </c>
      <c r="Z94" s="1456">
        <f t="shared" si="25"/>
        <v>0</v>
      </c>
      <c r="AA94" s="116"/>
    </row>
    <row r="95" spans="1:28" s="118" customFormat="1" x14ac:dyDescent="0.25">
      <c r="A95" s="927">
        <v>82</v>
      </c>
      <c r="B95" s="360" t="s">
        <v>177</v>
      </c>
      <c r="C95" s="517" t="s">
        <v>752</v>
      </c>
      <c r="D95" s="459"/>
      <c r="E95" s="1459"/>
      <c r="F95" s="119"/>
      <c r="G95" s="1459"/>
      <c r="H95" s="119"/>
      <c r="I95" s="1459"/>
      <c r="J95" s="119"/>
      <c r="K95" s="1459"/>
      <c r="L95" s="120">
        <f t="shared" si="23"/>
        <v>0</v>
      </c>
      <c r="M95" s="1455">
        <f t="shared" si="23"/>
        <v>0</v>
      </c>
      <c r="N95" s="120">
        <f t="shared" si="23"/>
        <v>0</v>
      </c>
      <c r="O95" s="1455">
        <f t="shared" si="23"/>
        <v>0</v>
      </c>
      <c r="P95" s="1468">
        <f t="shared" si="22"/>
        <v>0</v>
      </c>
      <c r="Q95" s="1455">
        <f t="shared" si="22"/>
        <v>0</v>
      </c>
      <c r="R95" s="1471"/>
      <c r="S95" s="1466"/>
      <c r="T95" s="511"/>
      <c r="U95" s="1466"/>
      <c r="V95" s="564"/>
      <c r="W95" s="1466"/>
      <c r="X95" s="919">
        <f t="shared" si="24"/>
        <v>0</v>
      </c>
      <c r="Y95" s="1455">
        <f t="shared" si="24"/>
        <v>0</v>
      </c>
      <c r="Z95" s="1456">
        <f t="shared" si="25"/>
        <v>0</v>
      </c>
      <c r="AA95" s="116"/>
    </row>
    <row r="96" spans="1:28" s="118" customFormat="1" ht="24" x14ac:dyDescent="0.25">
      <c r="A96" s="1173">
        <v>83</v>
      </c>
      <c r="B96" s="1176" t="s">
        <v>178</v>
      </c>
      <c r="C96" s="518" t="s">
        <v>753</v>
      </c>
      <c r="D96" s="459"/>
      <c r="E96" s="1459"/>
      <c r="F96" s="119"/>
      <c r="G96" s="1459"/>
      <c r="H96" s="119"/>
      <c r="I96" s="1459"/>
      <c r="J96" s="119"/>
      <c r="K96" s="1459"/>
      <c r="L96" s="120">
        <f t="shared" si="23"/>
        <v>0</v>
      </c>
      <c r="M96" s="1455">
        <f t="shared" si="23"/>
        <v>0</v>
      </c>
      <c r="N96" s="120">
        <f t="shared" si="23"/>
        <v>0</v>
      </c>
      <c r="O96" s="1455">
        <f t="shared" si="23"/>
        <v>0</v>
      </c>
      <c r="P96" s="1468">
        <f t="shared" si="22"/>
        <v>0</v>
      </c>
      <c r="Q96" s="1455">
        <f t="shared" si="22"/>
        <v>0</v>
      </c>
      <c r="R96" s="1471"/>
      <c r="S96" s="1466"/>
      <c r="T96" s="511"/>
      <c r="U96" s="1466"/>
      <c r="V96" s="564"/>
      <c r="W96" s="1466"/>
      <c r="X96" s="919">
        <f t="shared" si="24"/>
        <v>0</v>
      </c>
      <c r="Y96" s="1455">
        <f t="shared" si="24"/>
        <v>0</v>
      </c>
      <c r="Z96" s="1456">
        <f t="shared" si="25"/>
        <v>0</v>
      </c>
      <c r="AA96" s="116"/>
    </row>
    <row r="97" spans="1:27" s="118" customFormat="1" ht="24" x14ac:dyDescent="0.25">
      <c r="A97" s="1174"/>
      <c r="B97" s="1177"/>
      <c r="C97" s="517" t="s">
        <v>179</v>
      </c>
      <c r="D97" s="459"/>
      <c r="E97" s="1459"/>
      <c r="F97" s="119"/>
      <c r="G97" s="1459"/>
      <c r="H97" s="119"/>
      <c r="I97" s="1459"/>
      <c r="J97" s="119"/>
      <c r="K97" s="1459"/>
      <c r="L97" s="120">
        <f t="shared" si="23"/>
        <v>0</v>
      </c>
      <c r="M97" s="1455">
        <f t="shared" si="23"/>
        <v>0</v>
      </c>
      <c r="N97" s="120">
        <f t="shared" si="23"/>
        <v>0</v>
      </c>
      <c r="O97" s="1455">
        <f t="shared" si="23"/>
        <v>0</v>
      </c>
      <c r="P97" s="1468">
        <f t="shared" ref="P97:Q112" si="34">L97+N97</f>
        <v>0</v>
      </c>
      <c r="Q97" s="1455">
        <f t="shared" si="34"/>
        <v>0</v>
      </c>
      <c r="R97" s="1471"/>
      <c r="S97" s="1466"/>
      <c r="T97" s="511"/>
      <c r="U97" s="1466"/>
      <c r="V97" s="564"/>
      <c r="W97" s="1466"/>
      <c r="X97" s="919">
        <f t="shared" si="24"/>
        <v>0</v>
      </c>
      <c r="Y97" s="1455">
        <f t="shared" si="24"/>
        <v>0</v>
      </c>
      <c r="Z97" s="1456">
        <f t="shared" si="25"/>
        <v>0</v>
      </c>
      <c r="AA97" s="116"/>
    </row>
    <row r="98" spans="1:27" s="118" customFormat="1" ht="24" x14ac:dyDescent="0.25">
      <c r="A98" s="1174"/>
      <c r="B98" s="1177"/>
      <c r="C98" s="517" t="s">
        <v>180</v>
      </c>
      <c r="D98" s="459"/>
      <c r="E98" s="1459"/>
      <c r="F98" s="119"/>
      <c r="G98" s="1459"/>
      <c r="H98" s="119"/>
      <c r="I98" s="1459"/>
      <c r="J98" s="119"/>
      <c r="K98" s="1459"/>
      <c r="L98" s="120">
        <f t="shared" si="23"/>
        <v>0</v>
      </c>
      <c r="M98" s="1455">
        <f t="shared" si="23"/>
        <v>0</v>
      </c>
      <c r="N98" s="120">
        <f t="shared" si="23"/>
        <v>0</v>
      </c>
      <c r="O98" s="1455">
        <f t="shared" si="23"/>
        <v>0</v>
      </c>
      <c r="P98" s="1468">
        <f t="shared" si="34"/>
        <v>0</v>
      </c>
      <c r="Q98" s="1455">
        <f t="shared" si="34"/>
        <v>0</v>
      </c>
      <c r="R98" s="1471"/>
      <c r="S98" s="1466"/>
      <c r="T98" s="511"/>
      <c r="U98" s="1466"/>
      <c r="V98" s="564"/>
      <c r="W98" s="1466"/>
      <c r="X98" s="919">
        <f t="shared" si="24"/>
        <v>0</v>
      </c>
      <c r="Y98" s="1455">
        <f t="shared" si="24"/>
        <v>0</v>
      </c>
      <c r="Z98" s="1456">
        <f t="shared" si="25"/>
        <v>0</v>
      </c>
      <c r="AA98" s="116"/>
    </row>
    <row r="99" spans="1:27" s="118" customFormat="1" ht="24" x14ac:dyDescent="0.25">
      <c r="A99" s="1175"/>
      <c r="B99" s="1178"/>
      <c r="C99" s="517" t="s">
        <v>826</v>
      </c>
      <c r="D99" s="459"/>
      <c r="E99" s="1459"/>
      <c r="F99" s="119"/>
      <c r="G99" s="1459"/>
      <c r="H99" s="119"/>
      <c r="I99" s="1459"/>
      <c r="J99" s="119"/>
      <c r="K99" s="1459"/>
      <c r="L99" s="120">
        <f t="shared" si="23"/>
        <v>0</v>
      </c>
      <c r="M99" s="1455">
        <f t="shared" si="23"/>
        <v>0</v>
      </c>
      <c r="N99" s="120">
        <f t="shared" si="23"/>
        <v>0</v>
      </c>
      <c r="O99" s="1455">
        <f t="shared" si="23"/>
        <v>0</v>
      </c>
      <c r="P99" s="1468">
        <f t="shared" si="34"/>
        <v>0</v>
      </c>
      <c r="Q99" s="1455">
        <f t="shared" si="34"/>
        <v>0</v>
      </c>
      <c r="R99" s="1471"/>
      <c r="S99" s="1466"/>
      <c r="T99" s="511"/>
      <c r="U99" s="1466"/>
      <c r="V99" s="564"/>
      <c r="W99" s="1466"/>
      <c r="X99" s="919">
        <f t="shared" si="24"/>
        <v>0</v>
      </c>
      <c r="Y99" s="1455">
        <f t="shared" si="24"/>
        <v>0</v>
      </c>
      <c r="Z99" s="1456">
        <f t="shared" si="25"/>
        <v>0</v>
      </c>
      <c r="AA99" s="116"/>
    </row>
    <row r="100" spans="1:27" s="118" customFormat="1" ht="24" x14ac:dyDescent="0.25">
      <c r="A100" s="927">
        <v>84</v>
      </c>
      <c r="B100" s="355" t="s">
        <v>181</v>
      </c>
      <c r="C100" s="512" t="s">
        <v>182</v>
      </c>
      <c r="D100" s="459"/>
      <c r="E100" s="1459"/>
      <c r="F100" s="119"/>
      <c r="G100" s="1459"/>
      <c r="H100" s="119"/>
      <c r="I100" s="1459"/>
      <c r="J100" s="119"/>
      <c r="K100" s="1459"/>
      <c r="L100" s="120">
        <f t="shared" si="23"/>
        <v>0</v>
      </c>
      <c r="M100" s="1455">
        <f t="shared" si="23"/>
        <v>0</v>
      </c>
      <c r="N100" s="120">
        <f t="shared" si="23"/>
        <v>0</v>
      </c>
      <c r="O100" s="1455">
        <f t="shared" si="23"/>
        <v>0</v>
      </c>
      <c r="P100" s="1468">
        <f t="shared" si="34"/>
        <v>0</v>
      </c>
      <c r="Q100" s="1455">
        <f t="shared" si="34"/>
        <v>0</v>
      </c>
      <c r="R100" s="1471"/>
      <c r="S100" s="1466"/>
      <c r="T100" s="511"/>
      <c r="U100" s="1466"/>
      <c r="V100" s="564"/>
      <c r="W100" s="1466"/>
      <c r="X100" s="919">
        <f t="shared" si="24"/>
        <v>0</v>
      </c>
      <c r="Y100" s="1455">
        <f t="shared" si="24"/>
        <v>0</v>
      </c>
      <c r="Z100" s="1456">
        <f t="shared" si="25"/>
        <v>0</v>
      </c>
      <c r="AA100" s="116"/>
    </row>
    <row r="101" spans="1:27" s="118" customFormat="1" x14ac:dyDescent="0.25">
      <c r="A101" s="927">
        <v>85</v>
      </c>
      <c r="B101" s="354" t="s">
        <v>183</v>
      </c>
      <c r="C101" s="512" t="s">
        <v>184</v>
      </c>
      <c r="D101" s="459"/>
      <c r="E101" s="1459"/>
      <c r="F101" s="119"/>
      <c r="G101" s="1459"/>
      <c r="H101" s="119"/>
      <c r="I101" s="1459"/>
      <c r="J101" s="119"/>
      <c r="K101" s="1459"/>
      <c r="L101" s="120">
        <f t="shared" si="23"/>
        <v>0</v>
      </c>
      <c r="M101" s="1455">
        <f t="shared" si="23"/>
        <v>0</v>
      </c>
      <c r="N101" s="120">
        <f t="shared" si="23"/>
        <v>0</v>
      </c>
      <c r="O101" s="1455">
        <f t="shared" si="23"/>
        <v>0</v>
      </c>
      <c r="P101" s="1468">
        <f t="shared" si="34"/>
        <v>0</v>
      </c>
      <c r="Q101" s="1455">
        <f t="shared" si="34"/>
        <v>0</v>
      </c>
      <c r="R101" s="1471"/>
      <c r="S101" s="1466"/>
      <c r="T101" s="511"/>
      <c r="U101" s="1466"/>
      <c r="V101" s="564"/>
      <c r="W101" s="1466"/>
      <c r="X101" s="919">
        <f t="shared" si="24"/>
        <v>0</v>
      </c>
      <c r="Y101" s="1455">
        <f t="shared" si="24"/>
        <v>0</v>
      </c>
      <c r="Z101" s="1456">
        <f t="shared" si="25"/>
        <v>0</v>
      </c>
      <c r="AA101" s="116"/>
    </row>
    <row r="102" spans="1:27" s="118" customFormat="1" x14ac:dyDescent="0.25">
      <c r="A102" s="927">
        <v>86</v>
      </c>
      <c r="B102" s="355" t="s">
        <v>185</v>
      </c>
      <c r="C102" s="512" t="s">
        <v>186</v>
      </c>
      <c r="D102" s="459"/>
      <c r="E102" s="1459"/>
      <c r="F102" s="119"/>
      <c r="G102" s="1459"/>
      <c r="H102" s="119"/>
      <c r="I102" s="1459"/>
      <c r="J102" s="119"/>
      <c r="K102" s="1459"/>
      <c r="L102" s="120">
        <f t="shared" si="23"/>
        <v>0</v>
      </c>
      <c r="M102" s="1455">
        <f t="shared" si="23"/>
        <v>0</v>
      </c>
      <c r="N102" s="120">
        <f t="shared" si="23"/>
        <v>0</v>
      </c>
      <c r="O102" s="1455">
        <f t="shared" si="23"/>
        <v>0</v>
      </c>
      <c r="P102" s="1468">
        <f t="shared" si="34"/>
        <v>0</v>
      </c>
      <c r="Q102" s="1455">
        <f t="shared" si="34"/>
        <v>0</v>
      </c>
      <c r="R102" s="1471"/>
      <c r="S102" s="1466"/>
      <c r="T102" s="511"/>
      <c r="U102" s="1466"/>
      <c r="V102" s="564"/>
      <c r="W102" s="1466"/>
      <c r="X102" s="919">
        <f t="shared" si="24"/>
        <v>0</v>
      </c>
      <c r="Y102" s="1455">
        <f t="shared" si="24"/>
        <v>0</v>
      </c>
      <c r="Z102" s="1456">
        <f t="shared" si="25"/>
        <v>0</v>
      </c>
      <c r="AA102" s="116"/>
    </row>
    <row r="103" spans="1:27" s="118" customFormat="1" x14ac:dyDescent="0.25">
      <c r="A103" s="927">
        <v>87</v>
      </c>
      <c r="B103" s="560" t="s">
        <v>187</v>
      </c>
      <c r="C103" s="513" t="s">
        <v>188</v>
      </c>
      <c r="D103" s="459"/>
      <c r="E103" s="1459"/>
      <c r="F103" s="119"/>
      <c r="G103" s="1459"/>
      <c r="H103" s="119"/>
      <c r="I103" s="1459"/>
      <c r="J103" s="119"/>
      <c r="K103" s="1459"/>
      <c r="L103" s="120">
        <f t="shared" si="23"/>
        <v>0</v>
      </c>
      <c r="M103" s="1455">
        <f t="shared" si="23"/>
        <v>0</v>
      </c>
      <c r="N103" s="120">
        <f t="shared" si="23"/>
        <v>0</v>
      </c>
      <c r="O103" s="1455">
        <f t="shared" si="23"/>
        <v>0</v>
      </c>
      <c r="P103" s="1468">
        <f t="shared" si="34"/>
        <v>0</v>
      </c>
      <c r="Q103" s="1455">
        <f t="shared" si="34"/>
        <v>0</v>
      </c>
      <c r="R103" s="1471">
        <v>550</v>
      </c>
      <c r="S103" s="1466">
        <f t="shared" si="28"/>
        <v>1520585</v>
      </c>
      <c r="T103" s="511">
        <v>1100</v>
      </c>
      <c r="U103" s="1466">
        <f t="shared" si="29"/>
        <v>3041170</v>
      </c>
      <c r="V103" s="564">
        <v>1650</v>
      </c>
      <c r="W103" s="1466">
        <f t="shared" si="30"/>
        <v>4561755</v>
      </c>
      <c r="X103" s="919">
        <f t="shared" si="24"/>
        <v>3300</v>
      </c>
      <c r="Y103" s="1455">
        <f t="shared" si="24"/>
        <v>9123510</v>
      </c>
      <c r="Z103" s="1456">
        <f t="shared" si="25"/>
        <v>9123510</v>
      </c>
      <c r="AA103" s="116"/>
    </row>
    <row r="104" spans="1:27" s="118" customFormat="1" x14ac:dyDescent="0.25">
      <c r="A104" s="927">
        <v>88</v>
      </c>
      <c r="B104" s="354" t="s">
        <v>189</v>
      </c>
      <c r="C104" s="512" t="s">
        <v>190</v>
      </c>
      <c r="D104" s="459"/>
      <c r="E104" s="1459"/>
      <c r="F104" s="119"/>
      <c r="G104" s="1459"/>
      <c r="H104" s="119"/>
      <c r="I104" s="1459"/>
      <c r="J104" s="119"/>
      <c r="K104" s="1459"/>
      <c r="L104" s="120">
        <f t="shared" si="23"/>
        <v>0</v>
      </c>
      <c r="M104" s="1455">
        <f t="shared" si="23"/>
        <v>0</v>
      </c>
      <c r="N104" s="120">
        <f t="shared" si="23"/>
        <v>0</v>
      </c>
      <c r="O104" s="1455">
        <f t="shared" si="23"/>
        <v>0</v>
      </c>
      <c r="P104" s="1468">
        <f t="shared" si="34"/>
        <v>0</v>
      </c>
      <c r="Q104" s="1455">
        <f t="shared" si="34"/>
        <v>0</v>
      </c>
      <c r="R104" s="1471">
        <v>550</v>
      </c>
      <c r="S104" s="1466">
        <f t="shared" si="28"/>
        <v>1520585</v>
      </c>
      <c r="T104" s="511">
        <v>1100</v>
      </c>
      <c r="U104" s="1466">
        <f t="shared" si="29"/>
        <v>3041170</v>
      </c>
      <c r="V104" s="564">
        <v>1650</v>
      </c>
      <c r="W104" s="1466">
        <f t="shared" si="30"/>
        <v>4561755</v>
      </c>
      <c r="X104" s="919">
        <f t="shared" si="24"/>
        <v>3300</v>
      </c>
      <c r="Y104" s="1455">
        <f t="shared" si="24"/>
        <v>9123510</v>
      </c>
      <c r="Z104" s="1456">
        <f t="shared" si="25"/>
        <v>9123510</v>
      </c>
      <c r="AA104" s="116"/>
    </row>
    <row r="105" spans="1:27" s="118" customFormat="1" x14ac:dyDescent="0.25">
      <c r="A105" s="927">
        <v>89</v>
      </c>
      <c r="B105" s="354" t="s">
        <v>191</v>
      </c>
      <c r="C105" s="512" t="s">
        <v>192</v>
      </c>
      <c r="D105" s="459">
        <v>942</v>
      </c>
      <c r="E105" s="1459">
        <f t="shared" si="26"/>
        <v>460967.7</v>
      </c>
      <c r="F105" s="119">
        <v>115</v>
      </c>
      <c r="G105" s="1459">
        <f t="shared" si="31"/>
        <v>281387.75</v>
      </c>
      <c r="H105" s="119">
        <v>942</v>
      </c>
      <c r="I105" s="1459">
        <f t="shared" si="27"/>
        <v>460967.7</v>
      </c>
      <c r="J105" s="119">
        <v>114</v>
      </c>
      <c r="K105" s="1459">
        <f t="shared" si="32"/>
        <v>278940.90000000002</v>
      </c>
      <c r="L105" s="120">
        <f t="shared" si="23"/>
        <v>1884</v>
      </c>
      <c r="M105" s="1455">
        <f t="shared" si="23"/>
        <v>921935.4</v>
      </c>
      <c r="N105" s="120">
        <f t="shared" si="23"/>
        <v>229</v>
      </c>
      <c r="O105" s="1455">
        <f t="shared" si="23"/>
        <v>560328.65</v>
      </c>
      <c r="P105" s="1468">
        <f t="shared" si="34"/>
        <v>2113</v>
      </c>
      <c r="Q105" s="1455">
        <f t="shared" si="34"/>
        <v>1482264.05</v>
      </c>
      <c r="R105" s="1471">
        <v>550</v>
      </c>
      <c r="S105" s="1466">
        <f t="shared" si="28"/>
        <v>1520585</v>
      </c>
      <c r="T105" s="511">
        <v>1100</v>
      </c>
      <c r="U105" s="1466">
        <f t="shared" si="29"/>
        <v>3041170</v>
      </c>
      <c r="V105" s="564">
        <v>1650</v>
      </c>
      <c r="W105" s="1466">
        <f t="shared" si="30"/>
        <v>4561755</v>
      </c>
      <c r="X105" s="919">
        <f t="shared" si="24"/>
        <v>3300</v>
      </c>
      <c r="Y105" s="1455">
        <f t="shared" si="24"/>
        <v>9123510</v>
      </c>
      <c r="Z105" s="1456">
        <f t="shared" si="25"/>
        <v>10605774.050000001</v>
      </c>
      <c r="AA105" s="116"/>
    </row>
    <row r="106" spans="1:27" s="118" customFormat="1" x14ac:dyDescent="0.25">
      <c r="A106" s="927">
        <v>90</v>
      </c>
      <c r="B106" s="560" t="s">
        <v>193</v>
      </c>
      <c r="C106" s="513" t="s">
        <v>194</v>
      </c>
      <c r="D106" s="459">
        <v>620</v>
      </c>
      <c r="E106" s="1459">
        <f t="shared" si="26"/>
        <v>303397</v>
      </c>
      <c r="F106" s="119">
        <v>65</v>
      </c>
      <c r="G106" s="1459">
        <f t="shared" si="31"/>
        <v>159045.25</v>
      </c>
      <c r="H106" s="119">
        <v>620</v>
      </c>
      <c r="I106" s="1459">
        <f t="shared" si="27"/>
        <v>303397</v>
      </c>
      <c r="J106" s="119">
        <v>65</v>
      </c>
      <c r="K106" s="1459">
        <f t="shared" si="32"/>
        <v>159045.25</v>
      </c>
      <c r="L106" s="120">
        <f t="shared" si="23"/>
        <v>1240</v>
      </c>
      <c r="M106" s="1455">
        <f t="shared" si="23"/>
        <v>606794</v>
      </c>
      <c r="N106" s="120">
        <f t="shared" si="23"/>
        <v>130</v>
      </c>
      <c r="O106" s="1455">
        <f t="shared" si="23"/>
        <v>318090.5</v>
      </c>
      <c r="P106" s="1468">
        <f t="shared" si="34"/>
        <v>1370</v>
      </c>
      <c r="Q106" s="1455">
        <f t="shared" si="34"/>
        <v>924884.5</v>
      </c>
      <c r="R106" s="1471">
        <v>275</v>
      </c>
      <c r="S106" s="1466">
        <f t="shared" si="28"/>
        <v>760292.5</v>
      </c>
      <c r="T106" s="511">
        <v>550</v>
      </c>
      <c r="U106" s="1466">
        <f t="shared" si="29"/>
        <v>1520585</v>
      </c>
      <c r="V106" s="564">
        <v>825</v>
      </c>
      <c r="W106" s="1466">
        <f t="shared" si="30"/>
        <v>2280877.5</v>
      </c>
      <c r="X106" s="919">
        <f t="shared" si="24"/>
        <v>1650</v>
      </c>
      <c r="Y106" s="1455">
        <f t="shared" si="24"/>
        <v>4561755</v>
      </c>
      <c r="Z106" s="1456">
        <f t="shared" si="25"/>
        <v>5486639.5</v>
      </c>
      <c r="AA106" s="116"/>
    </row>
    <row r="107" spans="1:27" s="118" customFormat="1" x14ac:dyDescent="0.25">
      <c r="A107" s="927">
        <v>91</v>
      </c>
      <c r="B107" s="354" t="s">
        <v>195</v>
      </c>
      <c r="C107" s="512" t="s">
        <v>196</v>
      </c>
      <c r="D107" s="459">
        <v>574</v>
      </c>
      <c r="E107" s="1459">
        <f t="shared" si="26"/>
        <v>280886.90000000002</v>
      </c>
      <c r="F107" s="119"/>
      <c r="G107" s="1459"/>
      <c r="H107" s="119">
        <v>573</v>
      </c>
      <c r="I107" s="1459">
        <f t="shared" si="27"/>
        <v>280397.55</v>
      </c>
      <c r="J107" s="119"/>
      <c r="K107" s="1459"/>
      <c r="L107" s="120">
        <f t="shared" si="23"/>
        <v>1147</v>
      </c>
      <c r="M107" s="1455">
        <f t="shared" si="23"/>
        <v>561284.44999999995</v>
      </c>
      <c r="N107" s="120">
        <f t="shared" si="23"/>
        <v>0</v>
      </c>
      <c r="O107" s="1455">
        <f t="shared" si="23"/>
        <v>0</v>
      </c>
      <c r="P107" s="1468">
        <f t="shared" si="34"/>
        <v>1147</v>
      </c>
      <c r="Q107" s="1455">
        <f t="shared" si="34"/>
        <v>561284.44999999995</v>
      </c>
      <c r="R107" s="1471">
        <v>550</v>
      </c>
      <c r="S107" s="1466">
        <f t="shared" si="28"/>
        <v>1520585</v>
      </c>
      <c r="T107" s="511">
        <v>1100</v>
      </c>
      <c r="U107" s="1466">
        <f t="shared" si="29"/>
        <v>3041170</v>
      </c>
      <c r="V107" s="564">
        <v>1650</v>
      </c>
      <c r="W107" s="1466">
        <f t="shared" si="30"/>
        <v>4561755</v>
      </c>
      <c r="X107" s="919">
        <f t="shared" si="24"/>
        <v>3300</v>
      </c>
      <c r="Y107" s="1455">
        <f t="shared" si="24"/>
        <v>9123510</v>
      </c>
      <c r="Z107" s="1456">
        <f t="shared" si="25"/>
        <v>9684794.4499999993</v>
      </c>
      <c r="AA107" s="116"/>
    </row>
    <row r="108" spans="1:27" s="118" customFormat="1" x14ac:dyDescent="0.25">
      <c r="A108" s="927">
        <v>92</v>
      </c>
      <c r="B108" s="560" t="s">
        <v>197</v>
      </c>
      <c r="C108" s="513" t="s">
        <v>198</v>
      </c>
      <c r="D108" s="459">
        <v>774</v>
      </c>
      <c r="E108" s="1459">
        <f t="shared" si="26"/>
        <v>378756.9</v>
      </c>
      <c r="F108" s="119">
        <v>153</v>
      </c>
      <c r="G108" s="1459">
        <f t="shared" si="31"/>
        <v>374368.05</v>
      </c>
      <c r="H108" s="119">
        <v>773</v>
      </c>
      <c r="I108" s="1459">
        <f t="shared" si="27"/>
        <v>378267.55</v>
      </c>
      <c r="J108" s="119">
        <v>153</v>
      </c>
      <c r="K108" s="1459">
        <f t="shared" si="32"/>
        <v>374368.05</v>
      </c>
      <c r="L108" s="120">
        <f t="shared" si="23"/>
        <v>1547</v>
      </c>
      <c r="M108" s="1455">
        <f t="shared" si="23"/>
        <v>757024.45</v>
      </c>
      <c r="N108" s="120">
        <f t="shared" si="23"/>
        <v>306</v>
      </c>
      <c r="O108" s="1455">
        <f t="shared" si="23"/>
        <v>748736.1</v>
      </c>
      <c r="P108" s="1468">
        <f t="shared" si="34"/>
        <v>1853</v>
      </c>
      <c r="Q108" s="1455">
        <f t="shared" si="34"/>
        <v>1505760.5499999998</v>
      </c>
      <c r="R108" s="1471">
        <v>550</v>
      </c>
      <c r="S108" s="1466">
        <f t="shared" si="28"/>
        <v>1520585</v>
      </c>
      <c r="T108" s="511">
        <v>1100</v>
      </c>
      <c r="U108" s="1466">
        <f t="shared" si="29"/>
        <v>3041170</v>
      </c>
      <c r="V108" s="564">
        <v>1650</v>
      </c>
      <c r="W108" s="1466">
        <f t="shared" si="30"/>
        <v>4561755</v>
      </c>
      <c r="X108" s="919">
        <f t="shared" si="24"/>
        <v>3300</v>
      </c>
      <c r="Y108" s="1455">
        <f t="shared" si="24"/>
        <v>9123510</v>
      </c>
      <c r="Z108" s="1456">
        <f t="shared" si="25"/>
        <v>10629270.550000001</v>
      </c>
      <c r="AA108" s="116"/>
    </row>
    <row r="109" spans="1:27" s="118" customFormat="1" x14ac:dyDescent="0.25">
      <c r="A109" s="927">
        <v>93</v>
      </c>
      <c r="B109" s="354" t="s">
        <v>199</v>
      </c>
      <c r="C109" s="512" t="s">
        <v>200</v>
      </c>
      <c r="D109" s="459">
        <v>946</v>
      </c>
      <c r="E109" s="1459">
        <f t="shared" si="26"/>
        <v>462925.1</v>
      </c>
      <c r="F109" s="119">
        <v>188</v>
      </c>
      <c r="G109" s="1459">
        <f t="shared" si="31"/>
        <v>460007.8</v>
      </c>
      <c r="H109" s="119">
        <v>946</v>
      </c>
      <c r="I109" s="1459">
        <f t="shared" si="27"/>
        <v>462925.1</v>
      </c>
      <c r="J109" s="119">
        <v>187</v>
      </c>
      <c r="K109" s="1459">
        <f t="shared" si="32"/>
        <v>457560.95</v>
      </c>
      <c r="L109" s="120">
        <f t="shared" si="23"/>
        <v>1892</v>
      </c>
      <c r="M109" s="1455">
        <f t="shared" si="23"/>
        <v>925850.2</v>
      </c>
      <c r="N109" s="120">
        <f t="shared" si="23"/>
        <v>375</v>
      </c>
      <c r="O109" s="1455">
        <f t="shared" si="23"/>
        <v>917568.75</v>
      </c>
      <c r="P109" s="1468">
        <f t="shared" si="34"/>
        <v>2267</v>
      </c>
      <c r="Q109" s="1455">
        <f t="shared" si="34"/>
        <v>1843418.95</v>
      </c>
      <c r="R109" s="1471">
        <v>550</v>
      </c>
      <c r="S109" s="1466">
        <f t="shared" si="28"/>
        <v>1520585</v>
      </c>
      <c r="T109" s="511">
        <v>1100</v>
      </c>
      <c r="U109" s="1466">
        <f t="shared" si="29"/>
        <v>3041170</v>
      </c>
      <c r="V109" s="564">
        <v>1650</v>
      </c>
      <c r="W109" s="1466">
        <f t="shared" si="30"/>
        <v>4561755</v>
      </c>
      <c r="X109" s="919">
        <f t="shared" si="24"/>
        <v>3300</v>
      </c>
      <c r="Y109" s="1455">
        <f t="shared" si="24"/>
        <v>9123510</v>
      </c>
      <c r="Z109" s="1456">
        <f t="shared" si="25"/>
        <v>10966928.949999999</v>
      </c>
      <c r="AA109" s="116"/>
    </row>
    <row r="110" spans="1:27" s="118" customFormat="1" x14ac:dyDescent="0.25">
      <c r="A110" s="927">
        <v>94</v>
      </c>
      <c r="B110" s="355" t="s">
        <v>201</v>
      </c>
      <c r="C110" s="512" t="s">
        <v>202</v>
      </c>
      <c r="D110" s="459"/>
      <c r="E110" s="1459"/>
      <c r="F110" s="119"/>
      <c r="G110" s="1459"/>
      <c r="H110" s="119"/>
      <c r="I110" s="1459"/>
      <c r="J110" s="119"/>
      <c r="K110" s="1459"/>
      <c r="L110" s="120">
        <f t="shared" si="23"/>
        <v>0</v>
      </c>
      <c r="M110" s="1455">
        <f t="shared" si="23"/>
        <v>0</v>
      </c>
      <c r="N110" s="120">
        <f t="shared" si="23"/>
        <v>0</v>
      </c>
      <c r="O110" s="1455">
        <f t="shared" si="23"/>
        <v>0</v>
      </c>
      <c r="P110" s="1468">
        <f t="shared" si="34"/>
        <v>0</v>
      </c>
      <c r="Q110" s="1455">
        <f t="shared" si="34"/>
        <v>0</v>
      </c>
      <c r="R110" s="1471">
        <v>275</v>
      </c>
      <c r="S110" s="1466">
        <f t="shared" si="28"/>
        <v>760292.5</v>
      </c>
      <c r="T110" s="511">
        <v>550</v>
      </c>
      <c r="U110" s="1466">
        <f t="shared" si="29"/>
        <v>1520585</v>
      </c>
      <c r="V110" s="564">
        <v>825</v>
      </c>
      <c r="W110" s="1466">
        <f t="shared" si="30"/>
        <v>2280877.5</v>
      </c>
      <c r="X110" s="919">
        <f t="shared" si="24"/>
        <v>1650</v>
      </c>
      <c r="Y110" s="1455">
        <f t="shared" si="24"/>
        <v>4561755</v>
      </c>
      <c r="Z110" s="1456">
        <f t="shared" si="25"/>
        <v>4561755</v>
      </c>
      <c r="AA110" s="116"/>
    </row>
    <row r="111" spans="1:27" s="118" customFormat="1" x14ac:dyDescent="0.25">
      <c r="A111" s="927">
        <v>95</v>
      </c>
      <c r="B111" s="354" t="s">
        <v>203</v>
      </c>
      <c r="C111" s="510" t="s">
        <v>204</v>
      </c>
      <c r="D111" s="459">
        <v>881</v>
      </c>
      <c r="E111" s="1459">
        <f t="shared" si="26"/>
        <v>431117.35</v>
      </c>
      <c r="F111" s="119"/>
      <c r="G111" s="1459"/>
      <c r="H111" s="119">
        <v>880</v>
      </c>
      <c r="I111" s="1459">
        <f t="shared" si="27"/>
        <v>430628</v>
      </c>
      <c r="J111" s="119"/>
      <c r="K111" s="1459"/>
      <c r="L111" s="120">
        <f t="shared" ref="L111:O142" si="35">D111+H111</f>
        <v>1761</v>
      </c>
      <c r="M111" s="1455">
        <f t="shared" si="35"/>
        <v>861745.35</v>
      </c>
      <c r="N111" s="120">
        <f t="shared" si="35"/>
        <v>0</v>
      </c>
      <c r="O111" s="1455">
        <f t="shared" si="35"/>
        <v>0</v>
      </c>
      <c r="P111" s="1468">
        <f t="shared" si="34"/>
        <v>1761</v>
      </c>
      <c r="Q111" s="1455">
        <f t="shared" si="34"/>
        <v>861745.35</v>
      </c>
      <c r="R111" s="1471">
        <v>550</v>
      </c>
      <c r="S111" s="1466">
        <f t="shared" si="28"/>
        <v>1520585</v>
      </c>
      <c r="T111" s="511">
        <v>1100</v>
      </c>
      <c r="U111" s="1466">
        <f t="shared" si="29"/>
        <v>3041170</v>
      </c>
      <c r="V111" s="564">
        <v>1650</v>
      </c>
      <c r="W111" s="1466">
        <f t="shared" si="30"/>
        <v>4561755</v>
      </c>
      <c r="X111" s="919">
        <f t="shared" si="24"/>
        <v>3300</v>
      </c>
      <c r="Y111" s="1455">
        <f t="shared" si="24"/>
        <v>9123510</v>
      </c>
      <c r="Z111" s="1456">
        <f t="shared" si="25"/>
        <v>9985255.3499999996</v>
      </c>
      <c r="AA111" s="116"/>
    </row>
    <row r="112" spans="1:27" s="118" customFormat="1" x14ac:dyDescent="0.25">
      <c r="A112" s="927">
        <v>96</v>
      </c>
      <c r="B112" s="354" t="s">
        <v>205</v>
      </c>
      <c r="C112" s="513" t="s">
        <v>206</v>
      </c>
      <c r="D112" s="459"/>
      <c r="E112" s="1459"/>
      <c r="F112" s="119"/>
      <c r="G112" s="1459"/>
      <c r="H112" s="119"/>
      <c r="I112" s="1459"/>
      <c r="J112" s="119"/>
      <c r="K112" s="1459"/>
      <c r="L112" s="120">
        <f t="shared" si="35"/>
        <v>0</v>
      </c>
      <c r="M112" s="1455">
        <f t="shared" si="35"/>
        <v>0</v>
      </c>
      <c r="N112" s="120">
        <f t="shared" si="35"/>
        <v>0</v>
      </c>
      <c r="O112" s="1455">
        <f t="shared" si="35"/>
        <v>0</v>
      </c>
      <c r="P112" s="1468">
        <f t="shared" si="34"/>
        <v>0</v>
      </c>
      <c r="Q112" s="1455">
        <f t="shared" si="34"/>
        <v>0</v>
      </c>
      <c r="R112" s="1471">
        <v>550</v>
      </c>
      <c r="S112" s="1466">
        <f t="shared" si="28"/>
        <v>1520585</v>
      </c>
      <c r="T112" s="511">
        <v>1100</v>
      </c>
      <c r="U112" s="1466">
        <f t="shared" si="29"/>
        <v>3041170</v>
      </c>
      <c r="V112" s="564">
        <v>1650</v>
      </c>
      <c r="W112" s="1466">
        <f t="shared" si="30"/>
        <v>4561755</v>
      </c>
      <c r="X112" s="919">
        <f t="shared" si="24"/>
        <v>3300</v>
      </c>
      <c r="Y112" s="1455">
        <f t="shared" si="24"/>
        <v>9123510</v>
      </c>
      <c r="Z112" s="1456">
        <f t="shared" si="25"/>
        <v>9123510</v>
      </c>
      <c r="AA112" s="116"/>
    </row>
    <row r="113" spans="1:27" s="118" customFormat="1" x14ac:dyDescent="0.25">
      <c r="A113" s="927">
        <v>97</v>
      </c>
      <c r="B113" s="355" t="s">
        <v>207</v>
      </c>
      <c r="C113" s="512" t="s">
        <v>208</v>
      </c>
      <c r="D113" s="459">
        <v>1930</v>
      </c>
      <c r="E113" s="1459">
        <f t="shared" si="26"/>
        <v>944445.5</v>
      </c>
      <c r="F113" s="119">
        <v>265</v>
      </c>
      <c r="G113" s="1459">
        <f t="shared" si="31"/>
        <v>648415.25</v>
      </c>
      <c r="H113" s="119">
        <v>1929</v>
      </c>
      <c r="I113" s="1459">
        <f t="shared" si="27"/>
        <v>943956.15</v>
      </c>
      <c r="J113" s="119">
        <v>265</v>
      </c>
      <c r="K113" s="1459">
        <f t="shared" si="32"/>
        <v>648415.25</v>
      </c>
      <c r="L113" s="120">
        <f t="shared" si="35"/>
        <v>3859</v>
      </c>
      <c r="M113" s="1455">
        <f t="shared" si="35"/>
        <v>1888401.65</v>
      </c>
      <c r="N113" s="120">
        <f t="shared" si="35"/>
        <v>530</v>
      </c>
      <c r="O113" s="1455">
        <f t="shared" si="35"/>
        <v>1296830.5</v>
      </c>
      <c r="P113" s="1468">
        <f t="shared" ref="P113:Q144" si="36">L113+N113</f>
        <v>4389</v>
      </c>
      <c r="Q113" s="1455">
        <f t="shared" si="36"/>
        <v>3185232.15</v>
      </c>
      <c r="R113" s="1471">
        <v>605</v>
      </c>
      <c r="S113" s="1466">
        <f t="shared" si="28"/>
        <v>1672643.5</v>
      </c>
      <c r="T113" s="511">
        <v>1210</v>
      </c>
      <c r="U113" s="1466">
        <f t="shared" si="29"/>
        <v>3345287</v>
      </c>
      <c r="V113" s="564">
        <v>1815</v>
      </c>
      <c r="W113" s="1466">
        <f t="shared" si="30"/>
        <v>5017930.5</v>
      </c>
      <c r="X113" s="919">
        <f t="shared" si="24"/>
        <v>3630</v>
      </c>
      <c r="Y113" s="1455">
        <f t="shared" si="24"/>
        <v>10035861</v>
      </c>
      <c r="Z113" s="1456">
        <f t="shared" si="25"/>
        <v>13221093.15</v>
      </c>
      <c r="AA113" s="116"/>
    </row>
    <row r="114" spans="1:27" s="118" customFormat="1" x14ac:dyDescent="0.25">
      <c r="A114" s="927">
        <v>98</v>
      </c>
      <c r="B114" s="354" t="s">
        <v>209</v>
      </c>
      <c r="C114" s="510" t="s">
        <v>210</v>
      </c>
      <c r="D114" s="459">
        <v>478</v>
      </c>
      <c r="E114" s="1459">
        <f t="shared" si="26"/>
        <v>233909.3</v>
      </c>
      <c r="F114" s="119"/>
      <c r="G114" s="1459"/>
      <c r="H114" s="119">
        <v>478</v>
      </c>
      <c r="I114" s="1459">
        <f t="shared" si="27"/>
        <v>233909.3</v>
      </c>
      <c r="J114" s="119"/>
      <c r="K114" s="1459">
        <f t="shared" si="32"/>
        <v>0</v>
      </c>
      <c r="L114" s="120">
        <f t="shared" si="35"/>
        <v>956</v>
      </c>
      <c r="M114" s="1455">
        <f t="shared" si="35"/>
        <v>467818.6</v>
      </c>
      <c r="N114" s="120">
        <f t="shared" si="35"/>
        <v>0</v>
      </c>
      <c r="O114" s="1455">
        <f t="shared" si="35"/>
        <v>0</v>
      </c>
      <c r="P114" s="1468">
        <f t="shared" si="36"/>
        <v>956</v>
      </c>
      <c r="Q114" s="1455">
        <f t="shared" si="36"/>
        <v>467818.6</v>
      </c>
      <c r="R114" s="1471">
        <v>550</v>
      </c>
      <c r="S114" s="1466">
        <f t="shared" si="28"/>
        <v>1520585</v>
      </c>
      <c r="T114" s="511">
        <v>1100</v>
      </c>
      <c r="U114" s="1466">
        <f t="shared" si="29"/>
        <v>3041170</v>
      </c>
      <c r="V114" s="564">
        <v>1650</v>
      </c>
      <c r="W114" s="1466">
        <f t="shared" si="30"/>
        <v>4561755</v>
      </c>
      <c r="X114" s="919">
        <f t="shared" si="24"/>
        <v>3300</v>
      </c>
      <c r="Y114" s="1455">
        <f t="shared" si="24"/>
        <v>9123510</v>
      </c>
      <c r="Z114" s="1456">
        <f t="shared" si="25"/>
        <v>9591328.5999999996</v>
      </c>
      <c r="AA114" s="116"/>
    </row>
    <row r="115" spans="1:27" s="118" customFormat="1" x14ac:dyDescent="0.25">
      <c r="A115" s="927">
        <v>99</v>
      </c>
      <c r="B115" s="355" t="s">
        <v>211</v>
      </c>
      <c r="C115" s="512" t="s">
        <v>212</v>
      </c>
      <c r="D115" s="459">
        <v>1353</v>
      </c>
      <c r="E115" s="1459">
        <f t="shared" si="26"/>
        <v>662090.55000000005</v>
      </c>
      <c r="F115" s="119">
        <v>198</v>
      </c>
      <c r="G115" s="1459">
        <f t="shared" si="31"/>
        <v>484476.3</v>
      </c>
      <c r="H115" s="119">
        <v>1353</v>
      </c>
      <c r="I115" s="1459">
        <f t="shared" si="27"/>
        <v>662090.55000000005</v>
      </c>
      <c r="J115" s="119">
        <v>197</v>
      </c>
      <c r="K115" s="1459">
        <f t="shared" si="32"/>
        <v>482029.45</v>
      </c>
      <c r="L115" s="120">
        <f t="shared" si="35"/>
        <v>2706</v>
      </c>
      <c r="M115" s="1455">
        <f t="shared" si="35"/>
        <v>1324181.1000000001</v>
      </c>
      <c r="N115" s="120">
        <f t="shared" si="35"/>
        <v>395</v>
      </c>
      <c r="O115" s="1455">
        <f t="shared" si="35"/>
        <v>966505.75</v>
      </c>
      <c r="P115" s="1468">
        <f t="shared" si="36"/>
        <v>3101</v>
      </c>
      <c r="Q115" s="1455">
        <f t="shared" si="36"/>
        <v>2290686.85</v>
      </c>
      <c r="R115" s="1471">
        <v>550</v>
      </c>
      <c r="S115" s="1466">
        <f t="shared" si="28"/>
        <v>1520585</v>
      </c>
      <c r="T115" s="511">
        <v>1100</v>
      </c>
      <c r="U115" s="1466">
        <f t="shared" si="29"/>
        <v>3041170</v>
      </c>
      <c r="V115" s="564">
        <v>1650</v>
      </c>
      <c r="W115" s="1466">
        <f t="shared" si="30"/>
        <v>4561755</v>
      </c>
      <c r="X115" s="919">
        <f t="shared" si="24"/>
        <v>3300</v>
      </c>
      <c r="Y115" s="1455">
        <f t="shared" si="24"/>
        <v>9123510</v>
      </c>
      <c r="Z115" s="1456">
        <f t="shared" si="25"/>
        <v>11414196.85</v>
      </c>
      <c r="AA115" s="116"/>
    </row>
    <row r="116" spans="1:27" s="118" customFormat="1" x14ac:dyDescent="0.25">
      <c r="A116" s="927">
        <v>100</v>
      </c>
      <c r="B116" s="355" t="s">
        <v>213</v>
      </c>
      <c r="C116" s="512" t="s">
        <v>214</v>
      </c>
      <c r="D116" s="459">
        <v>1213</v>
      </c>
      <c r="E116" s="1459">
        <f t="shared" si="26"/>
        <v>593581.55000000005</v>
      </c>
      <c r="F116" s="119">
        <v>208</v>
      </c>
      <c r="G116" s="1459">
        <f t="shared" si="31"/>
        <v>508944.8</v>
      </c>
      <c r="H116" s="119">
        <v>1213</v>
      </c>
      <c r="I116" s="1459">
        <f t="shared" si="27"/>
        <v>593581.55000000005</v>
      </c>
      <c r="J116" s="119">
        <v>208</v>
      </c>
      <c r="K116" s="1459">
        <f t="shared" si="32"/>
        <v>508944.8</v>
      </c>
      <c r="L116" s="120">
        <f t="shared" si="35"/>
        <v>2426</v>
      </c>
      <c r="M116" s="1455">
        <f t="shared" si="35"/>
        <v>1187163.1000000001</v>
      </c>
      <c r="N116" s="120">
        <f t="shared" si="35"/>
        <v>416</v>
      </c>
      <c r="O116" s="1455">
        <f t="shared" si="35"/>
        <v>1017889.6</v>
      </c>
      <c r="P116" s="1468">
        <f t="shared" si="36"/>
        <v>2842</v>
      </c>
      <c r="Q116" s="1455">
        <f t="shared" si="36"/>
        <v>2205052.7000000002</v>
      </c>
      <c r="R116" s="1471">
        <v>550</v>
      </c>
      <c r="S116" s="1466">
        <f t="shared" si="28"/>
        <v>1520585</v>
      </c>
      <c r="T116" s="511">
        <v>1100</v>
      </c>
      <c r="U116" s="1466">
        <f t="shared" si="29"/>
        <v>3041170</v>
      </c>
      <c r="V116" s="564">
        <v>1650</v>
      </c>
      <c r="W116" s="1466">
        <f t="shared" si="30"/>
        <v>4561755</v>
      </c>
      <c r="X116" s="919">
        <f t="shared" si="24"/>
        <v>3300</v>
      </c>
      <c r="Y116" s="1455">
        <f t="shared" si="24"/>
        <v>9123510</v>
      </c>
      <c r="Z116" s="1456">
        <f t="shared" si="25"/>
        <v>11328562.699999999</v>
      </c>
      <c r="AA116" s="116"/>
    </row>
    <row r="117" spans="1:27" s="118" customFormat="1" x14ac:dyDescent="0.25">
      <c r="A117" s="927">
        <v>101</v>
      </c>
      <c r="B117" s="354" t="s">
        <v>215</v>
      </c>
      <c r="C117" s="513" t="s">
        <v>216</v>
      </c>
      <c r="D117" s="459"/>
      <c r="E117" s="1459"/>
      <c r="F117" s="119"/>
      <c r="G117" s="1459"/>
      <c r="H117" s="119"/>
      <c r="I117" s="1459"/>
      <c r="J117" s="119"/>
      <c r="K117" s="1459"/>
      <c r="L117" s="120">
        <f t="shared" si="35"/>
        <v>0</v>
      </c>
      <c r="M117" s="1455">
        <f t="shared" si="35"/>
        <v>0</v>
      </c>
      <c r="N117" s="120">
        <f t="shared" si="35"/>
        <v>0</v>
      </c>
      <c r="O117" s="1455">
        <f t="shared" si="35"/>
        <v>0</v>
      </c>
      <c r="P117" s="1468">
        <f t="shared" si="36"/>
        <v>0</v>
      </c>
      <c r="Q117" s="1455">
        <f t="shared" si="36"/>
        <v>0</v>
      </c>
      <c r="R117" s="1471">
        <v>550</v>
      </c>
      <c r="S117" s="1466">
        <f t="shared" si="28"/>
        <v>1520585</v>
      </c>
      <c r="T117" s="511">
        <v>1100</v>
      </c>
      <c r="U117" s="1466">
        <f t="shared" si="29"/>
        <v>3041170</v>
      </c>
      <c r="V117" s="564">
        <v>1650</v>
      </c>
      <c r="W117" s="1466">
        <f t="shared" si="30"/>
        <v>4561755</v>
      </c>
      <c r="X117" s="919">
        <f t="shared" si="24"/>
        <v>3300</v>
      </c>
      <c r="Y117" s="1455">
        <f t="shared" si="24"/>
        <v>9123510</v>
      </c>
      <c r="Z117" s="1456">
        <f t="shared" si="25"/>
        <v>9123510</v>
      </c>
      <c r="AA117" s="116"/>
    </row>
    <row r="118" spans="1:27" s="118" customFormat="1" x14ac:dyDescent="0.25">
      <c r="A118" s="927">
        <v>102</v>
      </c>
      <c r="B118" s="354" t="s">
        <v>217</v>
      </c>
      <c r="C118" s="510" t="s">
        <v>218</v>
      </c>
      <c r="D118" s="459"/>
      <c r="E118" s="1459"/>
      <c r="F118" s="119"/>
      <c r="G118" s="1459"/>
      <c r="H118" s="119"/>
      <c r="I118" s="1459"/>
      <c r="J118" s="119"/>
      <c r="K118" s="1459"/>
      <c r="L118" s="120">
        <f t="shared" si="35"/>
        <v>0</v>
      </c>
      <c r="M118" s="1455">
        <f t="shared" si="35"/>
        <v>0</v>
      </c>
      <c r="N118" s="120">
        <f t="shared" si="35"/>
        <v>0</v>
      </c>
      <c r="O118" s="1455">
        <f t="shared" si="35"/>
        <v>0</v>
      </c>
      <c r="P118" s="1468">
        <f t="shared" si="36"/>
        <v>0</v>
      </c>
      <c r="Q118" s="1455">
        <f t="shared" si="36"/>
        <v>0</v>
      </c>
      <c r="R118" s="1471"/>
      <c r="S118" s="1466"/>
      <c r="T118" s="511"/>
      <c r="U118" s="1466"/>
      <c r="V118" s="564"/>
      <c r="W118" s="1466"/>
      <c r="X118" s="919">
        <f t="shared" si="24"/>
        <v>0</v>
      </c>
      <c r="Y118" s="1455">
        <f t="shared" si="24"/>
        <v>0</v>
      </c>
      <c r="Z118" s="1456">
        <f t="shared" si="25"/>
        <v>0</v>
      </c>
      <c r="AA118" s="116"/>
    </row>
    <row r="119" spans="1:27" s="118" customFormat="1" x14ac:dyDescent="0.25">
      <c r="A119" s="927">
        <v>103</v>
      </c>
      <c r="B119" s="354" t="s">
        <v>219</v>
      </c>
      <c r="C119" s="510" t="s">
        <v>220</v>
      </c>
      <c r="D119" s="459"/>
      <c r="E119" s="1459"/>
      <c r="F119" s="119"/>
      <c r="G119" s="1459"/>
      <c r="H119" s="119"/>
      <c r="I119" s="1459"/>
      <c r="J119" s="119"/>
      <c r="K119" s="1459"/>
      <c r="L119" s="120">
        <f t="shared" si="35"/>
        <v>0</v>
      </c>
      <c r="M119" s="1455">
        <f t="shared" si="35"/>
        <v>0</v>
      </c>
      <c r="N119" s="120">
        <f t="shared" si="35"/>
        <v>0</v>
      </c>
      <c r="O119" s="1455">
        <f t="shared" si="35"/>
        <v>0</v>
      </c>
      <c r="P119" s="1468">
        <f t="shared" si="36"/>
        <v>0</v>
      </c>
      <c r="Q119" s="1455">
        <f t="shared" si="36"/>
        <v>0</v>
      </c>
      <c r="R119" s="1471"/>
      <c r="S119" s="1466"/>
      <c r="T119" s="511"/>
      <c r="U119" s="1466"/>
      <c r="V119" s="564"/>
      <c r="W119" s="1466"/>
      <c r="X119" s="919">
        <f t="shared" si="24"/>
        <v>0</v>
      </c>
      <c r="Y119" s="1455">
        <f t="shared" si="24"/>
        <v>0</v>
      </c>
      <c r="Z119" s="1456">
        <f t="shared" si="25"/>
        <v>0</v>
      </c>
      <c r="AA119" s="116"/>
    </row>
    <row r="120" spans="1:27" s="118" customFormat="1" x14ac:dyDescent="0.25">
      <c r="A120" s="927">
        <v>104</v>
      </c>
      <c r="B120" s="354" t="s">
        <v>221</v>
      </c>
      <c r="C120" s="510" t="s">
        <v>222</v>
      </c>
      <c r="D120" s="459"/>
      <c r="E120" s="1459"/>
      <c r="F120" s="119"/>
      <c r="G120" s="1459"/>
      <c r="H120" s="119"/>
      <c r="I120" s="1459"/>
      <c r="J120" s="119"/>
      <c r="K120" s="1459"/>
      <c r="L120" s="120">
        <f t="shared" si="35"/>
        <v>0</v>
      </c>
      <c r="M120" s="1455">
        <f t="shared" si="35"/>
        <v>0</v>
      </c>
      <c r="N120" s="120">
        <f t="shared" si="35"/>
        <v>0</v>
      </c>
      <c r="O120" s="1455">
        <f t="shared" si="35"/>
        <v>0</v>
      </c>
      <c r="P120" s="1468">
        <f t="shared" si="36"/>
        <v>0</v>
      </c>
      <c r="Q120" s="1455">
        <f t="shared" si="36"/>
        <v>0</v>
      </c>
      <c r="R120" s="1471"/>
      <c r="S120" s="1466"/>
      <c r="T120" s="511"/>
      <c r="U120" s="1466"/>
      <c r="V120" s="564"/>
      <c r="W120" s="1466"/>
      <c r="X120" s="919">
        <f t="shared" si="24"/>
        <v>0</v>
      </c>
      <c r="Y120" s="1455">
        <f t="shared" si="24"/>
        <v>0</v>
      </c>
      <c r="Z120" s="1456">
        <f t="shared" si="25"/>
        <v>0</v>
      </c>
      <c r="AA120" s="116"/>
    </row>
    <row r="121" spans="1:27" s="118" customFormat="1" x14ac:dyDescent="0.25">
      <c r="A121" s="927">
        <v>105</v>
      </c>
      <c r="B121" s="355" t="s">
        <v>223</v>
      </c>
      <c r="C121" s="512" t="s">
        <v>224</v>
      </c>
      <c r="D121" s="459"/>
      <c r="E121" s="1459"/>
      <c r="F121" s="119"/>
      <c r="G121" s="1459"/>
      <c r="H121" s="119"/>
      <c r="I121" s="1459"/>
      <c r="J121" s="119"/>
      <c r="K121" s="1459"/>
      <c r="L121" s="120">
        <f t="shared" si="35"/>
        <v>0</v>
      </c>
      <c r="M121" s="1455">
        <f t="shared" si="35"/>
        <v>0</v>
      </c>
      <c r="N121" s="120">
        <f t="shared" si="35"/>
        <v>0</v>
      </c>
      <c r="O121" s="1455">
        <f t="shared" si="35"/>
        <v>0</v>
      </c>
      <c r="P121" s="1468">
        <f t="shared" si="36"/>
        <v>0</v>
      </c>
      <c r="Q121" s="1455">
        <f t="shared" si="36"/>
        <v>0</v>
      </c>
      <c r="R121" s="1471"/>
      <c r="S121" s="1466"/>
      <c r="T121" s="511"/>
      <c r="U121" s="1466"/>
      <c r="V121" s="564"/>
      <c r="W121" s="1466"/>
      <c r="X121" s="919">
        <f t="shared" si="24"/>
        <v>0</v>
      </c>
      <c r="Y121" s="1455">
        <f t="shared" si="24"/>
        <v>0</v>
      </c>
      <c r="Z121" s="1456">
        <f t="shared" si="25"/>
        <v>0</v>
      </c>
      <c r="AA121" s="116"/>
    </row>
    <row r="122" spans="1:27" s="118" customFormat="1" x14ac:dyDescent="0.25">
      <c r="A122" s="927">
        <v>106</v>
      </c>
      <c r="B122" s="560" t="s">
        <v>225</v>
      </c>
      <c r="C122" s="513" t="s">
        <v>226</v>
      </c>
      <c r="D122" s="459"/>
      <c r="E122" s="1459"/>
      <c r="F122" s="119"/>
      <c r="G122" s="1459"/>
      <c r="H122" s="119"/>
      <c r="I122" s="1459"/>
      <c r="J122" s="119"/>
      <c r="K122" s="1459"/>
      <c r="L122" s="120">
        <f t="shared" si="35"/>
        <v>0</v>
      </c>
      <c r="M122" s="1455">
        <f t="shared" si="35"/>
        <v>0</v>
      </c>
      <c r="N122" s="120">
        <f t="shared" si="35"/>
        <v>0</v>
      </c>
      <c r="O122" s="1455">
        <f t="shared" si="35"/>
        <v>0</v>
      </c>
      <c r="P122" s="1468">
        <f t="shared" si="36"/>
        <v>0</v>
      </c>
      <c r="Q122" s="1455">
        <f t="shared" si="36"/>
        <v>0</v>
      </c>
      <c r="R122" s="1471"/>
      <c r="S122" s="1466"/>
      <c r="T122" s="511"/>
      <c r="U122" s="1466"/>
      <c r="V122" s="564"/>
      <c r="W122" s="1466"/>
      <c r="X122" s="919">
        <f t="shared" si="24"/>
        <v>0</v>
      </c>
      <c r="Y122" s="1455">
        <f t="shared" si="24"/>
        <v>0</v>
      </c>
      <c r="Z122" s="1456">
        <f t="shared" si="25"/>
        <v>0</v>
      </c>
      <c r="AA122" s="116"/>
    </row>
    <row r="123" spans="1:27" s="118" customFormat="1" ht="24" x14ac:dyDescent="0.25">
      <c r="A123" s="927">
        <v>107</v>
      </c>
      <c r="B123" s="354" t="s">
        <v>227</v>
      </c>
      <c r="C123" s="510" t="s">
        <v>228</v>
      </c>
      <c r="D123" s="459"/>
      <c r="E123" s="1459"/>
      <c r="F123" s="119"/>
      <c r="G123" s="1459"/>
      <c r="H123" s="119"/>
      <c r="I123" s="1459"/>
      <c r="J123" s="119"/>
      <c r="K123" s="1459"/>
      <c r="L123" s="120">
        <f t="shared" si="35"/>
        <v>0</v>
      </c>
      <c r="M123" s="1455">
        <f t="shared" si="35"/>
        <v>0</v>
      </c>
      <c r="N123" s="120">
        <f t="shared" si="35"/>
        <v>0</v>
      </c>
      <c r="O123" s="1455">
        <f t="shared" si="35"/>
        <v>0</v>
      </c>
      <c r="P123" s="1468">
        <f t="shared" si="36"/>
        <v>0</v>
      </c>
      <c r="Q123" s="1455">
        <f t="shared" si="36"/>
        <v>0</v>
      </c>
      <c r="R123" s="1471"/>
      <c r="S123" s="1466"/>
      <c r="T123" s="511"/>
      <c r="U123" s="1466"/>
      <c r="V123" s="564"/>
      <c r="W123" s="1466"/>
      <c r="X123" s="919">
        <f t="shared" si="24"/>
        <v>0</v>
      </c>
      <c r="Y123" s="1455">
        <f t="shared" si="24"/>
        <v>0</v>
      </c>
      <c r="Z123" s="1456">
        <f t="shared" si="25"/>
        <v>0</v>
      </c>
      <c r="AA123" s="116"/>
    </row>
    <row r="124" spans="1:27" s="118" customFormat="1" x14ac:dyDescent="0.25">
      <c r="A124" s="927">
        <v>108</v>
      </c>
      <c r="B124" s="354" t="s">
        <v>229</v>
      </c>
      <c r="C124" s="510" t="s">
        <v>230</v>
      </c>
      <c r="D124" s="459"/>
      <c r="E124" s="1459"/>
      <c r="F124" s="119"/>
      <c r="G124" s="1459"/>
      <c r="H124" s="119"/>
      <c r="I124" s="1459"/>
      <c r="J124" s="119"/>
      <c r="K124" s="1459"/>
      <c r="L124" s="120">
        <f t="shared" si="35"/>
        <v>0</v>
      </c>
      <c r="M124" s="1455">
        <f t="shared" si="35"/>
        <v>0</v>
      </c>
      <c r="N124" s="120">
        <f t="shared" si="35"/>
        <v>0</v>
      </c>
      <c r="O124" s="1455">
        <f t="shared" si="35"/>
        <v>0</v>
      </c>
      <c r="P124" s="1468">
        <f t="shared" si="36"/>
        <v>0</v>
      </c>
      <c r="Q124" s="1455">
        <f t="shared" si="36"/>
        <v>0</v>
      </c>
      <c r="R124" s="1471"/>
      <c r="S124" s="1466"/>
      <c r="T124" s="511"/>
      <c r="U124" s="1466"/>
      <c r="V124" s="564"/>
      <c r="W124" s="1466"/>
      <c r="X124" s="919">
        <f t="shared" si="24"/>
        <v>0</v>
      </c>
      <c r="Y124" s="1455">
        <f t="shared" si="24"/>
        <v>0</v>
      </c>
      <c r="Z124" s="1456">
        <f t="shared" si="25"/>
        <v>0</v>
      </c>
      <c r="AA124" s="116"/>
    </row>
    <row r="125" spans="1:27" s="118" customFormat="1" x14ac:dyDescent="0.25">
      <c r="A125" s="927">
        <v>109</v>
      </c>
      <c r="B125" s="355" t="s">
        <v>231</v>
      </c>
      <c r="C125" s="512" t="s">
        <v>232</v>
      </c>
      <c r="D125" s="459"/>
      <c r="E125" s="1459"/>
      <c r="F125" s="119"/>
      <c r="G125" s="1459"/>
      <c r="H125" s="119"/>
      <c r="I125" s="1459"/>
      <c r="J125" s="119"/>
      <c r="K125" s="1459"/>
      <c r="L125" s="120">
        <f t="shared" si="35"/>
        <v>0</v>
      </c>
      <c r="M125" s="1455">
        <f t="shared" si="35"/>
        <v>0</v>
      </c>
      <c r="N125" s="120">
        <f t="shared" si="35"/>
        <v>0</v>
      </c>
      <c r="O125" s="1455">
        <f t="shared" si="35"/>
        <v>0</v>
      </c>
      <c r="P125" s="1468">
        <f t="shared" si="36"/>
        <v>0</v>
      </c>
      <c r="Q125" s="1455">
        <f t="shared" si="36"/>
        <v>0</v>
      </c>
      <c r="R125" s="1471"/>
      <c r="S125" s="1466"/>
      <c r="T125" s="511"/>
      <c r="U125" s="1466"/>
      <c r="V125" s="564"/>
      <c r="W125" s="1466"/>
      <c r="X125" s="919">
        <f t="shared" si="24"/>
        <v>0</v>
      </c>
      <c r="Y125" s="1455">
        <f t="shared" si="24"/>
        <v>0</v>
      </c>
      <c r="Z125" s="1456">
        <f t="shared" si="25"/>
        <v>0</v>
      </c>
      <c r="AA125" s="116"/>
    </row>
    <row r="126" spans="1:27" s="118" customFormat="1" x14ac:dyDescent="0.25">
      <c r="A126" s="927">
        <v>110</v>
      </c>
      <c r="B126" s="355" t="s">
        <v>233</v>
      </c>
      <c r="C126" s="512" t="s">
        <v>234</v>
      </c>
      <c r="D126" s="459"/>
      <c r="E126" s="1459"/>
      <c r="F126" s="119"/>
      <c r="G126" s="1459"/>
      <c r="H126" s="119"/>
      <c r="I126" s="1459"/>
      <c r="J126" s="119"/>
      <c r="K126" s="1459"/>
      <c r="L126" s="120">
        <f t="shared" si="35"/>
        <v>0</v>
      </c>
      <c r="M126" s="1455">
        <f t="shared" si="35"/>
        <v>0</v>
      </c>
      <c r="N126" s="120">
        <f t="shared" si="35"/>
        <v>0</v>
      </c>
      <c r="O126" s="1455">
        <f t="shared" si="35"/>
        <v>0</v>
      </c>
      <c r="P126" s="1468">
        <f t="shared" si="36"/>
        <v>0</v>
      </c>
      <c r="Q126" s="1455">
        <f t="shared" si="36"/>
        <v>0</v>
      </c>
      <c r="R126" s="1471"/>
      <c r="S126" s="1466"/>
      <c r="T126" s="511"/>
      <c r="U126" s="1466"/>
      <c r="V126" s="564"/>
      <c r="W126" s="1466"/>
      <c r="X126" s="919">
        <f t="shared" si="24"/>
        <v>0</v>
      </c>
      <c r="Y126" s="1455">
        <f t="shared" si="24"/>
        <v>0</v>
      </c>
      <c r="Z126" s="1456">
        <f t="shared" si="25"/>
        <v>0</v>
      </c>
      <c r="AA126" s="116"/>
    </row>
    <row r="127" spans="1:27" s="118" customFormat="1" x14ac:dyDescent="0.25">
      <c r="A127" s="927">
        <v>111</v>
      </c>
      <c r="B127" s="3" t="s">
        <v>235</v>
      </c>
      <c r="C127" s="510" t="s">
        <v>236</v>
      </c>
      <c r="D127" s="459"/>
      <c r="E127" s="1459"/>
      <c r="F127" s="119"/>
      <c r="G127" s="1459"/>
      <c r="H127" s="119"/>
      <c r="I127" s="1459"/>
      <c r="J127" s="119"/>
      <c r="K127" s="1459"/>
      <c r="L127" s="120">
        <f t="shared" si="35"/>
        <v>0</v>
      </c>
      <c r="M127" s="1455">
        <f t="shared" si="35"/>
        <v>0</v>
      </c>
      <c r="N127" s="120">
        <f t="shared" si="35"/>
        <v>0</v>
      </c>
      <c r="O127" s="1455">
        <f t="shared" si="35"/>
        <v>0</v>
      </c>
      <c r="P127" s="1468">
        <f t="shared" si="36"/>
        <v>0</v>
      </c>
      <c r="Q127" s="1455">
        <f t="shared" si="36"/>
        <v>0</v>
      </c>
      <c r="R127" s="1471"/>
      <c r="S127" s="1466"/>
      <c r="T127" s="511"/>
      <c r="U127" s="1466"/>
      <c r="V127" s="564"/>
      <c r="W127" s="1466"/>
      <c r="X127" s="919">
        <f t="shared" si="24"/>
        <v>0</v>
      </c>
      <c r="Y127" s="1455">
        <f t="shared" si="24"/>
        <v>0</v>
      </c>
      <c r="Z127" s="1456">
        <f t="shared" si="25"/>
        <v>0</v>
      </c>
      <c r="AA127" s="116"/>
    </row>
    <row r="128" spans="1:27" s="118" customFormat="1" x14ac:dyDescent="0.25">
      <c r="A128" s="927">
        <v>112</v>
      </c>
      <c r="B128" s="354" t="s">
        <v>237</v>
      </c>
      <c r="C128" s="510" t="s">
        <v>238</v>
      </c>
      <c r="D128" s="459"/>
      <c r="E128" s="1459"/>
      <c r="F128" s="119"/>
      <c r="G128" s="1459"/>
      <c r="H128" s="119"/>
      <c r="I128" s="1459"/>
      <c r="J128" s="119"/>
      <c r="K128" s="1459"/>
      <c r="L128" s="120">
        <f t="shared" si="35"/>
        <v>0</v>
      </c>
      <c r="M128" s="1455">
        <f t="shared" si="35"/>
        <v>0</v>
      </c>
      <c r="N128" s="120">
        <f t="shared" si="35"/>
        <v>0</v>
      </c>
      <c r="O128" s="1455">
        <f t="shared" si="35"/>
        <v>0</v>
      </c>
      <c r="P128" s="1468">
        <f t="shared" si="36"/>
        <v>0</v>
      </c>
      <c r="Q128" s="1455">
        <f t="shared" si="36"/>
        <v>0</v>
      </c>
      <c r="R128" s="1471"/>
      <c r="S128" s="1466"/>
      <c r="T128" s="511"/>
      <c r="U128" s="1466"/>
      <c r="V128" s="564"/>
      <c r="W128" s="1466"/>
      <c r="X128" s="919">
        <f t="shared" si="24"/>
        <v>0</v>
      </c>
      <c r="Y128" s="1455">
        <f t="shared" si="24"/>
        <v>0</v>
      </c>
      <c r="Z128" s="1456">
        <f t="shared" si="25"/>
        <v>0</v>
      </c>
      <c r="AA128" s="116"/>
    </row>
    <row r="129" spans="1:27" s="118" customFormat="1" x14ac:dyDescent="0.25">
      <c r="A129" s="927">
        <v>113</v>
      </c>
      <c r="B129" s="354" t="s">
        <v>239</v>
      </c>
      <c r="C129" s="512" t="s">
        <v>240</v>
      </c>
      <c r="D129" s="459"/>
      <c r="E129" s="1459"/>
      <c r="F129" s="119"/>
      <c r="G129" s="1459"/>
      <c r="H129" s="119"/>
      <c r="I129" s="1459"/>
      <c r="J129" s="119"/>
      <c r="K129" s="1459"/>
      <c r="L129" s="120">
        <f t="shared" si="35"/>
        <v>0</v>
      </c>
      <c r="M129" s="1455">
        <f t="shared" si="35"/>
        <v>0</v>
      </c>
      <c r="N129" s="120">
        <f t="shared" si="35"/>
        <v>0</v>
      </c>
      <c r="O129" s="1455">
        <f t="shared" si="35"/>
        <v>0</v>
      </c>
      <c r="P129" s="1468">
        <f t="shared" si="36"/>
        <v>0</v>
      </c>
      <c r="Q129" s="1455">
        <f t="shared" si="36"/>
        <v>0</v>
      </c>
      <c r="R129" s="1471"/>
      <c r="S129" s="1466"/>
      <c r="T129" s="511"/>
      <c r="U129" s="1466"/>
      <c r="V129" s="564"/>
      <c r="W129" s="1466"/>
      <c r="X129" s="919">
        <f t="shared" si="24"/>
        <v>0</v>
      </c>
      <c r="Y129" s="1455">
        <f t="shared" si="24"/>
        <v>0</v>
      </c>
      <c r="Z129" s="1456">
        <f t="shared" si="25"/>
        <v>0</v>
      </c>
      <c r="AA129" s="116"/>
    </row>
    <row r="130" spans="1:27" s="118" customFormat="1" x14ac:dyDescent="0.25">
      <c r="A130" s="927">
        <v>114</v>
      </c>
      <c r="B130" s="354" t="s">
        <v>241</v>
      </c>
      <c r="C130" s="510" t="s">
        <v>242</v>
      </c>
      <c r="D130" s="459"/>
      <c r="E130" s="1459"/>
      <c r="F130" s="119"/>
      <c r="G130" s="1459"/>
      <c r="H130" s="119"/>
      <c r="I130" s="1459"/>
      <c r="J130" s="119"/>
      <c r="K130" s="1459"/>
      <c r="L130" s="120">
        <f t="shared" si="35"/>
        <v>0</v>
      </c>
      <c r="M130" s="1455">
        <f t="shared" si="35"/>
        <v>0</v>
      </c>
      <c r="N130" s="120">
        <f t="shared" si="35"/>
        <v>0</v>
      </c>
      <c r="O130" s="1455">
        <f t="shared" si="35"/>
        <v>0</v>
      </c>
      <c r="P130" s="1468">
        <f t="shared" si="36"/>
        <v>0</v>
      </c>
      <c r="Q130" s="1455">
        <f t="shared" si="36"/>
        <v>0</v>
      </c>
      <c r="R130" s="1471"/>
      <c r="S130" s="1466"/>
      <c r="T130" s="511"/>
      <c r="U130" s="1466"/>
      <c r="V130" s="564"/>
      <c r="W130" s="1466"/>
      <c r="X130" s="919">
        <f t="shared" si="24"/>
        <v>0</v>
      </c>
      <c r="Y130" s="1455">
        <f t="shared" si="24"/>
        <v>0</v>
      </c>
      <c r="Z130" s="1456">
        <f t="shared" si="25"/>
        <v>0</v>
      </c>
      <c r="AA130" s="116"/>
    </row>
    <row r="131" spans="1:27" s="118" customFormat="1" x14ac:dyDescent="0.25">
      <c r="A131" s="927">
        <v>115</v>
      </c>
      <c r="B131" s="928" t="s">
        <v>243</v>
      </c>
      <c r="C131" s="517" t="s">
        <v>385</v>
      </c>
      <c r="D131" s="459"/>
      <c r="E131" s="1459"/>
      <c r="F131" s="119"/>
      <c r="G131" s="1459"/>
      <c r="H131" s="119"/>
      <c r="I131" s="1459"/>
      <c r="J131" s="119"/>
      <c r="K131" s="1459"/>
      <c r="L131" s="120">
        <f t="shared" si="35"/>
        <v>0</v>
      </c>
      <c r="M131" s="1455">
        <f t="shared" si="35"/>
        <v>0</v>
      </c>
      <c r="N131" s="120">
        <f t="shared" si="35"/>
        <v>0</v>
      </c>
      <c r="O131" s="1455">
        <f t="shared" si="35"/>
        <v>0</v>
      </c>
      <c r="P131" s="1468">
        <f t="shared" si="36"/>
        <v>0</v>
      </c>
      <c r="Q131" s="1455">
        <f t="shared" si="36"/>
        <v>0</v>
      </c>
      <c r="R131" s="1471"/>
      <c r="S131" s="1466"/>
      <c r="T131" s="511"/>
      <c r="U131" s="1466"/>
      <c r="V131" s="564"/>
      <c r="W131" s="1466"/>
      <c r="X131" s="919">
        <f t="shared" si="24"/>
        <v>0</v>
      </c>
      <c r="Y131" s="1455">
        <f t="shared" si="24"/>
        <v>0</v>
      </c>
      <c r="Z131" s="1456">
        <f t="shared" si="25"/>
        <v>0</v>
      </c>
      <c r="AA131" s="116"/>
    </row>
    <row r="132" spans="1:27" s="118" customFormat="1" x14ac:dyDescent="0.25">
      <c r="A132" s="927">
        <v>116</v>
      </c>
      <c r="B132" s="355" t="s">
        <v>244</v>
      </c>
      <c r="C132" s="512" t="s">
        <v>649</v>
      </c>
      <c r="D132" s="459"/>
      <c r="E132" s="1459"/>
      <c r="F132" s="119"/>
      <c r="G132" s="1459"/>
      <c r="H132" s="119"/>
      <c r="I132" s="1459"/>
      <c r="J132" s="119"/>
      <c r="K132" s="1459"/>
      <c r="L132" s="120">
        <f t="shared" si="35"/>
        <v>0</v>
      </c>
      <c r="M132" s="1455">
        <f t="shared" si="35"/>
        <v>0</v>
      </c>
      <c r="N132" s="120">
        <f t="shared" si="35"/>
        <v>0</v>
      </c>
      <c r="O132" s="1455">
        <f t="shared" si="35"/>
        <v>0</v>
      </c>
      <c r="P132" s="1468">
        <f t="shared" si="36"/>
        <v>0</v>
      </c>
      <c r="Q132" s="1455">
        <f t="shared" si="36"/>
        <v>0</v>
      </c>
      <c r="R132" s="1471"/>
      <c r="S132" s="1466"/>
      <c r="T132" s="511"/>
      <c r="U132" s="1466"/>
      <c r="V132" s="564"/>
      <c r="W132" s="1466"/>
      <c r="X132" s="919">
        <f t="shared" si="24"/>
        <v>0</v>
      </c>
      <c r="Y132" s="1455">
        <f t="shared" si="24"/>
        <v>0</v>
      </c>
      <c r="Z132" s="1456">
        <f t="shared" si="25"/>
        <v>0</v>
      </c>
      <c r="AA132" s="116"/>
    </row>
    <row r="133" spans="1:27" s="118" customFormat="1" x14ac:dyDescent="0.25">
      <c r="A133" s="927">
        <v>117</v>
      </c>
      <c r="B133" s="355" t="s">
        <v>246</v>
      </c>
      <c r="C133" s="512" t="s">
        <v>247</v>
      </c>
      <c r="D133" s="459"/>
      <c r="E133" s="1459"/>
      <c r="F133" s="119"/>
      <c r="G133" s="1459"/>
      <c r="H133" s="119"/>
      <c r="I133" s="1459"/>
      <c r="J133" s="119"/>
      <c r="K133" s="1459"/>
      <c r="L133" s="120">
        <f t="shared" si="35"/>
        <v>0</v>
      </c>
      <c r="M133" s="1455">
        <f t="shared" si="35"/>
        <v>0</v>
      </c>
      <c r="N133" s="120">
        <f t="shared" si="35"/>
        <v>0</v>
      </c>
      <c r="O133" s="1455">
        <f t="shared" si="35"/>
        <v>0</v>
      </c>
      <c r="P133" s="1468">
        <f t="shared" si="36"/>
        <v>0</v>
      </c>
      <c r="Q133" s="1455">
        <f t="shared" si="36"/>
        <v>0</v>
      </c>
      <c r="R133" s="1471"/>
      <c r="S133" s="1466"/>
      <c r="T133" s="511"/>
      <c r="U133" s="1466"/>
      <c r="V133" s="564"/>
      <c r="W133" s="1466"/>
      <c r="X133" s="919">
        <f t="shared" si="24"/>
        <v>0</v>
      </c>
      <c r="Y133" s="1455">
        <f t="shared" si="24"/>
        <v>0</v>
      </c>
      <c r="Z133" s="1456">
        <f t="shared" si="25"/>
        <v>0</v>
      </c>
      <c r="AA133" s="116"/>
    </row>
    <row r="134" spans="1:27" s="118" customFormat="1" x14ac:dyDescent="0.25">
      <c r="A134" s="927">
        <v>118</v>
      </c>
      <c r="B134" s="355" t="s">
        <v>248</v>
      </c>
      <c r="C134" s="512" t="s">
        <v>249</v>
      </c>
      <c r="D134" s="459"/>
      <c r="E134" s="1459"/>
      <c r="F134" s="119"/>
      <c r="G134" s="1459"/>
      <c r="H134" s="119"/>
      <c r="I134" s="1459"/>
      <c r="J134" s="119"/>
      <c r="K134" s="1459"/>
      <c r="L134" s="120">
        <f t="shared" si="35"/>
        <v>0</v>
      </c>
      <c r="M134" s="1455">
        <f t="shared" si="35"/>
        <v>0</v>
      </c>
      <c r="N134" s="120">
        <f t="shared" si="35"/>
        <v>0</v>
      </c>
      <c r="O134" s="1455">
        <f t="shared" si="35"/>
        <v>0</v>
      </c>
      <c r="P134" s="1468">
        <f t="shared" si="36"/>
        <v>0</v>
      </c>
      <c r="Q134" s="1455">
        <f t="shared" si="36"/>
        <v>0</v>
      </c>
      <c r="R134" s="1471"/>
      <c r="S134" s="1466"/>
      <c r="T134" s="511"/>
      <c r="U134" s="1466"/>
      <c r="V134" s="564"/>
      <c r="W134" s="1466"/>
      <c r="X134" s="919">
        <f t="shared" si="24"/>
        <v>0</v>
      </c>
      <c r="Y134" s="1455">
        <f t="shared" si="24"/>
        <v>0</v>
      </c>
      <c r="Z134" s="1456">
        <f t="shared" si="25"/>
        <v>0</v>
      </c>
      <c r="AA134" s="116"/>
    </row>
    <row r="135" spans="1:27" s="118" customFormat="1" x14ac:dyDescent="0.25">
      <c r="A135" s="927">
        <v>119</v>
      </c>
      <c r="B135" s="355" t="s">
        <v>250</v>
      </c>
      <c r="C135" s="512" t="s">
        <v>251</v>
      </c>
      <c r="D135" s="459"/>
      <c r="E135" s="1459"/>
      <c r="F135" s="119"/>
      <c r="G135" s="1459"/>
      <c r="H135" s="119"/>
      <c r="I135" s="1459"/>
      <c r="J135" s="119"/>
      <c r="K135" s="1459"/>
      <c r="L135" s="120">
        <f t="shared" si="35"/>
        <v>0</v>
      </c>
      <c r="M135" s="1455">
        <f t="shared" si="35"/>
        <v>0</v>
      </c>
      <c r="N135" s="120">
        <f t="shared" si="35"/>
        <v>0</v>
      </c>
      <c r="O135" s="1455">
        <f t="shared" si="35"/>
        <v>0</v>
      </c>
      <c r="P135" s="1468">
        <f t="shared" si="36"/>
        <v>0</v>
      </c>
      <c r="Q135" s="1455">
        <f t="shared" si="36"/>
        <v>0</v>
      </c>
      <c r="R135" s="1471"/>
      <c r="S135" s="1466"/>
      <c r="T135" s="511"/>
      <c r="U135" s="1466"/>
      <c r="V135" s="564"/>
      <c r="W135" s="1466"/>
      <c r="X135" s="919">
        <f t="shared" si="24"/>
        <v>0</v>
      </c>
      <c r="Y135" s="1455">
        <f t="shared" si="24"/>
        <v>0</v>
      </c>
      <c r="Z135" s="1456">
        <f t="shared" si="25"/>
        <v>0</v>
      </c>
      <c r="AA135" s="116"/>
    </row>
    <row r="136" spans="1:27" s="118" customFormat="1" x14ac:dyDescent="0.25">
      <c r="A136" s="927">
        <v>120</v>
      </c>
      <c r="B136" s="119" t="s">
        <v>252</v>
      </c>
      <c r="C136" s="520" t="s">
        <v>253</v>
      </c>
      <c r="D136" s="459"/>
      <c r="E136" s="1459"/>
      <c r="F136" s="119"/>
      <c r="G136" s="1459"/>
      <c r="H136" s="119"/>
      <c r="I136" s="1459"/>
      <c r="J136" s="119"/>
      <c r="K136" s="1459"/>
      <c r="L136" s="120">
        <f t="shared" si="35"/>
        <v>0</v>
      </c>
      <c r="M136" s="1455">
        <f t="shared" si="35"/>
        <v>0</v>
      </c>
      <c r="N136" s="120">
        <f t="shared" si="35"/>
        <v>0</v>
      </c>
      <c r="O136" s="1455">
        <f t="shared" si="35"/>
        <v>0</v>
      </c>
      <c r="P136" s="1468">
        <f t="shared" si="36"/>
        <v>0</v>
      </c>
      <c r="Q136" s="1455">
        <f t="shared" si="36"/>
        <v>0</v>
      </c>
      <c r="R136" s="1471"/>
      <c r="S136" s="1466"/>
      <c r="T136" s="511"/>
      <c r="U136" s="1466"/>
      <c r="V136" s="564"/>
      <c r="W136" s="1466"/>
      <c r="X136" s="919">
        <f t="shared" si="24"/>
        <v>0</v>
      </c>
      <c r="Y136" s="1455">
        <f t="shared" si="24"/>
        <v>0</v>
      </c>
      <c r="Z136" s="1456">
        <f t="shared" si="25"/>
        <v>0</v>
      </c>
      <c r="AA136" s="116"/>
    </row>
    <row r="137" spans="1:27" s="118" customFormat="1" x14ac:dyDescent="0.25">
      <c r="A137" s="927">
        <v>121</v>
      </c>
      <c r="B137" s="354" t="s">
        <v>254</v>
      </c>
      <c r="C137" s="510" t="s">
        <v>255</v>
      </c>
      <c r="D137" s="459"/>
      <c r="E137" s="1459"/>
      <c r="F137" s="119"/>
      <c r="G137" s="1459"/>
      <c r="H137" s="119"/>
      <c r="I137" s="1459"/>
      <c r="J137" s="119"/>
      <c r="K137" s="1459"/>
      <c r="L137" s="120">
        <f t="shared" si="35"/>
        <v>0</v>
      </c>
      <c r="M137" s="1455">
        <f t="shared" si="35"/>
        <v>0</v>
      </c>
      <c r="N137" s="120">
        <f t="shared" si="35"/>
        <v>0</v>
      </c>
      <c r="O137" s="1455">
        <f t="shared" si="35"/>
        <v>0</v>
      </c>
      <c r="P137" s="1468">
        <f t="shared" si="36"/>
        <v>0</v>
      </c>
      <c r="Q137" s="1455">
        <f t="shared" si="36"/>
        <v>0</v>
      </c>
      <c r="R137" s="1471"/>
      <c r="S137" s="1466"/>
      <c r="T137" s="511"/>
      <c r="U137" s="1466"/>
      <c r="V137" s="564"/>
      <c r="W137" s="1466"/>
      <c r="X137" s="919">
        <f t="shared" si="24"/>
        <v>0</v>
      </c>
      <c r="Y137" s="1455">
        <f t="shared" si="24"/>
        <v>0</v>
      </c>
      <c r="Z137" s="1456">
        <f t="shared" si="25"/>
        <v>0</v>
      </c>
      <c r="AA137" s="116"/>
    </row>
    <row r="138" spans="1:27" s="118" customFormat="1" x14ac:dyDescent="0.25">
      <c r="A138" s="927">
        <v>122</v>
      </c>
      <c r="B138" s="355" t="s">
        <v>256</v>
      </c>
      <c r="C138" s="512" t="s">
        <v>257</v>
      </c>
      <c r="D138" s="459"/>
      <c r="E138" s="1459"/>
      <c r="F138" s="119"/>
      <c r="G138" s="1459"/>
      <c r="H138" s="119"/>
      <c r="I138" s="1459"/>
      <c r="J138" s="119"/>
      <c r="K138" s="1459"/>
      <c r="L138" s="120">
        <f t="shared" si="35"/>
        <v>0</v>
      </c>
      <c r="M138" s="1455">
        <f t="shared" si="35"/>
        <v>0</v>
      </c>
      <c r="N138" s="120">
        <f t="shared" si="35"/>
        <v>0</v>
      </c>
      <c r="O138" s="1455">
        <f t="shared" si="35"/>
        <v>0</v>
      </c>
      <c r="P138" s="1468">
        <f t="shared" si="36"/>
        <v>0</v>
      </c>
      <c r="Q138" s="1455">
        <f t="shared" si="36"/>
        <v>0</v>
      </c>
      <c r="R138" s="1471"/>
      <c r="S138" s="1466"/>
      <c r="T138" s="511"/>
      <c r="U138" s="1466"/>
      <c r="V138" s="564"/>
      <c r="W138" s="1466"/>
      <c r="X138" s="919">
        <f t="shared" si="24"/>
        <v>0</v>
      </c>
      <c r="Y138" s="1455">
        <f t="shared" si="24"/>
        <v>0</v>
      </c>
      <c r="Z138" s="1456">
        <f t="shared" si="25"/>
        <v>0</v>
      </c>
      <c r="AA138" s="116"/>
    </row>
    <row r="139" spans="1:27" s="118" customFormat="1" x14ac:dyDescent="0.25">
      <c r="A139" s="927">
        <v>123</v>
      </c>
      <c r="B139" s="354" t="s">
        <v>258</v>
      </c>
      <c r="C139" s="512" t="s">
        <v>259</v>
      </c>
      <c r="D139" s="459"/>
      <c r="E139" s="1459"/>
      <c r="F139" s="119"/>
      <c r="G139" s="1459"/>
      <c r="H139" s="119"/>
      <c r="I139" s="1459"/>
      <c r="J139" s="119"/>
      <c r="K139" s="1459"/>
      <c r="L139" s="120">
        <f t="shared" si="35"/>
        <v>0</v>
      </c>
      <c r="M139" s="1455">
        <f t="shared" si="35"/>
        <v>0</v>
      </c>
      <c r="N139" s="120">
        <f t="shared" si="35"/>
        <v>0</v>
      </c>
      <c r="O139" s="1455">
        <f t="shared" si="35"/>
        <v>0</v>
      </c>
      <c r="P139" s="1468">
        <f t="shared" si="36"/>
        <v>0</v>
      </c>
      <c r="Q139" s="1455">
        <f t="shared" si="36"/>
        <v>0</v>
      </c>
      <c r="R139" s="1471"/>
      <c r="S139" s="1466"/>
      <c r="T139" s="511"/>
      <c r="U139" s="1466"/>
      <c r="V139" s="564"/>
      <c r="W139" s="1466"/>
      <c r="X139" s="919">
        <f t="shared" si="24"/>
        <v>0</v>
      </c>
      <c r="Y139" s="1455">
        <f t="shared" si="24"/>
        <v>0</v>
      </c>
      <c r="Z139" s="1456">
        <f t="shared" si="25"/>
        <v>0</v>
      </c>
      <c r="AA139" s="116"/>
    </row>
    <row r="140" spans="1:27" s="118" customFormat="1" x14ac:dyDescent="0.25">
      <c r="A140" s="927">
        <v>124</v>
      </c>
      <c r="B140" s="355" t="s">
        <v>260</v>
      </c>
      <c r="C140" s="512" t="s">
        <v>261</v>
      </c>
      <c r="D140" s="459">
        <f>0+604</f>
        <v>604</v>
      </c>
      <c r="E140" s="1459">
        <f t="shared" ref="E140" si="37">ROUND(D140*$E$9,2)</f>
        <v>295567.40000000002</v>
      </c>
      <c r="F140" s="119">
        <f>0+300</f>
        <v>300</v>
      </c>
      <c r="G140" s="1459">
        <f t="shared" si="31"/>
        <v>734055</v>
      </c>
      <c r="H140" s="119">
        <f>0+2229</f>
        <v>2229</v>
      </c>
      <c r="I140" s="1459">
        <f t="shared" ref="I140" si="38">ROUND(H140*$I$9,2)</f>
        <v>1090761.1499999999</v>
      </c>
      <c r="J140" s="119">
        <f>0+1100-500</f>
        <v>600</v>
      </c>
      <c r="K140" s="1459">
        <f t="shared" si="32"/>
        <v>1468110</v>
      </c>
      <c r="L140" s="120">
        <f t="shared" si="35"/>
        <v>2833</v>
      </c>
      <c r="M140" s="1455">
        <f t="shared" si="35"/>
        <v>1386328.5499999998</v>
      </c>
      <c r="N140" s="120">
        <f t="shared" si="35"/>
        <v>900</v>
      </c>
      <c r="O140" s="1455">
        <f t="shared" si="35"/>
        <v>2202165</v>
      </c>
      <c r="P140" s="1468">
        <f t="shared" si="36"/>
        <v>3733</v>
      </c>
      <c r="Q140" s="1455">
        <f t="shared" si="36"/>
        <v>3588493.55</v>
      </c>
      <c r="R140" s="1471">
        <v>1100</v>
      </c>
      <c r="S140" s="1466">
        <f t="shared" si="28"/>
        <v>3041170</v>
      </c>
      <c r="T140" s="511">
        <f>2200+4749</f>
        <v>6949</v>
      </c>
      <c r="U140" s="1466">
        <f t="shared" si="29"/>
        <v>19211900.300000001</v>
      </c>
      <c r="V140" s="564">
        <v>3300</v>
      </c>
      <c r="W140" s="1466">
        <f t="shared" si="30"/>
        <v>9123510</v>
      </c>
      <c r="X140" s="919">
        <f t="shared" si="24"/>
        <v>11349</v>
      </c>
      <c r="Y140" s="1455">
        <f t="shared" si="24"/>
        <v>31376580.300000001</v>
      </c>
      <c r="Z140" s="1456">
        <f t="shared" si="25"/>
        <v>34965073.850000001</v>
      </c>
      <c r="AA140" s="116"/>
    </row>
    <row r="141" spans="1:27" s="118" customFormat="1" x14ac:dyDescent="0.25">
      <c r="A141" s="927">
        <v>125</v>
      </c>
      <c r="B141" s="355" t="s">
        <v>262</v>
      </c>
      <c r="C141" s="512" t="s">
        <v>263</v>
      </c>
      <c r="D141" s="459"/>
      <c r="E141" s="1459"/>
      <c r="F141" s="119"/>
      <c r="G141" s="1459"/>
      <c r="H141" s="119"/>
      <c r="I141" s="1459"/>
      <c r="J141" s="119"/>
      <c r="K141" s="1459"/>
      <c r="L141" s="120">
        <f t="shared" si="35"/>
        <v>0</v>
      </c>
      <c r="M141" s="1455">
        <f t="shared" si="35"/>
        <v>0</v>
      </c>
      <c r="N141" s="120">
        <f t="shared" si="35"/>
        <v>0</v>
      </c>
      <c r="O141" s="1455">
        <f t="shared" si="35"/>
        <v>0</v>
      </c>
      <c r="P141" s="1468">
        <f t="shared" si="36"/>
        <v>0</v>
      </c>
      <c r="Q141" s="1455">
        <f t="shared" si="36"/>
        <v>0</v>
      </c>
      <c r="R141" s="1471"/>
      <c r="S141" s="1466"/>
      <c r="T141" s="511"/>
      <c r="U141" s="1466"/>
      <c r="V141" s="564"/>
      <c r="W141" s="1466"/>
      <c r="X141" s="919">
        <f t="shared" si="24"/>
        <v>0</v>
      </c>
      <c r="Y141" s="1455">
        <f t="shared" si="24"/>
        <v>0</v>
      </c>
      <c r="Z141" s="1456">
        <f t="shared" si="25"/>
        <v>0</v>
      </c>
      <c r="AA141" s="116"/>
    </row>
    <row r="142" spans="1:27" s="118" customFormat="1" x14ac:dyDescent="0.25">
      <c r="A142" s="927">
        <v>126</v>
      </c>
      <c r="B142" s="354" t="s">
        <v>264</v>
      </c>
      <c r="C142" s="512" t="s">
        <v>265</v>
      </c>
      <c r="D142" s="459"/>
      <c r="E142" s="1459"/>
      <c r="F142" s="119">
        <v>173</v>
      </c>
      <c r="G142" s="1459">
        <f t="shared" si="31"/>
        <v>423305.05</v>
      </c>
      <c r="H142" s="119"/>
      <c r="I142" s="1459"/>
      <c r="J142" s="119">
        <v>172</v>
      </c>
      <c r="K142" s="1459">
        <f t="shared" si="32"/>
        <v>420858.2</v>
      </c>
      <c r="L142" s="120">
        <f t="shared" si="35"/>
        <v>0</v>
      </c>
      <c r="M142" s="1455">
        <f t="shared" si="35"/>
        <v>0</v>
      </c>
      <c r="N142" s="120">
        <f t="shared" si="35"/>
        <v>345</v>
      </c>
      <c r="O142" s="1455">
        <f t="shared" si="35"/>
        <v>844163.25</v>
      </c>
      <c r="P142" s="1468">
        <f t="shared" si="36"/>
        <v>345</v>
      </c>
      <c r="Q142" s="1455">
        <f t="shared" si="36"/>
        <v>844163.25</v>
      </c>
      <c r="R142" s="1471">
        <v>165</v>
      </c>
      <c r="S142" s="1466">
        <f t="shared" si="28"/>
        <v>456175.5</v>
      </c>
      <c r="T142" s="511">
        <v>330</v>
      </c>
      <c r="U142" s="1466">
        <f t="shared" si="29"/>
        <v>912351</v>
      </c>
      <c r="V142" s="564">
        <f>495+130</f>
        <v>625</v>
      </c>
      <c r="W142" s="1466">
        <f t="shared" si="30"/>
        <v>1727937.5</v>
      </c>
      <c r="X142" s="919">
        <f t="shared" si="24"/>
        <v>1120</v>
      </c>
      <c r="Y142" s="1455">
        <f t="shared" si="24"/>
        <v>3096464</v>
      </c>
      <c r="Z142" s="1456">
        <f t="shared" si="25"/>
        <v>3940627.25</v>
      </c>
      <c r="AA142" s="116"/>
    </row>
    <row r="143" spans="1:27" s="118" customFormat="1" x14ac:dyDescent="0.25">
      <c r="A143" s="927">
        <v>127</v>
      </c>
      <c r="B143" s="355" t="s">
        <v>266</v>
      </c>
      <c r="C143" s="512" t="s">
        <v>267</v>
      </c>
      <c r="D143" s="459"/>
      <c r="E143" s="1459"/>
      <c r="F143" s="119"/>
      <c r="G143" s="1459"/>
      <c r="H143" s="119"/>
      <c r="I143" s="1459"/>
      <c r="J143" s="119"/>
      <c r="K143" s="1459"/>
      <c r="L143" s="120">
        <f t="shared" ref="L143:O158" si="39">D143+H143</f>
        <v>0</v>
      </c>
      <c r="M143" s="1455">
        <f t="shared" si="39"/>
        <v>0</v>
      </c>
      <c r="N143" s="120">
        <f t="shared" si="39"/>
        <v>0</v>
      </c>
      <c r="O143" s="1455">
        <f t="shared" si="39"/>
        <v>0</v>
      </c>
      <c r="P143" s="1468">
        <f t="shared" si="36"/>
        <v>0</v>
      </c>
      <c r="Q143" s="1455">
        <f t="shared" si="36"/>
        <v>0</v>
      </c>
      <c r="R143" s="1471"/>
      <c r="S143" s="1466"/>
      <c r="T143" s="511"/>
      <c r="U143" s="1466"/>
      <c r="V143" s="564"/>
      <c r="W143" s="1466"/>
      <c r="X143" s="919">
        <f t="shared" ref="X143:Y158" si="40">R143+T143+V143</f>
        <v>0</v>
      </c>
      <c r="Y143" s="1455">
        <f t="shared" si="40"/>
        <v>0</v>
      </c>
      <c r="Z143" s="1456">
        <f t="shared" si="25"/>
        <v>0</v>
      </c>
      <c r="AA143" s="116"/>
    </row>
    <row r="144" spans="1:27" s="118" customFormat="1" x14ac:dyDescent="0.25">
      <c r="A144" s="927">
        <v>128</v>
      </c>
      <c r="B144" s="354" t="s">
        <v>268</v>
      </c>
      <c r="C144" s="510" t="s">
        <v>269</v>
      </c>
      <c r="D144" s="459"/>
      <c r="E144" s="1459"/>
      <c r="F144" s="119"/>
      <c r="G144" s="1459"/>
      <c r="H144" s="119"/>
      <c r="I144" s="1459"/>
      <c r="J144" s="119"/>
      <c r="K144" s="1459"/>
      <c r="L144" s="120">
        <f t="shared" si="39"/>
        <v>0</v>
      </c>
      <c r="M144" s="1455">
        <f t="shared" si="39"/>
        <v>0</v>
      </c>
      <c r="N144" s="120">
        <f t="shared" si="39"/>
        <v>0</v>
      </c>
      <c r="O144" s="1455">
        <f t="shared" si="39"/>
        <v>0</v>
      </c>
      <c r="P144" s="1468">
        <f t="shared" si="36"/>
        <v>0</v>
      </c>
      <c r="Q144" s="1455">
        <f t="shared" si="36"/>
        <v>0</v>
      </c>
      <c r="R144" s="1471"/>
      <c r="S144" s="1466"/>
      <c r="T144" s="511"/>
      <c r="U144" s="1466"/>
      <c r="V144" s="564"/>
      <c r="W144" s="1466"/>
      <c r="X144" s="919">
        <f t="shared" si="40"/>
        <v>0</v>
      </c>
      <c r="Y144" s="1455">
        <f t="shared" si="40"/>
        <v>0</v>
      </c>
      <c r="Z144" s="1456">
        <f t="shared" ref="Z144:Z158" si="41">Q144+Y144</f>
        <v>0</v>
      </c>
      <c r="AA144" s="116"/>
    </row>
    <row r="145" spans="1:28" s="118" customFormat="1" x14ac:dyDescent="0.25">
      <c r="A145" s="927">
        <v>129</v>
      </c>
      <c r="B145" s="354" t="s">
        <v>270</v>
      </c>
      <c r="C145" s="510" t="s">
        <v>271</v>
      </c>
      <c r="D145" s="459"/>
      <c r="E145" s="1459"/>
      <c r="F145" s="119"/>
      <c r="G145" s="1459"/>
      <c r="H145" s="119"/>
      <c r="I145" s="1459"/>
      <c r="J145" s="119"/>
      <c r="K145" s="1459"/>
      <c r="L145" s="120">
        <f t="shared" si="39"/>
        <v>0</v>
      </c>
      <c r="M145" s="1455">
        <f t="shared" si="39"/>
        <v>0</v>
      </c>
      <c r="N145" s="120">
        <f t="shared" si="39"/>
        <v>0</v>
      </c>
      <c r="O145" s="1455">
        <f t="shared" si="39"/>
        <v>0</v>
      </c>
      <c r="P145" s="1468">
        <f t="shared" ref="P145:Q158" si="42">L145+N145</f>
        <v>0</v>
      </c>
      <c r="Q145" s="1455">
        <f t="shared" si="42"/>
        <v>0</v>
      </c>
      <c r="R145" s="1471"/>
      <c r="S145" s="1466"/>
      <c r="T145" s="511"/>
      <c r="U145" s="1466"/>
      <c r="V145" s="564"/>
      <c r="W145" s="1466"/>
      <c r="X145" s="919">
        <f t="shared" si="40"/>
        <v>0</v>
      </c>
      <c r="Y145" s="1455">
        <f t="shared" si="40"/>
        <v>0</v>
      </c>
      <c r="Z145" s="1456">
        <f t="shared" si="41"/>
        <v>0</v>
      </c>
      <c r="AA145" s="116"/>
    </row>
    <row r="146" spans="1:28" s="118" customFormat="1" x14ac:dyDescent="0.25">
      <c r="A146" s="927">
        <v>130</v>
      </c>
      <c r="B146" s="355" t="s">
        <v>272</v>
      </c>
      <c r="C146" s="512" t="s">
        <v>273</v>
      </c>
      <c r="D146" s="459"/>
      <c r="E146" s="1459"/>
      <c r="F146" s="119"/>
      <c r="G146" s="1459"/>
      <c r="H146" s="119"/>
      <c r="I146" s="1459"/>
      <c r="J146" s="119"/>
      <c r="K146" s="1459"/>
      <c r="L146" s="120">
        <f t="shared" si="39"/>
        <v>0</v>
      </c>
      <c r="M146" s="1455">
        <f t="shared" si="39"/>
        <v>0</v>
      </c>
      <c r="N146" s="120">
        <f t="shared" si="39"/>
        <v>0</v>
      </c>
      <c r="O146" s="1455">
        <f t="shared" si="39"/>
        <v>0</v>
      </c>
      <c r="P146" s="1468">
        <f t="shared" si="42"/>
        <v>0</v>
      </c>
      <c r="Q146" s="1455">
        <f t="shared" si="42"/>
        <v>0</v>
      </c>
      <c r="R146" s="459"/>
      <c r="S146" s="1466"/>
      <c r="T146" s="511"/>
      <c r="U146" s="1466"/>
      <c r="V146" s="353"/>
      <c r="W146" s="1466"/>
      <c r="X146" s="919">
        <f t="shared" si="40"/>
        <v>0</v>
      </c>
      <c r="Y146" s="1455">
        <f t="shared" si="40"/>
        <v>0</v>
      </c>
      <c r="Z146" s="1456">
        <f t="shared" si="41"/>
        <v>0</v>
      </c>
      <c r="AA146" s="116"/>
    </row>
    <row r="147" spans="1:28" s="118" customFormat="1" x14ac:dyDescent="0.25">
      <c r="A147" s="927">
        <v>131</v>
      </c>
      <c r="B147" s="355" t="s">
        <v>274</v>
      </c>
      <c r="C147" s="512" t="s">
        <v>275</v>
      </c>
      <c r="D147" s="459">
        <v>1336</v>
      </c>
      <c r="E147" s="1459">
        <f t="shared" ref="E147:E149" si="43">ROUND(D147*$E$9,2)</f>
        <v>653771.6</v>
      </c>
      <c r="F147" s="119"/>
      <c r="G147" s="1459"/>
      <c r="H147" s="119">
        <v>1335</v>
      </c>
      <c r="I147" s="1459">
        <f t="shared" ref="I147:I149" si="44">ROUND(H147*$I$9,2)</f>
        <v>653282.25</v>
      </c>
      <c r="J147" s="119"/>
      <c r="K147" s="1459"/>
      <c r="L147" s="120">
        <f t="shared" si="39"/>
        <v>2671</v>
      </c>
      <c r="M147" s="1455">
        <f t="shared" si="39"/>
        <v>1307053.8500000001</v>
      </c>
      <c r="N147" s="120">
        <f t="shared" si="39"/>
        <v>0</v>
      </c>
      <c r="O147" s="1455">
        <f t="shared" si="39"/>
        <v>0</v>
      </c>
      <c r="P147" s="1468">
        <f t="shared" si="42"/>
        <v>2671</v>
      </c>
      <c r="Q147" s="1455">
        <f t="shared" si="42"/>
        <v>1307053.8500000001</v>
      </c>
      <c r="R147" s="1471">
        <v>3850</v>
      </c>
      <c r="S147" s="1466">
        <f t="shared" ref="S147:S149" si="45">ROUND(R147*$S$9,2)</f>
        <v>10644095</v>
      </c>
      <c r="T147" s="511">
        <v>7700</v>
      </c>
      <c r="U147" s="1466">
        <f t="shared" ref="U147:U149" si="46">ROUND(T147*$U$9,2)</f>
        <v>21288190</v>
      </c>
      <c r="V147" s="564">
        <f>9570+1980</f>
        <v>11550</v>
      </c>
      <c r="W147" s="1466">
        <f t="shared" ref="W147:W149" si="47">ROUND(V147*$W$9,2)</f>
        <v>31932285</v>
      </c>
      <c r="X147" s="919">
        <f t="shared" si="40"/>
        <v>23100</v>
      </c>
      <c r="Y147" s="1455">
        <f t="shared" si="40"/>
        <v>63864570</v>
      </c>
      <c r="Z147" s="1456">
        <f t="shared" si="41"/>
        <v>65171623.850000001</v>
      </c>
      <c r="AA147" s="116"/>
    </row>
    <row r="148" spans="1:28" s="118" customFormat="1" x14ac:dyDescent="0.25">
      <c r="A148" s="927">
        <v>132</v>
      </c>
      <c r="B148" s="355" t="s">
        <v>276</v>
      </c>
      <c r="C148" s="512" t="s">
        <v>277</v>
      </c>
      <c r="D148" s="459">
        <f>1524-36</f>
        <v>1488</v>
      </c>
      <c r="E148" s="1459">
        <f t="shared" si="43"/>
        <v>728152.8</v>
      </c>
      <c r="F148" s="119"/>
      <c r="G148" s="1459"/>
      <c r="H148" s="119">
        <f>1523-134</f>
        <v>1389</v>
      </c>
      <c r="I148" s="1459">
        <f t="shared" si="44"/>
        <v>679707.15</v>
      </c>
      <c r="J148" s="119"/>
      <c r="K148" s="1459"/>
      <c r="L148" s="120">
        <f t="shared" si="39"/>
        <v>2877</v>
      </c>
      <c r="M148" s="1455">
        <f t="shared" si="39"/>
        <v>1407859.9500000002</v>
      </c>
      <c r="N148" s="120">
        <f t="shared" si="39"/>
        <v>0</v>
      </c>
      <c r="O148" s="1455">
        <f t="shared" si="39"/>
        <v>0</v>
      </c>
      <c r="P148" s="1468">
        <f t="shared" si="42"/>
        <v>2877</v>
      </c>
      <c r="Q148" s="1455">
        <f t="shared" si="42"/>
        <v>1407859.9500000002</v>
      </c>
      <c r="R148" s="1471"/>
      <c r="S148" s="1466"/>
      <c r="T148" s="511"/>
      <c r="U148" s="1466"/>
      <c r="V148" s="564"/>
      <c r="W148" s="1466"/>
      <c r="X148" s="919">
        <f t="shared" si="40"/>
        <v>0</v>
      </c>
      <c r="Y148" s="1455">
        <f t="shared" si="40"/>
        <v>0</v>
      </c>
      <c r="Z148" s="1456">
        <f t="shared" si="41"/>
        <v>1407859.9500000002</v>
      </c>
      <c r="AA148" s="116"/>
    </row>
    <row r="149" spans="1:28" s="118" customFormat="1" x14ac:dyDescent="0.25">
      <c r="A149" s="927">
        <v>133</v>
      </c>
      <c r="B149" s="355" t="s">
        <v>278</v>
      </c>
      <c r="C149" s="512" t="s">
        <v>279</v>
      </c>
      <c r="D149" s="459">
        <f>1793-70</f>
        <v>1723</v>
      </c>
      <c r="E149" s="1459">
        <f t="shared" si="43"/>
        <v>843150.05</v>
      </c>
      <c r="F149" s="119">
        <v>355</v>
      </c>
      <c r="G149" s="1459">
        <f t="shared" ref="G149" si="48">ROUND(F149*$G$9,2)</f>
        <v>868631.75</v>
      </c>
      <c r="H149" s="119">
        <f>1792-258</f>
        <v>1534</v>
      </c>
      <c r="I149" s="1459">
        <f t="shared" si="44"/>
        <v>750662.9</v>
      </c>
      <c r="J149" s="119">
        <f>0+150</f>
        <v>150</v>
      </c>
      <c r="K149" s="1459">
        <f t="shared" ref="K149" si="49">ROUND(J149*$K$9,2)</f>
        <v>367027.5</v>
      </c>
      <c r="L149" s="120">
        <f t="shared" si="39"/>
        <v>3257</v>
      </c>
      <c r="M149" s="1455">
        <f t="shared" si="39"/>
        <v>1593812.9500000002</v>
      </c>
      <c r="N149" s="120">
        <f t="shared" si="39"/>
        <v>505</v>
      </c>
      <c r="O149" s="1455">
        <f t="shared" si="39"/>
        <v>1235659.25</v>
      </c>
      <c r="P149" s="1468">
        <f t="shared" si="42"/>
        <v>3762</v>
      </c>
      <c r="Q149" s="1455">
        <f t="shared" si="42"/>
        <v>2829472.2</v>
      </c>
      <c r="R149" s="1471">
        <f>550+10</f>
        <v>560</v>
      </c>
      <c r="S149" s="1466">
        <f t="shared" si="45"/>
        <v>1548232</v>
      </c>
      <c r="T149" s="511">
        <v>0</v>
      </c>
      <c r="U149" s="1466">
        <f t="shared" si="46"/>
        <v>0</v>
      </c>
      <c r="V149" s="564">
        <v>0</v>
      </c>
      <c r="W149" s="1466">
        <f t="shared" si="47"/>
        <v>0</v>
      </c>
      <c r="X149" s="919">
        <f t="shared" si="40"/>
        <v>560</v>
      </c>
      <c r="Y149" s="1455">
        <f t="shared" si="40"/>
        <v>1548232</v>
      </c>
      <c r="Z149" s="1456">
        <f t="shared" si="41"/>
        <v>4377704.2</v>
      </c>
      <c r="AA149" s="116"/>
      <c r="AB149" s="1472"/>
    </row>
    <row r="150" spans="1:28" s="118" customFormat="1" x14ac:dyDescent="0.25">
      <c r="A150" s="927">
        <v>134</v>
      </c>
      <c r="B150" s="355" t="s">
        <v>280</v>
      </c>
      <c r="C150" s="512" t="s">
        <v>281</v>
      </c>
      <c r="D150" s="459"/>
      <c r="E150" s="1459"/>
      <c r="F150" s="119"/>
      <c r="G150" s="1459"/>
      <c r="H150" s="119"/>
      <c r="I150" s="1459"/>
      <c r="J150" s="119"/>
      <c r="K150" s="1459"/>
      <c r="L150" s="120">
        <f t="shared" si="39"/>
        <v>0</v>
      </c>
      <c r="M150" s="1455">
        <f t="shared" si="39"/>
        <v>0</v>
      </c>
      <c r="N150" s="120">
        <f t="shared" si="39"/>
        <v>0</v>
      </c>
      <c r="O150" s="1455">
        <f t="shared" si="39"/>
        <v>0</v>
      </c>
      <c r="P150" s="1468">
        <f t="shared" si="42"/>
        <v>0</v>
      </c>
      <c r="Q150" s="1455">
        <f t="shared" si="42"/>
        <v>0</v>
      </c>
      <c r="R150" s="1471"/>
      <c r="S150" s="1459"/>
      <c r="T150" s="511"/>
      <c r="U150" s="1466"/>
      <c r="V150" s="564"/>
      <c r="W150" s="1459"/>
      <c r="X150" s="919">
        <f t="shared" si="40"/>
        <v>0</v>
      </c>
      <c r="Y150" s="1455">
        <f t="shared" si="40"/>
        <v>0</v>
      </c>
      <c r="Z150" s="1456">
        <f t="shared" si="41"/>
        <v>0</v>
      </c>
      <c r="AA150" s="116"/>
    </row>
    <row r="151" spans="1:28" s="118" customFormat="1" x14ac:dyDescent="0.25">
      <c r="A151" s="927">
        <v>135</v>
      </c>
      <c r="B151" s="354" t="s">
        <v>282</v>
      </c>
      <c r="C151" s="510" t="s">
        <v>283</v>
      </c>
      <c r="D151" s="459"/>
      <c r="E151" s="1459"/>
      <c r="F151" s="119"/>
      <c r="G151" s="1459"/>
      <c r="H151" s="119"/>
      <c r="I151" s="1459"/>
      <c r="J151" s="119"/>
      <c r="K151" s="1459"/>
      <c r="L151" s="120">
        <f t="shared" si="39"/>
        <v>0</v>
      </c>
      <c r="M151" s="1455">
        <f t="shared" si="39"/>
        <v>0</v>
      </c>
      <c r="N151" s="120">
        <f t="shared" si="39"/>
        <v>0</v>
      </c>
      <c r="O151" s="1455">
        <f t="shared" si="39"/>
        <v>0</v>
      </c>
      <c r="P151" s="919">
        <f t="shared" si="42"/>
        <v>0</v>
      </c>
      <c r="Q151" s="1455">
        <f t="shared" si="42"/>
        <v>0</v>
      </c>
      <c r="R151" s="459"/>
      <c r="S151" s="1459"/>
      <c r="T151" s="511"/>
      <c r="U151" s="1459"/>
      <c r="V151" s="353"/>
      <c r="W151" s="1459"/>
      <c r="X151" s="919">
        <f t="shared" si="40"/>
        <v>0</v>
      </c>
      <c r="Y151" s="1455">
        <f t="shared" si="40"/>
        <v>0</v>
      </c>
      <c r="Z151" s="1456">
        <f t="shared" si="41"/>
        <v>0</v>
      </c>
      <c r="AA151" s="116"/>
    </row>
    <row r="152" spans="1:28" s="118" customFormat="1" x14ac:dyDescent="0.25">
      <c r="A152" s="927">
        <v>136</v>
      </c>
      <c r="B152" s="922" t="s">
        <v>284</v>
      </c>
      <c r="C152" s="1473" t="s">
        <v>285</v>
      </c>
      <c r="D152" s="459"/>
      <c r="E152" s="1474"/>
      <c r="F152" s="119"/>
      <c r="G152" s="1474"/>
      <c r="H152" s="119"/>
      <c r="I152" s="1474"/>
      <c r="J152" s="119"/>
      <c r="K152" s="1474"/>
      <c r="L152" s="1475">
        <f t="shared" si="39"/>
        <v>0</v>
      </c>
      <c r="M152" s="1476">
        <f t="shared" si="39"/>
        <v>0</v>
      </c>
      <c r="N152" s="1475">
        <f t="shared" si="39"/>
        <v>0</v>
      </c>
      <c r="O152" s="1476">
        <f t="shared" si="39"/>
        <v>0</v>
      </c>
      <c r="P152" s="1468">
        <f t="shared" si="42"/>
        <v>0</v>
      </c>
      <c r="Q152" s="1476">
        <f t="shared" si="42"/>
        <v>0</v>
      </c>
      <c r="R152" s="1477"/>
      <c r="S152" s="1474"/>
      <c r="T152" s="511"/>
      <c r="U152" s="1474"/>
      <c r="V152" s="777"/>
      <c r="W152" s="1474"/>
      <c r="X152" s="919">
        <f t="shared" si="40"/>
        <v>0</v>
      </c>
      <c r="Y152" s="1455">
        <f t="shared" si="40"/>
        <v>0</v>
      </c>
      <c r="Z152" s="1478">
        <f t="shared" si="41"/>
        <v>0</v>
      </c>
      <c r="AA152" s="116"/>
    </row>
    <row r="153" spans="1:28" s="118" customFormat="1" x14ac:dyDescent="0.25">
      <c r="A153" s="927">
        <v>137</v>
      </c>
      <c r="B153" s="363" t="s">
        <v>387</v>
      </c>
      <c r="C153" s="921" t="s">
        <v>388</v>
      </c>
      <c r="D153" s="459"/>
      <c r="E153" s="1459"/>
      <c r="F153" s="119"/>
      <c r="G153" s="1459"/>
      <c r="H153" s="119"/>
      <c r="I153" s="1459"/>
      <c r="J153" s="119"/>
      <c r="K153" s="1459"/>
      <c r="L153" s="1475">
        <f t="shared" si="39"/>
        <v>0</v>
      </c>
      <c r="M153" s="1476">
        <f t="shared" si="39"/>
        <v>0</v>
      </c>
      <c r="N153" s="1475">
        <f t="shared" si="39"/>
        <v>0</v>
      </c>
      <c r="O153" s="1476">
        <f t="shared" si="39"/>
        <v>0</v>
      </c>
      <c r="P153" s="919">
        <f t="shared" si="42"/>
        <v>0</v>
      </c>
      <c r="Q153" s="1479">
        <f t="shared" si="42"/>
        <v>0</v>
      </c>
      <c r="R153" s="459"/>
      <c r="S153" s="1459"/>
      <c r="T153" s="511"/>
      <c r="U153" s="1459"/>
      <c r="V153" s="353"/>
      <c r="W153" s="1459"/>
      <c r="X153" s="919">
        <f t="shared" si="40"/>
        <v>0</v>
      </c>
      <c r="Y153" s="1455">
        <f t="shared" si="40"/>
        <v>0</v>
      </c>
      <c r="Z153" s="1478">
        <f t="shared" si="41"/>
        <v>0</v>
      </c>
      <c r="AA153" s="116"/>
    </row>
    <row r="154" spans="1:28" s="118" customFormat="1" x14ac:dyDescent="0.25">
      <c r="A154" s="927">
        <v>138</v>
      </c>
      <c r="B154" s="364" t="s">
        <v>389</v>
      </c>
      <c r="C154" s="521" t="s">
        <v>390</v>
      </c>
      <c r="D154" s="511"/>
      <c r="E154" s="1459"/>
      <c r="F154" s="119"/>
      <c r="G154" s="1459"/>
      <c r="H154" s="119"/>
      <c r="I154" s="1459"/>
      <c r="J154" s="119"/>
      <c r="K154" s="1459"/>
      <c r="L154" s="1475">
        <f t="shared" si="39"/>
        <v>0</v>
      </c>
      <c r="M154" s="1476">
        <f t="shared" si="39"/>
        <v>0</v>
      </c>
      <c r="N154" s="1475">
        <f t="shared" si="39"/>
        <v>0</v>
      </c>
      <c r="O154" s="1476">
        <f t="shared" si="39"/>
        <v>0</v>
      </c>
      <c r="P154" s="1468">
        <f t="shared" si="42"/>
        <v>0</v>
      </c>
      <c r="Q154" s="1479">
        <f t="shared" si="42"/>
        <v>0</v>
      </c>
      <c r="R154" s="511"/>
      <c r="S154" s="1459"/>
      <c r="T154" s="511"/>
      <c r="U154" s="1459"/>
      <c r="V154" s="353"/>
      <c r="W154" s="1459"/>
      <c r="X154" s="919">
        <f t="shared" si="40"/>
        <v>0</v>
      </c>
      <c r="Y154" s="1455">
        <f t="shared" si="40"/>
        <v>0</v>
      </c>
      <c r="Z154" s="1478">
        <f t="shared" si="41"/>
        <v>0</v>
      </c>
      <c r="AA154" s="116"/>
    </row>
    <row r="155" spans="1:28" s="118" customFormat="1" x14ac:dyDescent="0.25">
      <c r="A155" s="927">
        <v>139</v>
      </c>
      <c r="B155" s="366" t="s">
        <v>391</v>
      </c>
      <c r="C155" s="1480" t="s">
        <v>392</v>
      </c>
      <c r="D155" s="511"/>
      <c r="E155" s="1474"/>
      <c r="F155" s="119"/>
      <c r="G155" s="1474"/>
      <c r="H155" s="119"/>
      <c r="I155" s="1474"/>
      <c r="J155" s="119"/>
      <c r="K155" s="1474"/>
      <c r="L155" s="1475">
        <f t="shared" si="39"/>
        <v>0</v>
      </c>
      <c r="M155" s="1476">
        <f t="shared" si="39"/>
        <v>0</v>
      </c>
      <c r="N155" s="1475">
        <f t="shared" si="39"/>
        <v>0</v>
      </c>
      <c r="O155" s="1476">
        <f t="shared" si="39"/>
        <v>0</v>
      </c>
      <c r="P155" s="1468">
        <f t="shared" si="42"/>
        <v>0</v>
      </c>
      <c r="Q155" s="1479">
        <f t="shared" si="42"/>
        <v>0</v>
      </c>
      <c r="R155" s="1481"/>
      <c r="S155" s="1474"/>
      <c r="T155" s="511">
        <v>660</v>
      </c>
      <c r="U155" s="1459">
        <f t="shared" ref="U155" si="50">ROUND(T155*$U$9,2)</f>
        <v>1824702</v>
      </c>
      <c r="V155" s="777">
        <v>990</v>
      </c>
      <c r="W155" s="1459">
        <f t="shared" ref="W155" si="51">ROUND(V155*$W$9,2)</f>
        <v>2737053</v>
      </c>
      <c r="X155" s="919">
        <f t="shared" si="40"/>
        <v>1650</v>
      </c>
      <c r="Y155" s="1455">
        <f t="shared" si="40"/>
        <v>4561755</v>
      </c>
      <c r="Z155" s="1478">
        <f t="shared" si="41"/>
        <v>4561755</v>
      </c>
      <c r="AA155" s="116"/>
      <c r="AB155" s="1472"/>
    </row>
    <row r="156" spans="1:28" s="118" customFormat="1" x14ac:dyDescent="0.25">
      <c r="A156" s="926">
        <v>140</v>
      </c>
      <c r="B156" s="1482" t="s">
        <v>393</v>
      </c>
      <c r="C156" s="1483" t="s">
        <v>394</v>
      </c>
      <c r="D156" s="1481"/>
      <c r="E156" s="1474"/>
      <c r="F156" s="923"/>
      <c r="G156" s="1474"/>
      <c r="H156" s="923"/>
      <c r="I156" s="1474"/>
      <c r="J156" s="923"/>
      <c r="K156" s="1474"/>
      <c r="L156" s="120">
        <f t="shared" si="39"/>
        <v>0</v>
      </c>
      <c r="M156" s="1454">
        <f t="shared" si="39"/>
        <v>0</v>
      </c>
      <c r="N156" s="120">
        <f t="shared" si="39"/>
        <v>0</v>
      </c>
      <c r="O156" s="1454">
        <f t="shared" si="39"/>
        <v>0</v>
      </c>
      <c r="P156" s="120">
        <f t="shared" si="42"/>
        <v>0</v>
      </c>
      <c r="Q156" s="1455">
        <f t="shared" si="42"/>
        <v>0</v>
      </c>
      <c r="R156" s="459"/>
      <c r="S156" s="1459"/>
      <c r="T156" s="119"/>
      <c r="U156" s="1459"/>
      <c r="V156" s="353"/>
      <c r="W156" s="1459"/>
      <c r="X156" s="120">
        <f t="shared" si="40"/>
        <v>0</v>
      </c>
      <c r="Y156" s="1469">
        <f t="shared" si="40"/>
        <v>0</v>
      </c>
      <c r="Z156" s="1484">
        <f t="shared" si="41"/>
        <v>0</v>
      </c>
      <c r="AA156" s="116"/>
    </row>
    <row r="157" spans="1:28" s="118" customFormat="1" x14ac:dyDescent="0.25">
      <c r="A157" s="927">
        <v>141</v>
      </c>
      <c r="B157" s="1485" t="s">
        <v>808</v>
      </c>
      <c r="C157" s="1486" t="s">
        <v>807</v>
      </c>
      <c r="D157" s="511"/>
      <c r="E157" s="1459"/>
      <c r="F157" s="119">
        <f>0+260</f>
        <v>260</v>
      </c>
      <c r="G157" s="1459">
        <f t="shared" ref="G157" si="52">ROUND(F157*$G$9,2)</f>
        <v>636181</v>
      </c>
      <c r="H157" s="119"/>
      <c r="I157" s="1459"/>
      <c r="J157" s="119">
        <f>0+2877-1047</f>
        <v>1830</v>
      </c>
      <c r="K157" s="1459">
        <f t="shared" ref="K157" si="53">ROUND(J157*$K$9,2)</f>
        <v>4477735.5</v>
      </c>
      <c r="L157" s="120">
        <f t="shared" si="39"/>
        <v>0</v>
      </c>
      <c r="M157" s="1454">
        <f t="shared" si="39"/>
        <v>0</v>
      </c>
      <c r="N157" s="120">
        <f t="shared" si="39"/>
        <v>2090</v>
      </c>
      <c r="O157" s="1454">
        <f t="shared" si="39"/>
        <v>5113916.5</v>
      </c>
      <c r="P157" s="120">
        <f t="shared" si="42"/>
        <v>2090</v>
      </c>
      <c r="Q157" s="1455">
        <f t="shared" si="42"/>
        <v>5113916.5</v>
      </c>
      <c r="R157" s="459"/>
      <c r="S157" s="1459"/>
      <c r="T157" s="119"/>
      <c r="U157" s="1459"/>
      <c r="V157" s="353"/>
      <c r="W157" s="1459"/>
      <c r="X157" s="120">
        <f t="shared" si="40"/>
        <v>0</v>
      </c>
      <c r="Y157" s="1469">
        <f t="shared" si="40"/>
        <v>0</v>
      </c>
      <c r="Z157" s="1484">
        <f t="shared" si="41"/>
        <v>5113916.5</v>
      </c>
      <c r="AA157" s="116"/>
    </row>
    <row r="158" spans="1:28" s="118" customFormat="1" ht="12.75" thickBot="1" x14ac:dyDescent="0.3">
      <c r="A158" s="367">
        <v>142</v>
      </c>
      <c r="B158" s="663" t="s">
        <v>827</v>
      </c>
      <c r="C158" s="522" t="s">
        <v>828</v>
      </c>
      <c r="D158" s="462"/>
      <c r="E158" s="1487"/>
      <c r="F158" s="461"/>
      <c r="G158" s="1487"/>
      <c r="H158" s="461"/>
      <c r="I158" s="1487"/>
      <c r="J158" s="461"/>
      <c r="K158" s="1487"/>
      <c r="L158" s="925">
        <f t="shared" si="39"/>
        <v>0</v>
      </c>
      <c r="M158" s="1488">
        <f t="shared" si="39"/>
        <v>0</v>
      </c>
      <c r="N158" s="925">
        <f t="shared" si="39"/>
        <v>0</v>
      </c>
      <c r="O158" s="1488">
        <f t="shared" si="39"/>
        <v>0</v>
      </c>
      <c r="P158" s="925">
        <f t="shared" si="42"/>
        <v>0</v>
      </c>
      <c r="Q158" s="1489">
        <f t="shared" si="42"/>
        <v>0</v>
      </c>
      <c r="R158" s="924"/>
      <c r="S158" s="1487"/>
      <c r="T158" s="461"/>
      <c r="U158" s="1487"/>
      <c r="V158" s="1496">
        <f>0+8525</f>
        <v>8525</v>
      </c>
      <c r="W158" s="1487">
        <f t="shared" ref="W158" si="54">ROUND(V158*$W$9,2)</f>
        <v>23569067.5</v>
      </c>
      <c r="X158" s="925">
        <f t="shared" si="40"/>
        <v>8525</v>
      </c>
      <c r="Y158" s="1489">
        <f t="shared" si="40"/>
        <v>23569067.5</v>
      </c>
      <c r="Z158" s="1490">
        <f t="shared" si="41"/>
        <v>23569067.5</v>
      </c>
      <c r="AA158" s="116"/>
    </row>
    <row r="159" spans="1:28" s="1492" customFormat="1" x14ac:dyDescent="0.25">
      <c r="C159" s="1493"/>
      <c r="E159" s="1494"/>
      <c r="G159" s="1494"/>
      <c r="I159" s="1494"/>
      <c r="K159" s="1494"/>
      <c r="M159" s="1494"/>
      <c r="O159" s="1494"/>
      <c r="Q159" s="1494"/>
      <c r="S159" s="1494"/>
      <c r="U159" s="1494"/>
      <c r="V159" s="1491"/>
      <c r="W159" s="1494"/>
      <c r="Y159" s="1494"/>
      <c r="Z159" s="1494"/>
    </row>
    <row r="160" spans="1:28" s="118" customFormat="1" x14ac:dyDescent="0.25">
      <c r="A160" s="116"/>
      <c r="B160" s="116"/>
      <c r="C160" s="117"/>
      <c r="D160" s="116"/>
      <c r="E160" s="1373"/>
      <c r="F160" s="1373"/>
      <c r="G160" s="1373"/>
      <c r="H160" s="1373"/>
      <c r="I160" s="1373"/>
      <c r="J160" s="1373"/>
      <c r="K160" s="1373"/>
      <c r="L160" s="116"/>
      <c r="M160" s="116"/>
      <c r="N160" s="116"/>
      <c r="O160" s="116"/>
      <c r="P160" s="116"/>
      <c r="Q160" s="116"/>
      <c r="R160" s="116"/>
      <c r="S160" s="1373"/>
      <c r="U160" s="1373"/>
      <c r="V160" s="121"/>
      <c r="W160" s="1373"/>
      <c r="X160" s="916"/>
      <c r="Y160" s="1374"/>
      <c r="Z160" s="1374"/>
      <c r="AA160" s="116"/>
      <c r="AB160" s="116"/>
    </row>
    <row r="161" spans="3:32" s="1373" customFormat="1" x14ac:dyDescent="0.25">
      <c r="C161" s="117"/>
      <c r="D161" s="116"/>
      <c r="L161" s="116"/>
      <c r="M161" s="116"/>
      <c r="N161" s="116"/>
      <c r="O161" s="116"/>
      <c r="P161" s="116"/>
      <c r="Q161" s="116"/>
      <c r="R161" s="116"/>
      <c r="T161" s="118"/>
      <c r="V161" s="121"/>
      <c r="X161" s="916"/>
      <c r="Y161" s="1374"/>
      <c r="Z161" s="1374"/>
      <c r="AA161" s="116"/>
      <c r="AB161" s="116"/>
      <c r="AC161" s="118"/>
      <c r="AD161" s="118"/>
      <c r="AE161" s="118"/>
      <c r="AF161" s="118"/>
    </row>
    <row r="162" spans="3:32" s="1373" customFormat="1" x14ac:dyDescent="0.25">
      <c r="C162" s="117"/>
      <c r="D162" s="116"/>
      <c r="L162" s="116"/>
      <c r="M162" s="116"/>
      <c r="N162" s="116"/>
      <c r="O162" s="116"/>
      <c r="P162" s="116"/>
      <c r="Q162" s="116"/>
      <c r="R162" s="116"/>
      <c r="T162" s="118"/>
      <c r="V162" s="121"/>
      <c r="X162" s="916"/>
      <c r="Y162" s="1374"/>
      <c r="Z162" s="1374"/>
      <c r="AA162" s="116"/>
      <c r="AB162" s="116"/>
      <c r="AC162" s="118"/>
      <c r="AD162" s="118"/>
      <c r="AE162" s="118"/>
      <c r="AF162" s="118"/>
    </row>
    <row r="163" spans="3:32" s="1373" customFormat="1" x14ac:dyDescent="0.25">
      <c r="C163" s="117"/>
      <c r="D163" s="116"/>
      <c r="L163" s="116"/>
      <c r="M163" s="116"/>
      <c r="N163" s="116"/>
      <c r="O163" s="116"/>
      <c r="P163" s="116"/>
      <c r="Q163" s="116"/>
      <c r="R163" s="116"/>
      <c r="T163" s="118"/>
      <c r="V163" s="121"/>
      <c r="X163" s="916"/>
      <c r="Y163" s="1374"/>
      <c r="Z163" s="1374"/>
      <c r="AA163" s="116"/>
      <c r="AB163" s="116"/>
      <c r="AC163" s="118"/>
      <c r="AD163" s="118"/>
      <c r="AE163" s="118"/>
      <c r="AF163" s="118"/>
    </row>
    <row r="164" spans="3:32" s="1373" customFormat="1" x14ac:dyDescent="0.25">
      <c r="C164" s="117"/>
      <c r="D164" s="116"/>
      <c r="L164" s="116"/>
      <c r="M164" s="116"/>
      <c r="N164" s="116"/>
      <c r="O164" s="116"/>
      <c r="P164" s="116"/>
      <c r="Q164" s="116"/>
      <c r="R164" s="116"/>
      <c r="T164" s="118"/>
      <c r="V164" s="121"/>
      <c r="X164" s="916"/>
      <c r="Y164" s="1374"/>
      <c r="Z164" s="1374"/>
      <c r="AA164" s="116"/>
      <c r="AB164" s="116"/>
      <c r="AC164" s="118"/>
      <c r="AD164" s="118"/>
      <c r="AE164" s="118"/>
      <c r="AF164" s="118"/>
    </row>
    <row r="165" spans="3:32" s="1373" customFormat="1" x14ac:dyDescent="0.25">
      <c r="C165" s="117"/>
      <c r="D165" s="116"/>
      <c r="L165" s="116"/>
      <c r="M165" s="116"/>
      <c r="N165" s="116"/>
      <c r="O165" s="116"/>
      <c r="P165" s="116"/>
      <c r="Q165" s="116"/>
      <c r="R165" s="116"/>
      <c r="T165" s="118"/>
      <c r="V165" s="121"/>
      <c r="X165" s="916"/>
      <c r="Y165" s="1374"/>
      <c r="Z165" s="1374"/>
      <c r="AA165" s="116"/>
      <c r="AB165" s="116"/>
      <c r="AC165" s="118"/>
      <c r="AD165" s="118"/>
      <c r="AE165" s="118"/>
      <c r="AF165" s="118"/>
    </row>
  </sheetData>
  <mergeCells count="38">
    <mergeCell ref="V6:V7"/>
    <mergeCell ref="W6:W7"/>
    <mergeCell ref="X6:X7"/>
    <mergeCell ref="Y6:Y7"/>
    <mergeCell ref="A11:C11"/>
    <mergeCell ref="P6:Q6"/>
    <mergeCell ref="R6:R7"/>
    <mergeCell ref="S6:S7"/>
    <mergeCell ref="T6:T7"/>
    <mergeCell ref="U6:U7"/>
    <mergeCell ref="Z3:Z7"/>
    <mergeCell ref="D4:G4"/>
    <mergeCell ref="H4:K4"/>
    <mergeCell ref="L4:Q5"/>
    <mergeCell ref="R4:S5"/>
    <mergeCell ref="T4:U5"/>
    <mergeCell ref="V4:W5"/>
    <mergeCell ref="X4:Y5"/>
    <mergeCell ref="D5:G5"/>
    <mergeCell ref="H5:K5"/>
    <mergeCell ref="D6:E6"/>
    <mergeCell ref="F6:G6"/>
    <mergeCell ref="H6:I6"/>
    <mergeCell ref="J6:K6"/>
    <mergeCell ref="L6:M6"/>
    <mergeCell ref="N6:O6"/>
    <mergeCell ref="A1:Z1"/>
    <mergeCell ref="A3:A7"/>
    <mergeCell ref="B3:B7"/>
    <mergeCell ref="C3:C7"/>
    <mergeCell ref="D3:Q3"/>
    <mergeCell ref="R3:Y3"/>
    <mergeCell ref="A9:C9"/>
    <mergeCell ref="A10:C10"/>
    <mergeCell ref="A12:C12"/>
    <mergeCell ref="A13:C13"/>
    <mergeCell ref="A96:A99"/>
    <mergeCell ref="B96:B99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="90" zoomScaleNormal="90" workbookViewId="0">
      <pane xSplit="3" ySplit="7" topLeftCell="D120" activePane="bottomRight" state="frozen"/>
      <selection pane="topRight" activeCell="D1" sqref="D1"/>
      <selection pane="bottomLeft" activeCell="A8" sqref="A8"/>
      <selection pane="bottomRight" activeCell="O138" sqref="O138"/>
    </sheetView>
  </sheetViews>
  <sheetFormatPr defaultRowHeight="12" x14ac:dyDescent="0.25"/>
  <cols>
    <col min="1" max="1" width="4.7109375" style="460" customWidth="1"/>
    <col min="2" max="2" width="8" style="460" customWidth="1"/>
    <col min="3" max="3" width="30.140625" style="539" customWidth="1"/>
    <col min="4" max="5" width="14.7109375" style="121" customWidth="1"/>
    <col min="6" max="6" width="12.5703125" style="121" customWidth="1"/>
    <col min="7" max="7" width="11.28515625" style="460" customWidth="1"/>
    <col min="8" max="8" width="10.7109375" style="460" customWidth="1"/>
    <col min="9" max="9" width="11.140625" style="460" customWidth="1"/>
    <col min="10" max="16384" width="9.140625" style="460"/>
  </cols>
  <sheetData>
    <row r="1" spans="1:9" ht="15.75" x14ac:dyDescent="0.25">
      <c r="A1" s="1188" t="s">
        <v>623</v>
      </c>
      <c r="B1" s="1189"/>
      <c r="C1" s="1189"/>
      <c r="D1" s="1189"/>
      <c r="E1" s="1189"/>
      <c r="F1" s="1189"/>
      <c r="G1" s="1189"/>
      <c r="H1" s="1189"/>
      <c r="I1" s="1189"/>
    </row>
    <row r="2" spans="1:9" ht="12.75" thickBot="1" x14ac:dyDescent="0.3"/>
    <row r="3" spans="1:9" s="540" customFormat="1" ht="27" customHeight="1" x14ac:dyDescent="0.25">
      <c r="A3" s="1180" t="s">
        <v>0</v>
      </c>
      <c r="B3" s="1182" t="s">
        <v>601</v>
      </c>
      <c r="C3" s="1184" t="s">
        <v>292</v>
      </c>
      <c r="D3" s="1193" t="s">
        <v>802</v>
      </c>
      <c r="E3" s="1194"/>
      <c r="F3" s="1193" t="s">
        <v>618</v>
      </c>
      <c r="G3" s="1195"/>
      <c r="H3" s="1196" t="s">
        <v>619</v>
      </c>
      <c r="I3" s="1195"/>
    </row>
    <row r="4" spans="1:9" s="540" customFormat="1" ht="39.75" customHeight="1" thickBot="1" x14ac:dyDescent="0.3">
      <c r="A4" s="1190"/>
      <c r="B4" s="1191"/>
      <c r="C4" s="1192"/>
      <c r="D4" s="537" t="s">
        <v>289</v>
      </c>
      <c r="E4" s="538" t="s">
        <v>605</v>
      </c>
      <c r="F4" s="541" t="s">
        <v>620</v>
      </c>
      <c r="G4" s="542" t="s">
        <v>607</v>
      </c>
      <c r="H4" s="543" t="s">
        <v>608</v>
      </c>
      <c r="I4" s="542" t="s">
        <v>609</v>
      </c>
    </row>
    <row r="5" spans="1:9" s="546" customFormat="1" x14ac:dyDescent="0.25">
      <c r="A5" s="1197" t="s">
        <v>6</v>
      </c>
      <c r="B5" s="1198"/>
      <c r="C5" s="1199"/>
      <c r="D5" s="527">
        <f>SUM(D6:D8)</f>
        <v>50318</v>
      </c>
      <c r="E5" s="544">
        <f t="shared" ref="E5:I5" si="0">SUM(E6:E8)</f>
        <v>6273</v>
      </c>
      <c r="F5" s="527">
        <f t="shared" si="0"/>
        <v>4364</v>
      </c>
      <c r="G5" s="528">
        <f t="shared" si="0"/>
        <v>135036</v>
      </c>
      <c r="H5" s="545">
        <f t="shared" si="0"/>
        <v>4075</v>
      </c>
      <c r="I5" s="528">
        <f t="shared" si="0"/>
        <v>85560</v>
      </c>
    </row>
    <row r="6" spans="1:9" s="546" customFormat="1" x14ac:dyDescent="0.25">
      <c r="A6" s="1203" t="s">
        <v>14</v>
      </c>
      <c r="B6" s="1204"/>
      <c r="C6" s="1205"/>
      <c r="D6" s="352"/>
      <c r="E6" s="547"/>
      <c r="F6" s="562"/>
      <c r="G6" s="530"/>
      <c r="H6" s="548"/>
      <c r="I6" s="530"/>
    </row>
    <row r="7" spans="1:9" s="546" customFormat="1" x14ac:dyDescent="0.25">
      <c r="A7" s="1203" t="s">
        <v>444</v>
      </c>
      <c r="B7" s="1204"/>
      <c r="C7" s="1205"/>
      <c r="D7" s="352"/>
      <c r="E7" s="547"/>
      <c r="F7" s="562"/>
      <c r="G7" s="530"/>
      <c r="H7" s="548"/>
      <c r="I7" s="530"/>
    </row>
    <row r="8" spans="1:9" x14ac:dyDescent="0.25">
      <c r="A8" s="1203" t="s">
        <v>15</v>
      </c>
      <c r="B8" s="1204"/>
      <c r="C8" s="1205"/>
      <c r="D8" s="533">
        <f>SUM(D9:D151)</f>
        <v>50318</v>
      </c>
      <c r="E8" s="549">
        <f t="shared" ref="E8:I8" si="1">SUM(E9:E151)</f>
        <v>6273</v>
      </c>
      <c r="F8" s="533">
        <f t="shared" si="1"/>
        <v>4364</v>
      </c>
      <c r="G8" s="550">
        <f t="shared" si="1"/>
        <v>135036</v>
      </c>
      <c r="H8" s="551">
        <f t="shared" si="1"/>
        <v>4075</v>
      </c>
      <c r="I8" s="550">
        <f t="shared" si="1"/>
        <v>85560</v>
      </c>
    </row>
    <row r="9" spans="1:9" x14ac:dyDescent="0.25">
      <c r="A9" s="562">
        <v>1</v>
      </c>
      <c r="B9" s="560" t="s">
        <v>16</v>
      </c>
      <c r="C9" s="356" t="s">
        <v>17</v>
      </c>
      <c r="D9" s="352"/>
      <c r="E9" s="547"/>
      <c r="F9" s="352"/>
      <c r="G9" s="530"/>
      <c r="H9" s="548"/>
      <c r="I9" s="530"/>
    </row>
    <row r="10" spans="1:9" x14ac:dyDescent="0.25">
      <c r="A10" s="562">
        <v>2</v>
      </c>
      <c r="B10" s="560" t="s">
        <v>18</v>
      </c>
      <c r="C10" s="356" t="s">
        <v>19</v>
      </c>
      <c r="D10" s="352"/>
      <c r="E10" s="547"/>
      <c r="F10" s="352"/>
      <c r="G10" s="530"/>
      <c r="H10" s="548"/>
      <c r="I10" s="530"/>
    </row>
    <row r="11" spans="1:9" x14ac:dyDescent="0.25">
      <c r="A11" s="562">
        <v>3</v>
      </c>
      <c r="B11" s="363" t="s">
        <v>20</v>
      </c>
      <c r="C11" s="356" t="s">
        <v>21</v>
      </c>
      <c r="D11" s="352">
        <v>1460</v>
      </c>
      <c r="E11" s="547">
        <v>88</v>
      </c>
      <c r="F11" s="352"/>
      <c r="G11" s="530"/>
      <c r="H11" s="548">
        <v>221</v>
      </c>
      <c r="I11" s="530">
        <v>4650</v>
      </c>
    </row>
    <row r="12" spans="1:9" x14ac:dyDescent="0.25">
      <c r="A12" s="562">
        <v>4</v>
      </c>
      <c r="B12" s="560" t="s">
        <v>22</v>
      </c>
      <c r="C12" s="356" t="s">
        <v>23</v>
      </c>
      <c r="D12" s="352"/>
      <c r="E12" s="547"/>
      <c r="F12" s="352"/>
      <c r="G12" s="530"/>
      <c r="H12" s="548"/>
      <c r="I12" s="530"/>
    </row>
    <row r="13" spans="1:9" x14ac:dyDescent="0.25">
      <c r="A13" s="562">
        <v>5</v>
      </c>
      <c r="B13" s="560" t="s">
        <v>24</v>
      </c>
      <c r="C13" s="356" t="s">
        <v>25</v>
      </c>
      <c r="D13" s="352"/>
      <c r="E13" s="547"/>
      <c r="F13" s="352"/>
      <c r="G13" s="530"/>
      <c r="H13" s="548"/>
      <c r="I13" s="530"/>
    </row>
    <row r="14" spans="1:9" x14ac:dyDescent="0.25">
      <c r="A14" s="562">
        <v>6</v>
      </c>
      <c r="B14" s="363" t="s">
        <v>26</v>
      </c>
      <c r="C14" s="356" t="s">
        <v>27</v>
      </c>
      <c r="D14" s="352"/>
      <c r="E14" s="547"/>
      <c r="F14" s="352"/>
      <c r="G14" s="530"/>
      <c r="H14" s="548"/>
      <c r="I14" s="530"/>
    </row>
    <row r="15" spans="1:9" x14ac:dyDescent="0.25">
      <c r="A15" s="562">
        <v>7</v>
      </c>
      <c r="B15" s="560" t="s">
        <v>28</v>
      </c>
      <c r="C15" s="356" t="s">
        <v>29</v>
      </c>
      <c r="D15" s="352"/>
      <c r="E15" s="547"/>
      <c r="F15" s="352"/>
      <c r="G15" s="530"/>
      <c r="H15" s="548"/>
      <c r="I15" s="530"/>
    </row>
    <row r="16" spans="1:9" x14ac:dyDescent="0.25">
      <c r="A16" s="562">
        <v>8</v>
      </c>
      <c r="B16" s="363" t="s">
        <v>30</v>
      </c>
      <c r="C16" s="356" t="s">
        <v>31</v>
      </c>
      <c r="D16" s="352"/>
      <c r="E16" s="547"/>
      <c r="F16" s="352"/>
      <c r="G16" s="530"/>
      <c r="H16" s="548"/>
      <c r="I16" s="530"/>
    </row>
    <row r="17" spans="1:9" x14ac:dyDescent="0.25">
      <c r="A17" s="562">
        <v>9</v>
      </c>
      <c r="B17" s="363" t="s">
        <v>32</v>
      </c>
      <c r="C17" s="356" t="s">
        <v>33</v>
      </c>
      <c r="D17" s="352"/>
      <c r="E17" s="547"/>
      <c r="F17" s="352"/>
      <c r="G17" s="530"/>
      <c r="H17" s="548"/>
      <c r="I17" s="530"/>
    </row>
    <row r="18" spans="1:9" x14ac:dyDescent="0.25">
      <c r="A18" s="562">
        <v>10</v>
      </c>
      <c r="B18" s="363" t="s">
        <v>34</v>
      </c>
      <c r="C18" s="356" t="s">
        <v>35</v>
      </c>
      <c r="D18" s="352">
        <v>1460</v>
      </c>
      <c r="E18" s="547">
        <v>125</v>
      </c>
      <c r="F18" s="352">
        <v>330</v>
      </c>
      <c r="G18" s="530">
        <v>9900</v>
      </c>
      <c r="H18" s="548"/>
      <c r="I18" s="530"/>
    </row>
    <row r="19" spans="1:9" x14ac:dyDescent="0.25">
      <c r="A19" s="562">
        <v>11</v>
      </c>
      <c r="B19" s="363" t="s">
        <v>36</v>
      </c>
      <c r="C19" s="356" t="s">
        <v>37</v>
      </c>
      <c r="D19" s="352"/>
      <c r="E19" s="547"/>
      <c r="F19" s="352"/>
      <c r="G19" s="530"/>
      <c r="H19" s="548"/>
      <c r="I19" s="530"/>
    </row>
    <row r="20" spans="1:9" x14ac:dyDescent="0.25">
      <c r="A20" s="562">
        <v>12</v>
      </c>
      <c r="B20" s="363" t="s">
        <v>38</v>
      </c>
      <c r="C20" s="356" t="s">
        <v>39</v>
      </c>
      <c r="D20" s="352"/>
      <c r="E20" s="547"/>
      <c r="F20" s="352"/>
      <c r="G20" s="530"/>
      <c r="H20" s="548"/>
      <c r="I20" s="530"/>
    </row>
    <row r="21" spans="1:9" ht="12" customHeight="1" x14ac:dyDescent="0.25">
      <c r="A21" s="562">
        <v>13</v>
      </c>
      <c r="B21" s="563" t="s">
        <v>40</v>
      </c>
      <c r="C21" s="359" t="s">
        <v>41</v>
      </c>
      <c r="D21" s="352"/>
      <c r="E21" s="547"/>
      <c r="F21" s="352"/>
      <c r="G21" s="530"/>
      <c r="H21" s="548"/>
      <c r="I21" s="530"/>
    </row>
    <row r="22" spans="1:9" x14ac:dyDescent="0.25">
      <c r="A22" s="562">
        <v>14</v>
      </c>
      <c r="B22" s="384" t="s">
        <v>42</v>
      </c>
      <c r="C22" s="359" t="s">
        <v>43</v>
      </c>
      <c r="D22" s="352"/>
      <c r="E22" s="547"/>
      <c r="F22" s="352"/>
      <c r="G22" s="530"/>
      <c r="H22" s="548"/>
      <c r="I22" s="530"/>
    </row>
    <row r="23" spans="1:9" x14ac:dyDescent="0.25">
      <c r="A23" s="562">
        <v>15</v>
      </c>
      <c r="B23" s="363" t="s">
        <v>44</v>
      </c>
      <c r="C23" s="356" t="s">
        <v>45</v>
      </c>
      <c r="D23" s="352"/>
      <c r="E23" s="547"/>
      <c r="F23" s="352"/>
      <c r="G23" s="530"/>
      <c r="H23" s="548"/>
      <c r="I23" s="530"/>
    </row>
    <row r="24" spans="1:9" x14ac:dyDescent="0.25">
      <c r="A24" s="562">
        <v>16</v>
      </c>
      <c r="B24" s="363" t="s">
        <v>46</v>
      </c>
      <c r="C24" s="356" t="s">
        <v>47</v>
      </c>
      <c r="D24" s="352"/>
      <c r="E24" s="547"/>
      <c r="F24" s="352"/>
      <c r="G24" s="530"/>
      <c r="H24" s="548"/>
      <c r="I24" s="530"/>
    </row>
    <row r="25" spans="1:9" x14ac:dyDescent="0.25">
      <c r="A25" s="562">
        <v>17</v>
      </c>
      <c r="B25" s="363" t="s">
        <v>48</v>
      </c>
      <c r="C25" s="356" t="s">
        <v>49</v>
      </c>
      <c r="D25" s="352"/>
      <c r="E25" s="547"/>
      <c r="F25" s="352"/>
      <c r="G25" s="530"/>
      <c r="H25" s="548"/>
      <c r="I25" s="530"/>
    </row>
    <row r="26" spans="1:9" x14ac:dyDescent="0.25">
      <c r="A26" s="562">
        <v>18</v>
      </c>
      <c r="B26" s="363" t="s">
        <v>50</v>
      </c>
      <c r="C26" s="356" t="s">
        <v>51</v>
      </c>
      <c r="D26" s="352">
        <v>3710</v>
      </c>
      <c r="E26" s="547">
        <v>447</v>
      </c>
      <c r="F26" s="352"/>
      <c r="G26" s="530"/>
      <c r="H26" s="548"/>
      <c r="I26" s="530"/>
    </row>
    <row r="27" spans="1:9" x14ac:dyDescent="0.25">
      <c r="A27" s="562">
        <v>19</v>
      </c>
      <c r="B27" s="560" t="s">
        <v>52</v>
      </c>
      <c r="C27" s="356" t="s">
        <v>53</v>
      </c>
      <c r="D27" s="352"/>
      <c r="E27" s="547"/>
      <c r="F27" s="352"/>
      <c r="G27" s="530"/>
      <c r="H27" s="548"/>
      <c r="I27" s="530"/>
    </row>
    <row r="28" spans="1:9" x14ac:dyDescent="0.25">
      <c r="A28" s="562">
        <v>20</v>
      </c>
      <c r="B28" s="560" t="s">
        <v>54</v>
      </c>
      <c r="C28" s="356" t="s">
        <v>55</v>
      </c>
      <c r="D28" s="352"/>
      <c r="E28" s="547"/>
      <c r="F28" s="352"/>
      <c r="G28" s="530"/>
      <c r="H28" s="548"/>
      <c r="I28" s="530"/>
    </row>
    <row r="29" spans="1:9" x14ac:dyDescent="0.25">
      <c r="A29" s="562">
        <v>21</v>
      </c>
      <c r="B29" s="560" t="s">
        <v>56</v>
      </c>
      <c r="C29" s="356" t="s">
        <v>57</v>
      </c>
      <c r="D29" s="352">
        <v>1460</v>
      </c>
      <c r="E29" s="547">
        <v>125</v>
      </c>
      <c r="F29" s="352">
        <v>330</v>
      </c>
      <c r="G29" s="530">
        <v>9900</v>
      </c>
      <c r="H29" s="548"/>
      <c r="I29" s="530"/>
    </row>
    <row r="30" spans="1:9" x14ac:dyDescent="0.25">
      <c r="A30" s="562">
        <v>22</v>
      </c>
      <c r="B30" s="560" t="s">
        <v>58</v>
      </c>
      <c r="C30" s="356" t="s">
        <v>59</v>
      </c>
      <c r="D30" s="352">
        <v>1459</v>
      </c>
      <c r="E30" s="547">
        <v>88</v>
      </c>
      <c r="F30" s="352">
        <v>165</v>
      </c>
      <c r="G30" s="530">
        <v>4950</v>
      </c>
      <c r="H30" s="548"/>
      <c r="I30" s="530"/>
    </row>
    <row r="31" spans="1:9" x14ac:dyDescent="0.25">
      <c r="A31" s="562">
        <v>23</v>
      </c>
      <c r="B31" s="363" t="s">
        <v>60</v>
      </c>
      <c r="C31" s="356" t="s">
        <v>61</v>
      </c>
      <c r="D31" s="352"/>
      <c r="E31" s="547"/>
      <c r="F31" s="352"/>
      <c r="G31" s="530"/>
      <c r="H31" s="548"/>
      <c r="I31" s="530"/>
    </row>
    <row r="32" spans="1:9" x14ac:dyDescent="0.25">
      <c r="A32" s="562">
        <v>24</v>
      </c>
      <c r="B32" s="363" t="s">
        <v>62</v>
      </c>
      <c r="C32" s="356" t="s">
        <v>63</v>
      </c>
      <c r="D32" s="352"/>
      <c r="E32" s="547"/>
      <c r="F32" s="352"/>
      <c r="G32" s="530"/>
      <c r="H32" s="548"/>
      <c r="I32" s="530"/>
    </row>
    <row r="33" spans="1:9" ht="24" x14ac:dyDescent="0.25">
      <c r="A33" s="562">
        <v>25</v>
      </c>
      <c r="B33" s="363" t="s">
        <v>64</v>
      </c>
      <c r="C33" s="356" t="s">
        <v>65</v>
      </c>
      <c r="D33" s="352"/>
      <c r="E33" s="547"/>
      <c r="F33" s="352"/>
      <c r="G33" s="530"/>
      <c r="H33" s="548"/>
      <c r="I33" s="530"/>
    </row>
    <row r="34" spans="1:9" x14ac:dyDescent="0.25">
      <c r="A34" s="562">
        <v>26</v>
      </c>
      <c r="B34" s="560" t="s">
        <v>66</v>
      </c>
      <c r="C34" s="356" t="s">
        <v>67</v>
      </c>
      <c r="D34" s="352">
        <v>1459</v>
      </c>
      <c r="E34" s="547">
        <v>125</v>
      </c>
      <c r="F34" s="352">
        <v>330</v>
      </c>
      <c r="G34" s="530">
        <v>9900</v>
      </c>
      <c r="H34" s="548">
        <v>221</v>
      </c>
      <c r="I34" s="530">
        <v>4650</v>
      </c>
    </row>
    <row r="35" spans="1:9" x14ac:dyDescent="0.25">
      <c r="A35" s="562">
        <v>27</v>
      </c>
      <c r="B35" s="363" t="s">
        <v>68</v>
      </c>
      <c r="C35" s="356" t="s">
        <v>69</v>
      </c>
      <c r="D35" s="352"/>
      <c r="E35" s="547"/>
      <c r="F35" s="352"/>
      <c r="G35" s="530"/>
      <c r="H35" s="548"/>
      <c r="I35" s="530"/>
    </row>
    <row r="36" spans="1:9" x14ac:dyDescent="0.25">
      <c r="A36" s="562">
        <v>28</v>
      </c>
      <c r="B36" s="363" t="s">
        <v>70</v>
      </c>
      <c r="C36" s="356" t="s">
        <v>71</v>
      </c>
      <c r="D36" s="352"/>
      <c r="E36" s="547"/>
      <c r="F36" s="352"/>
      <c r="G36" s="530"/>
      <c r="H36" s="548"/>
      <c r="I36" s="530"/>
    </row>
    <row r="37" spans="1:9" x14ac:dyDescent="0.25">
      <c r="A37" s="562">
        <v>29</v>
      </c>
      <c r="B37" s="560" t="s">
        <v>72</v>
      </c>
      <c r="C37" s="356" t="s">
        <v>73</v>
      </c>
      <c r="D37" s="352"/>
      <c r="E37" s="547"/>
      <c r="F37" s="352"/>
      <c r="G37" s="530"/>
      <c r="H37" s="548"/>
      <c r="I37" s="530"/>
    </row>
    <row r="38" spans="1:9" ht="24" x14ac:dyDescent="0.25">
      <c r="A38" s="562">
        <v>30</v>
      </c>
      <c r="B38" s="560" t="s">
        <v>74</v>
      </c>
      <c r="C38" s="356" t="s">
        <v>377</v>
      </c>
      <c r="D38" s="352"/>
      <c r="E38" s="547"/>
      <c r="F38" s="352"/>
      <c r="G38" s="530"/>
      <c r="H38" s="548"/>
      <c r="I38" s="530"/>
    </row>
    <row r="39" spans="1:9" x14ac:dyDescent="0.25">
      <c r="A39" s="562">
        <v>31</v>
      </c>
      <c r="B39" s="560" t="s">
        <v>75</v>
      </c>
      <c r="C39" s="356" t="s">
        <v>76</v>
      </c>
      <c r="D39" s="352"/>
      <c r="E39" s="547"/>
      <c r="F39" s="352"/>
      <c r="G39" s="530"/>
      <c r="H39" s="548"/>
      <c r="I39" s="530"/>
    </row>
    <row r="40" spans="1:9" x14ac:dyDescent="0.25">
      <c r="A40" s="562">
        <v>32</v>
      </c>
      <c r="B40" s="363" t="s">
        <v>77</v>
      </c>
      <c r="C40" s="356" t="s">
        <v>78</v>
      </c>
      <c r="D40" s="352">
        <v>1460</v>
      </c>
      <c r="E40" s="547">
        <v>125</v>
      </c>
      <c r="F40" s="352"/>
      <c r="G40" s="530"/>
      <c r="H40" s="548">
        <v>221</v>
      </c>
      <c r="I40" s="530">
        <v>4650</v>
      </c>
    </row>
    <row r="41" spans="1:9" x14ac:dyDescent="0.25">
      <c r="A41" s="562">
        <v>33</v>
      </c>
      <c r="B41" s="560" t="s">
        <v>79</v>
      </c>
      <c r="C41" s="356" t="s">
        <v>80</v>
      </c>
      <c r="D41" s="352"/>
      <c r="E41" s="547"/>
      <c r="F41" s="352"/>
      <c r="G41" s="530"/>
      <c r="H41" s="548"/>
      <c r="I41" s="530"/>
    </row>
    <row r="42" spans="1:9" x14ac:dyDescent="0.25">
      <c r="A42" s="562">
        <v>34</v>
      </c>
      <c r="B42" s="560" t="s">
        <v>81</v>
      </c>
      <c r="C42" s="356" t="s">
        <v>82</v>
      </c>
      <c r="D42" s="352"/>
      <c r="E42" s="547"/>
      <c r="F42" s="352"/>
      <c r="G42" s="530"/>
      <c r="H42" s="548"/>
      <c r="I42" s="530"/>
    </row>
    <row r="43" spans="1:9" x14ac:dyDescent="0.25">
      <c r="A43" s="562">
        <v>35</v>
      </c>
      <c r="B43" s="560" t="s">
        <v>83</v>
      </c>
      <c r="C43" s="356" t="s">
        <v>84</v>
      </c>
      <c r="D43" s="352"/>
      <c r="E43" s="547"/>
      <c r="F43" s="352"/>
      <c r="G43" s="530"/>
      <c r="H43" s="548"/>
      <c r="I43" s="530"/>
    </row>
    <row r="44" spans="1:9" x14ac:dyDescent="0.25">
      <c r="A44" s="562">
        <v>36</v>
      </c>
      <c r="B44" s="560" t="s">
        <v>85</v>
      </c>
      <c r="C44" s="356" t="s">
        <v>86</v>
      </c>
      <c r="D44" s="352"/>
      <c r="E44" s="547"/>
      <c r="F44" s="352"/>
      <c r="G44" s="530"/>
      <c r="H44" s="548"/>
      <c r="I44" s="530"/>
    </row>
    <row r="45" spans="1:9" x14ac:dyDescent="0.25">
      <c r="A45" s="562">
        <v>37</v>
      </c>
      <c r="B45" s="363" t="s">
        <v>87</v>
      </c>
      <c r="C45" s="356" t="s">
        <v>88</v>
      </c>
      <c r="D45" s="352">
        <v>1460</v>
      </c>
      <c r="E45" s="547">
        <v>125</v>
      </c>
      <c r="F45" s="352">
        <v>330</v>
      </c>
      <c r="G45" s="530">
        <v>9900</v>
      </c>
      <c r="H45" s="548"/>
      <c r="I45" s="530"/>
    </row>
    <row r="46" spans="1:9" x14ac:dyDescent="0.25">
      <c r="A46" s="562">
        <v>38</v>
      </c>
      <c r="B46" s="560" t="s">
        <v>89</v>
      </c>
      <c r="C46" s="356" t="s">
        <v>90</v>
      </c>
      <c r="D46" s="352">
        <v>1459</v>
      </c>
      <c r="E46" s="547">
        <v>88</v>
      </c>
      <c r="F46" s="352"/>
      <c r="G46" s="530"/>
      <c r="H46" s="548">
        <v>148</v>
      </c>
      <c r="I46" s="530">
        <v>3100</v>
      </c>
    </row>
    <row r="47" spans="1:9" x14ac:dyDescent="0.25">
      <c r="A47" s="562">
        <v>39</v>
      </c>
      <c r="B47" s="560" t="s">
        <v>91</v>
      </c>
      <c r="C47" s="356" t="s">
        <v>92</v>
      </c>
      <c r="D47" s="352"/>
      <c r="E47" s="547"/>
      <c r="F47" s="352"/>
      <c r="G47" s="530"/>
      <c r="H47" s="548"/>
      <c r="I47" s="530"/>
    </row>
    <row r="48" spans="1:9" x14ac:dyDescent="0.25">
      <c r="A48" s="562">
        <v>40</v>
      </c>
      <c r="B48" s="561" t="s">
        <v>93</v>
      </c>
      <c r="C48" s="365" t="s">
        <v>94</v>
      </c>
      <c r="D48" s="352"/>
      <c r="E48" s="547"/>
      <c r="F48" s="352"/>
      <c r="G48" s="530"/>
      <c r="H48" s="548"/>
      <c r="I48" s="530"/>
    </row>
    <row r="49" spans="1:9" x14ac:dyDescent="0.25">
      <c r="A49" s="562">
        <v>41</v>
      </c>
      <c r="B49" s="560" t="s">
        <v>95</v>
      </c>
      <c r="C49" s="356" t="s">
        <v>96</v>
      </c>
      <c r="D49" s="352"/>
      <c r="E49" s="547"/>
      <c r="F49" s="352"/>
      <c r="G49" s="530"/>
      <c r="H49" s="548"/>
      <c r="I49" s="530"/>
    </row>
    <row r="50" spans="1:9" x14ac:dyDescent="0.25">
      <c r="A50" s="562">
        <v>42</v>
      </c>
      <c r="B50" s="560" t="s">
        <v>97</v>
      </c>
      <c r="C50" s="356" t="s">
        <v>98</v>
      </c>
      <c r="D50" s="352"/>
      <c r="E50" s="547"/>
      <c r="F50" s="352"/>
      <c r="G50" s="530"/>
      <c r="H50" s="548"/>
      <c r="I50" s="530"/>
    </row>
    <row r="51" spans="1:9" x14ac:dyDescent="0.25">
      <c r="A51" s="562">
        <v>43</v>
      </c>
      <c r="B51" s="363" t="s">
        <v>99</v>
      </c>
      <c r="C51" s="356" t="s">
        <v>100</v>
      </c>
      <c r="D51" s="352"/>
      <c r="E51" s="547"/>
      <c r="F51" s="352"/>
      <c r="G51" s="530"/>
      <c r="H51" s="548"/>
      <c r="I51" s="530"/>
    </row>
    <row r="52" spans="1:9" x14ac:dyDescent="0.25">
      <c r="A52" s="562">
        <v>44</v>
      </c>
      <c r="B52" s="560" t="s">
        <v>101</v>
      </c>
      <c r="C52" s="356" t="s">
        <v>102</v>
      </c>
      <c r="D52" s="352">
        <v>1459</v>
      </c>
      <c r="E52" s="547">
        <v>88</v>
      </c>
      <c r="F52" s="352"/>
      <c r="G52" s="530"/>
      <c r="H52" s="548">
        <v>148</v>
      </c>
      <c r="I52" s="530">
        <v>3100</v>
      </c>
    </row>
    <row r="53" spans="1:9" x14ac:dyDescent="0.25">
      <c r="A53" s="562">
        <v>45</v>
      </c>
      <c r="B53" s="363" t="s">
        <v>103</v>
      </c>
      <c r="C53" s="356" t="s">
        <v>104</v>
      </c>
      <c r="D53" s="352"/>
      <c r="E53" s="547"/>
      <c r="F53" s="352"/>
      <c r="G53" s="530"/>
      <c r="H53" s="548"/>
      <c r="I53" s="530"/>
    </row>
    <row r="54" spans="1:9" x14ac:dyDescent="0.25">
      <c r="A54" s="562">
        <v>46</v>
      </c>
      <c r="B54" s="560" t="s">
        <v>105</v>
      </c>
      <c r="C54" s="356" t="s">
        <v>106</v>
      </c>
      <c r="D54" s="352"/>
      <c r="E54" s="547"/>
      <c r="F54" s="352"/>
      <c r="G54" s="530"/>
      <c r="H54" s="548"/>
      <c r="I54" s="530"/>
    </row>
    <row r="55" spans="1:9" x14ac:dyDescent="0.25">
      <c r="A55" s="562">
        <v>47</v>
      </c>
      <c r="B55" s="560" t="s">
        <v>107</v>
      </c>
      <c r="C55" s="356" t="s">
        <v>108</v>
      </c>
      <c r="D55" s="352">
        <v>1460</v>
      </c>
      <c r="E55" s="547">
        <v>125</v>
      </c>
      <c r="F55" s="352">
        <v>330</v>
      </c>
      <c r="G55" s="530">
        <v>9900</v>
      </c>
      <c r="H55" s="548"/>
      <c r="I55" s="530"/>
    </row>
    <row r="56" spans="1:9" x14ac:dyDescent="0.25">
      <c r="A56" s="562">
        <v>48</v>
      </c>
      <c r="B56" s="363" t="s">
        <v>109</v>
      </c>
      <c r="C56" s="356" t="s">
        <v>110</v>
      </c>
      <c r="D56" s="352"/>
      <c r="E56" s="547"/>
      <c r="F56" s="352"/>
      <c r="G56" s="530"/>
      <c r="H56" s="548"/>
      <c r="I56" s="530"/>
    </row>
    <row r="57" spans="1:9" x14ac:dyDescent="0.25">
      <c r="A57" s="562">
        <v>49</v>
      </c>
      <c r="B57" s="363" t="s">
        <v>111</v>
      </c>
      <c r="C57" s="356" t="s">
        <v>112</v>
      </c>
      <c r="D57" s="352"/>
      <c r="E57" s="547"/>
      <c r="F57" s="352"/>
      <c r="G57" s="530"/>
      <c r="H57" s="548"/>
      <c r="I57" s="530"/>
    </row>
    <row r="58" spans="1:9" x14ac:dyDescent="0.25">
      <c r="A58" s="562">
        <v>50</v>
      </c>
      <c r="B58" s="560" t="s">
        <v>113</v>
      </c>
      <c r="C58" s="356" t="s">
        <v>114</v>
      </c>
      <c r="D58" s="352"/>
      <c r="E58" s="547"/>
      <c r="F58" s="352"/>
      <c r="G58" s="530"/>
      <c r="H58" s="548"/>
      <c r="I58" s="530"/>
    </row>
    <row r="59" spans="1:9" x14ac:dyDescent="0.25">
      <c r="A59" s="562">
        <v>51</v>
      </c>
      <c r="B59" s="363" t="s">
        <v>115</v>
      </c>
      <c r="C59" s="356" t="s">
        <v>116</v>
      </c>
      <c r="D59" s="352"/>
      <c r="E59" s="547"/>
      <c r="F59" s="352"/>
      <c r="G59" s="530"/>
      <c r="H59" s="548"/>
      <c r="I59" s="530"/>
    </row>
    <row r="60" spans="1:9" x14ac:dyDescent="0.25">
      <c r="A60" s="562">
        <v>52</v>
      </c>
      <c r="B60" s="560" t="s">
        <v>117</v>
      </c>
      <c r="C60" s="356" t="s">
        <v>118</v>
      </c>
      <c r="D60" s="352"/>
      <c r="E60" s="547"/>
      <c r="F60" s="352"/>
      <c r="G60" s="530"/>
      <c r="H60" s="548"/>
      <c r="I60" s="530"/>
    </row>
    <row r="61" spans="1:9" x14ac:dyDescent="0.25">
      <c r="A61" s="562">
        <v>53</v>
      </c>
      <c r="B61" s="363" t="s">
        <v>119</v>
      </c>
      <c r="C61" s="356" t="s">
        <v>120</v>
      </c>
      <c r="D61" s="352"/>
      <c r="E61" s="547"/>
      <c r="F61" s="352"/>
      <c r="G61" s="530"/>
      <c r="H61" s="548"/>
      <c r="I61" s="530"/>
    </row>
    <row r="62" spans="1:9" ht="11.25" customHeight="1" x14ac:dyDescent="0.25">
      <c r="A62" s="562">
        <v>54</v>
      </c>
      <c r="B62" s="363" t="s">
        <v>121</v>
      </c>
      <c r="C62" s="356" t="s">
        <v>122</v>
      </c>
      <c r="D62" s="352"/>
      <c r="E62" s="547"/>
      <c r="F62" s="352"/>
      <c r="G62" s="530"/>
      <c r="H62" s="548"/>
      <c r="I62" s="530"/>
    </row>
    <row r="63" spans="1:9" x14ac:dyDescent="0.25">
      <c r="A63" s="562">
        <v>55</v>
      </c>
      <c r="B63" s="363" t="s">
        <v>123</v>
      </c>
      <c r="C63" s="356" t="s">
        <v>124</v>
      </c>
      <c r="D63" s="352"/>
      <c r="E63" s="547"/>
      <c r="F63" s="352"/>
      <c r="G63" s="530"/>
      <c r="H63" s="548"/>
      <c r="I63" s="530"/>
    </row>
    <row r="64" spans="1:9" ht="11.25" customHeight="1" x14ac:dyDescent="0.25">
      <c r="A64" s="562">
        <v>56</v>
      </c>
      <c r="B64" s="563" t="s">
        <v>125</v>
      </c>
      <c r="C64" s="359" t="s">
        <v>126</v>
      </c>
      <c r="D64" s="352"/>
      <c r="E64" s="547"/>
      <c r="F64" s="352"/>
      <c r="G64" s="530"/>
      <c r="H64" s="548"/>
      <c r="I64" s="530"/>
    </row>
    <row r="65" spans="1:9" ht="24" x14ac:dyDescent="0.25">
      <c r="A65" s="562">
        <v>57</v>
      </c>
      <c r="B65" s="363" t="s">
        <v>127</v>
      </c>
      <c r="C65" s="356" t="s">
        <v>128</v>
      </c>
      <c r="D65" s="352"/>
      <c r="E65" s="547"/>
      <c r="F65" s="352"/>
      <c r="G65" s="530"/>
      <c r="H65" s="548"/>
      <c r="I65" s="530"/>
    </row>
    <row r="66" spans="1:9" ht="24" x14ac:dyDescent="0.25">
      <c r="A66" s="562">
        <v>58</v>
      </c>
      <c r="B66" s="363" t="s">
        <v>129</v>
      </c>
      <c r="C66" s="356" t="s">
        <v>459</v>
      </c>
      <c r="D66" s="352"/>
      <c r="E66" s="547"/>
      <c r="F66" s="352"/>
      <c r="G66" s="530"/>
      <c r="H66" s="548"/>
      <c r="I66" s="530"/>
    </row>
    <row r="67" spans="1:9" ht="24" x14ac:dyDescent="0.25">
      <c r="A67" s="562">
        <v>59</v>
      </c>
      <c r="B67" s="363" t="s">
        <v>131</v>
      </c>
      <c r="C67" s="356" t="s">
        <v>132</v>
      </c>
      <c r="D67" s="352"/>
      <c r="E67" s="547"/>
      <c r="F67" s="352"/>
      <c r="G67" s="530"/>
      <c r="H67" s="548"/>
      <c r="I67" s="530"/>
    </row>
    <row r="68" spans="1:9" ht="24" x14ac:dyDescent="0.25">
      <c r="A68" s="562">
        <v>60</v>
      </c>
      <c r="B68" s="560" t="s">
        <v>133</v>
      </c>
      <c r="C68" s="356" t="s">
        <v>299</v>
      </c>
      <c r="D68" s="352"/>
      <c r="E68" s="547"/>
      <c r="F68" s="352"/>
      <c r="G68" s="530"/>
      <c r="H68" s="548"/>
      <c r="I68" s="530"/>
    </row>
    <row r="69" spans="1:9" ht="24" x14ac:dyDescent="0.25">
      <c r="A69" s="562">
        <v>61</v>
      </c>
      <c r="B69" s="560" t="s">
        <v>135</v>
      </c>
      <c r="C69" s="356" t="s">
        <v>461</v>
      </c>
      <c r="D69" s="352"/>
      <c r="E69" s="547"/>
      <c r="F69" s="352"/>
      <c r="G69" s="530"/>
      <c r="H69" s="548"/>
      <c r="I69" s="530"/>
    </row>
    <row r="70" spans="1:9" ht="24" x14ac:dyDescent="0.25">
      <c r="A70" s="562">
        <v>62</v>
      </c>
      <c r="B70" s="560" t="s">
        <v>137</v>
      </c>
      <c r="C70" s="356" t="s">
        <v>640</v>
      </c>
      <c r="D70" s="352"/>
      <c r="E70" s="547"/>
      <c r="F70" s="352"/>
      <c r="G70" s="530"/>
      <c r="H70" s="548"/>
      <c r="I70" s="530"/>
    </row>
    <row r="71" spans="1:9" ht="24" x14ac:dyDescent="0.25">
      <c r="A71" s="562">
        <v>63</v>
      </c>
      <c r="B71" s="363" t="s">
        <v>139</v>
      </c>
      <c r="C71" s="356" t="s">
        <v>641</v>
      </c>
      <c r="D71" s="352"/>
      <c r="E71" s="547"/>
      <c r="F71" s="352"/>
      <c r="G71" s="530"/>
      <c r="H71" s="548"/>
      <c r="I71" s="530"/>
    </row>
    <row r="72" spans="1:9" ht="12.75" customHeight="1" x14ac:dyDescent="0.25">
      <c r="A72" s="562">
        <v>64</v>
      </c>
      <c r="B72" s="560" t="s">
        <v>141</v>
      </c>
      <c r="C72" s="356" t="s">
        <v>456</v>
      </c>
      <c r="D72" s="352"/>
      <c r="E72" s="547"/>
      <c r="F72" s="352"/>
      <c r="G72" s="530"/>
      <c r="H72" s="548"/>
      <c r="I72" s="530"/>
    </row>
    <row r="73" spans="1:9" ht="12.75" customHeight="1" x14ac:dyDescent="0.25">
      <c r="A73" s="562">
        <v>65</v>
      </c>
      <c r="B73" s="560" t="s">
        <v>143</v>
      </c>
      <c r="C73" s="356" t="s">
        <v>144</v>
      </c>
      <c r="D73" s="352"/>
      <c r="E73" s="547"/>
      <c r="F73" s="352"/>
      <c r="G73" s="530"/>
      <c r="H73" s="548"/>
      <c r="I73" s="530"/>
    </row>
    <row r="74" spans="1:9" ht="12.75" customHeight="1" x14ac:dyDescent="0.25">
      <c r="A74" s="562">
        <v>66</v>
      </c>
      <c r="B74" s="560" t="s">
        <v>145</v>
      </c>
      <c r="C74" s="356" t="s">
        <v>457</v>
      </c>
      <c r="D74" s="352"/>
      <c r="E74" s="547"/>
      <c r="F74" s="352"/>
      <c r="G74" s="530"/>
      <c r="H74" s="548"/>
      <c r="I74" s="530"/>
    </row>
    <row r="75" spans="1:9" ht="24" x14ac:dyDescent="0.25">
      <c r="A75" s="562">
        <v>67</v>
      </c>
      <c r="B75" s="560" t="s">
        <v>147</v>
      </c>
      <c r="C75" s="356" t="s">
        <v>642</v>
      </c>
      <c r="D75" s="352"/>
      <c r="E75" s="547"/>
      <c r="F75" s="352"/>
      <c r="G75" s="530"/>
      <c r="H75" s="548"/>
      <c r="I75" s="530"/>
    </row>
    <row r="76" spans="1:9" ht="24" x14ac:dyDescent="0.25">
      <c r="A76" s="562">
        <v>68</v>
      </c>
      <c r="B76" s="560" t="s">
        <v>149</v>
      </c>
      <c r="C76" s="356" t="s">
        <v>463</v>
      </c>
      <c r="D76" s="352"/>
      <c r="E76" s="547"/>
      <c r="F76" s="352"/>
      <c r="G76" s="530"/>
      <c r="H76" s="548"/>
      <c r="I76" s="530"/>
    </row>
    <row r="77" spans="1:9" ht="24" x14ac:dyDescent="0.25">
      <c r="A77" s="562">
        <v>69</v>
      </c>
      <c r="B77" s="560" t="s">
        <v>151</v>
      </c>
      <c r="C77" s="356" t="s">
        <v>643</v>
      </c>
      <c r="D77" s="352"/>
      <c r="E77" s="547"/>
      <c r="F77" s="352"/>
      <c r="G77" s="530"/>
      <c r="H77" s="548"/>
      <c r="I77" s="530"/>
    </row>
    <row r="78" spans="1:9" ht="24" x14ac:dyDescent="0.25">
      <c r="A78" s="562">
        <v>70</v>
      </c>
      <c r="B78" s="560" t="s">
        <v>153</v>
      </c>
      <c r="C78" s="356" t="s">
        <v>644</v>
      </c>
      <c r="D78" s="352"/>
      <c r="E78" s="547"/>
      <c r="F78" s="352"/>
      <c r="G78" s="530"/>
      <c r="H78" s="548"/>
      <c r="I78" s="530"/>
    </row>
    <row r="79" spans="1:9" ht="24" x14ac:dyDescent="0.25">
      <c r="A79" s="562">
        <v>71</v>
      </c>
      <c r="B79" s="363" t="s">
        <v>155</v>
      </c>
      <c r="C79" s="356" t="s">
        <v>645</v>
      </c>
      <c r="D79" s="352"/>
      <c r="E79" s="547"/>
      <c r="F79" s="352"/>
      <c r="G79" s="530"/>
      <c r="H79" s="548"/>
      <c r="I79" s="530"/>
    </row>
    <row r="80" spans="1:9" ht="24" x14ac:dyDescent="0.25">
      <c r="A80" s="562">
        <v>72</v>
      </c>
      <c r="B80" s="560" t="s">
        <v>157</v>
      </c>
      <c r="C80" s="356" t="s">
        <v>646</v>
      </c>
      <c r="D80" s="352"/>
      <c r="E80" s="547"/>
      <c r="F80" s="352"/>
      <c r="G80" s="530"/>
      <c r="H80" s="548"/>
      <c r="I80" s="530"/>
    </row>
    <row r="81" spans="1:9" ht="24" x14ac:dyDescent="0.25">
      <c r="A81" s="562">
        <v>73</v>
      </c>
      <c r="B81" s="363" t="s">
        <v>159</v>
      </c>
      <c r="C81" s="356" t="s">
        <v>647</v>
      </c>
      <c r="D81" s="352"/>
      <c r="E81" s="547"/>
      <c r="F81" s="352"/>
      <c r="G81" s="530"/>
      <c r="H81" s="548"/>
      <c r="I81" s="530"/>
    </row>
    <row r="82" spans="1:9" x14ac:dyDescent="0.25">
      <c r="A82" s="562">
        <v>74</v>
      </c>
      <c r="B82" s="560" t="s">
        <v>161</v>
      </c>
      <c r="C82" s="356" t="s">
        <v>162</v>
      </c>
      <c r="D82" s="352"/>
      <c r="E82" s="547"/>
      <c r="F82" s="352"/>
      <c r="G82" s="530"/>
      <c r="H82" s="548"/>
      <c r="I82" s="530"/>
    </row>
    <row r="83" spans="1:9" x14ac:dyDescent="0.25">
      <c r="A83" s="562">
        <v>75</v>
      </c>
      <c r="B83" s="363" t="s">
        <v>163</v>
      </c>
      <c r="C83" s="356" t="s">
        <v>458</v>
      </c>
      <c r="D83" s="352">
        <v>75</v>
      </c>
      <c r="E83" s="547"/>
      <c r="F83" s="352"/>
      <c r="G83" s="530"/>
      <c r="H83" s="548"/>
      <c r="I83" s="530"/>
    </row>
    <row r="84" spans="1:9" x14ac:dyDescent="0.25">
      <c r="A84" s="562">
        <v>76</v>
      </c>
      <c r="B84" s="363" t="s">
        <v>165</v>
      </c>
      <c r="C84" s="356" t="s">
        <v>166</v>
      </c>
      <c r="D84" s="352"/>
      <c r="E84" s="547"/>
      <c r="F84" s="352"/>
      <c r="G84" s="530"/>
      <c r="H84" s="548"/>
      <c r="I84" s="530"/>
    </row>
    <row r="85" spans="1:9" x14ac:dyDescent="0.25">
      <c r="A85" s="562">
        <v>77</v>
      </c>
      <c r="B85" s="560" t="s">
        <v>167</v>
      </c>
      <c r="C85" s="356" t="s">
        <v>168</v>
      </c>
      <c r="D85" s="352"/>
      <c r="E85" s="547"/>
      <c r="F85" s="352"/>
      <c r="G85" s="530"/>
      <c r="H85" s="548"/>
      <c r="I85" s="530"/>
    </row>
    <row r="86" spans="1:9" x14ac:dyDescent="0.25">
      <c r="A86" s="562">
        <v>78</v>
      </c>
      <c r="B86" s="560" t="s">
        <v>169</v>
      </c>
      <c r="C86" s="356" t="s">
        <v>170</v>
      </c>
      <c r="D86" s="352"/>
      <c r="E86" s="547"/>
      <c r="F86" s="352"/>
      <c r="G86" s="530"/>
      <c r="H86" s="548"/>
      <c r="I86" s="530"/>
    </row>
    <row r="87" spans="1:9" x14ac:dyDescent="0.25">
      <c r="A87" s="562">
        <v>79</v>
      </c>
      <c r="B87" s="560" t="s">
        <v>171</v>
      </c>
      <c r="C87" s="356" t="s">
        <v>172</v>
      </c>
      <c r="D87" s="352"/>
      <c r="E87" s="547"/>
      <c r="F87" s="352"/>
      <c r="G87" s="530"/>
      <c r="H87" s="548"/>
      <c r="I87" s="530"/>
    </row>
    <row r="88" spans="1:9" x14ac:dyDescent="0.25">
      <c r="A88" s="562">
        <v>80</v>
      </c>
      <c r="B88" s="560" t="s">
        <v>173</v>
      </c>
      <c r="C88" s="356" t="s">
        <v>617</v>
      </c>
      <c r="D88" s="352"/>
      <c r="E88" s="547"/>
      <c r="F88" s="352"/>
      <c r="G88" s="530"/>
      <c r="H88" s="548"/>
      <c r="I88" s="530"/>
    </row>
    <row r="89" spans="1:9" x14ac:dyDescent="0.25">
      <c r="A89" s="562">
        <v>81</v>
      </c>
      <c r="B89" s="560" t="s">
        <v>175</v>
      </c>
      <c r="C89" s="356" t="s">
        <v>176</v>
      </c>
      <c r="D89" s="352"/>
      <c r="E89" s="547"/>
      <c r="F89" s="352"/>
      <c r="G89" s="530"/>
      <c r="H89" s="548"/>
      <c r="I89" s="530"/>
    </row>
    <row r="90" spans="1:9" x14ac:dyDescent="0.25">
      <c r="A90" s="562">
        <v>82</v>
      </c>
      <c r="B90" s="360" t="s">
        <v>177</v>
      </c>
      <c r="C90" s="359" t="s">
        <v>752</v>
      </c>
      <c r="D90" s="352"/>
      <c r="E90" s="547"/>
      <c r="F90" s="352"/>
      <c r="G90" s="530"/>
      <c r="H90" s="548"/>
      <c r="I90" s="530"/>
    </row>
    <row r="91" spans="1:9" ht="24" x14ac:dyDescent="0.25">
      <c r="A91" s="1173">
        <v>83</v>
      </c>
      <c r="B91" s="1176" t="s">
        <v>178</v>
      </c>
      <c r="C91" s="361" t="s">
        <v>753</v>
      </c>
      <c r="D91" s="352"/>
      <c r="E91" s="547"/>
      <c r="F91" s="352"/>
      <c r="G91" s="530"/>
      <c r="H91" s="548"/>
      <c r="I91" s="530"/>
    </row>
    <row r="92" spans="1:9" ht="24" x14ac:dyDescent="0.25">
      <c r="A92" s="1174"/>
      <c r="B92" s="1177"/>
      <c r="C92" s="359" t="s">
        <v>179</v>
      </c>
      <c r="D92" s="352"/>
      <c r="E92" s="547"/>
      <c r="F92" s="352"/>
      <c r="G92" s="530"/>
      <c r="H92" s="548"/>
      <c r="I92" s="530"/>
    </row>
    <row r="93" spans="1:9" ht="24" x14ac:dyDescent="0.25">
      <c r="A93" s="1174"/>
      <c r="B93" s="1177"/>
      <c r="C93" s="359" t="s">
        <v>180</v>
      </c>
      <c r="D93" s="352"/>
      <c r="E93" s="547"/>
      <c r="F93" s="352"/>
      <c r="G93" s="530"/>
      <c r="H93" s="548"/>
      <c r="I93" s="530"/>
    </row>
    <row r="94" spans="1:9" ht="36" x14ac:dyDescent="0.25">
      <c r="A94" s="1175"/>
      <c r="B94" s="1178"/>
      <c r="C94" s="362" t="s">
        <v>509</v>
      </c>
      <c r="D94" s="352"/>
      <c r="E94" s="547"/>
      <c r="F94" s="352"/>
      <c r="G94" s="530"/>
      <c r="H94" s="548"/>
      <c r="I94" s="530"/>
    </row>
    <row r="95" spans="1:9" ht="24" x14ac:dyDescent="0.25">
      <c r="A95" s="562">
        <v>84</v>
      </c>
      <c r="B95" s="363" t="s">
        <v>181</v>
      </c>
      <c r="C95" s="356" t="s">
        <v>182</v>
      </c>
      <c r="D95" s="352"/>
      <c r="E95" s="547"/>
      <c r="F95" s="352"/>
      <c r="G95" s="530"/>
      <c r="H95" s="548"/>
      <c r="I95" s="530"/>
    </row>
    <row r="96" spans="1:9" x14ac:dyDescent="0.25">
      <c r="A96" s="562">
        <v>85</v>
      </c>
      <c r="B96" s="560" t="s">
        <v>183</v>
      </c>
      <c r="C96" s="356" t="s">
        <v>184</v>
      </c>
      <c r="D96" s="352"/>
      <c r="E96" s="547"/>
      <c r="F96" s="352"/>
      <c r="G96" s="530"/>
      <c r="H96" s="548"/>
      <c r="I96" s="530"/>
    </row>
    <row r="97" spans="1:9" ht="12" customHeight="1" x14ac:dyDescent="0.25">
      <c r="A97" s="562">
        <v>86</v>
      </c>
      <c r="B97" s="363" t="s">
        <v>185</v>
      </c>
      <c r="C97" s="356" t="s">
        <v>186</v>
      </c>
      <c r="D97" s="352"/>
      <c r="E97" s="547"/>
      <c r="F97" s="352"/>
      <c r="G97" s="530"/>
      <c r="H97" s="548"/>
      <c r="I97" s="530"/>
    </row>
    <row r="98" spans="1:9" x14ac:dyDescent="0.25">
      <c r="A98" s="562">
        <v>87</v>
      </c>
      <c r="B98" s="560" t="s">
        <v>187</v>
      </c>
      <c r="C98" s="356" t="s">
        <v>188</v>
      </c>
      <c r="D98" s="352">
        <v>1459</v>
      </c>
      <c r="E98" s="547">
        <v>88</v>
      </c>
      <c r="F98" s="352">
        <v>165</v>
      </c>
      <c r="G98" s="530">
        <v>4950</v>
      </c>
      <c r="H98" s="548"/>
      <c r="I98" s="530"/>
    </row>
    <row r="99" spans="1:9" x14ac:dyDescent="0.25">
      <c r="A99" s="562">
        <v>88</v>
      </c>
      <c r="B99" s="560" t="s">
        <v>189</v>
      </c>
      <c r="C99" s="356" t="s">
        <v>190</v>
      </c>
      <c r="D99" s="352">
        <v>1459</v>
      </c>
      <c r="E99" s="547">
        <v>88</v>
      </c>
      <c r="F99" s="352"/>
      <c r="G99" s="530"/>
      <c r="H99" s="548"/>
      <c r="I99" s="530"/>
    </row>
    <row r="100" spans="1:9" x14ac:dyDescent="0.25">
      <c r="A100" s="562">
        <v>89</v>
      </c>
      <c r="B100" s="560" t="s">
        <v>191</v>
      </c>
      <c r="C100" s="356" t="s">
        <v>192</v>
      </c>
      <c r="D100" s="352"/>
      <c r="E100" s="547"/>
      <c r="F100" s="352"/>
      <c r="G100" s="530"/>
      <c r="H100" s="548"/>
      <c r="I100" s="530"/>
    </row>
    <row r="101" spans="1:9" ht="12" customHeight="1" x14ac:dyDescent="0.25">
      <c r="A101" s="562">
        <v>90</v>
      </c>
      <c r="B101" s="560" t="s">
        <v>193</v>
      </c>
      <c r="C101" s="356" t="s">
        <v>194</v>
      </c>
      <c r="D101" s="352"/>
      <c r="E101" s="547"/>
      <c r="F101" s="352"/>
      <c r="G101" s="530"/>
      <c r="H101" s="548"/>
      <c r="I101" s="530"/>
    </row>
    <row r="102" spans="1:9" x14ac:dyDescent="0.25">
      <c r="A102" s="562">
        <v>91</v>
      </c>
      <c r="B102" s="560" t="s">
        <v>195</v>
      </c>
      <c r="C102" s="356" t="s">
        <v>196</v>
      </c>
      <c r="D102" s="352"/>
      <c r="E102" s="547"/>
      <c r="F102" s="352"/>
      <c r="G102" s="530"/>
      <c r="H102" s="548"/>
      <c r="I102" s="530"/>
    </row>
    <row r="103" spans="1:9" x14ac:dyDescent="0.25">
      <c r="A103" s="562">
        <v>92</v>
      </c>
      <c r="B103" s="560" t="s">
        <v>197</v>
      </c>
      <c r="C103" s="356" t="s">
        <v>198</v>
      </c>
      <c r="D103" s="352"/>
      <c r="E103" s="547"/>
      <c r="F103" s="352"/>
      <c r="G103" s="530"/>
      <c r="H103" s="548"/>
      <c r="I103" s="530"/>
    </row>
    <row r="104" spans="1:9" x14ac:dyDescent="0.25">
      <c r="A104" s="562">
        <v>93</v>
      </c>
      <c r="B104" s="560" t="s">
        <v>199</v>
      </c>
      <c r="C104" s="356" t="s">
        <v>200</v>
      </c>
      <c r="D104" s="352"/>
      <c r="E104" s="547"/>
      <c r="F104" s="352"/>
      <c r="G104" s="530"/>
      <c r="H104" s="548"/>
      <c r="I104" s="530"/>
    </row>
    <row r="105" spans="1:9" x14ac:dyDescent="0.25">
      <c r="A105" s="562">
        <v>94</v>
      </c>
      <c r="B105" s="363" t="s">
        <v>201</v>
      </c>
      <c r="C105" s="356" t="s">
        <v>202</v>
      </c>
      <c r="D105" s="352">
        <v>1460</v>
      </c>
      <c r="E105" s="547">
        <v>110</v>
      </c>
      <c r="F105" s="352">
        <v>330</v>
      </c>
      <c r="G105" s="530">
        <v>9900</v>
      </c>
      <c r="H105" s="548"/>
      <c r="I105" s="530"/>
    </row>
    <row r="106" spans="1:9" x14ac:dyDescent="0.25">
      <c r="A106" s="562">
        <v>95</v>
      </c>
      <c r="B106" s="560" t="s">
        <v>203</v>
      </c>
      <c r="C106" s="356" t="s">
        <v>204</v>
      </c>
      <c r="D106" s="352"/>
      <c r="E106" s="547"/>
      <c r="F106" s="352"/>
      <c r="G106" s="530"/>
      <c r="H106" s="548"/>
      <c r="I106" s="530"/>
    </row>
    <row r="107" spans="1:9" x14ac:dyDescent="0.25">
      <c r="A107" s="562">
        <v>96</v>
      </c>
      <c r="B107" s="560" t="s">
        <v>205</v>
      </c>
      <c r="C107" s="356" t="s">
        <v>206</v>
      </c>
      <c r="D107" s="352"/>
      <c r="E107" s="547"/>
      <c r="F107" s="352"/>
      <c r="G107" s="530"/>
      <c r="H107" s="548"/>
      <c r="I107" s="530"/>
    </row>
    <row r="108" spans="1:9" x14ac:dyDescent="0.25">
      <c r="A108" s="562">
        <v>97</v>
      </c>
      <c r="B108" s="363" t="s">
        <v>207</v>
      </c>
      <c r="C108" s="356" t="s">
        <v>208</v>
      </c>
      <c r="D108" s="352"/>
      <c r="E108" s="547"/>
      <c r="F108" s="352"/>
      <c r="G108" s="530"/>
      <c r="H108" s="548"/>
      <c r="I108" s="530"/>
    </row>
    <row r="109" spans="1:9" x14ac:dyDescent="0.25">
      <c r="A109" s="562">
        <v>98</v>
      </c>
      <c r="B109" s="560" t="s">
        <v>209</v>
      </c>
      <c r="C109" s="356" t="s">
        <v>210</v>
      </c>
      <c r="D109" s="352"/>
      <c r="E109" s="547"/>
      <c r="F109" s="352"/>
      <c r="G109" s="530"/>
      <c r="H109" s="548"/>
      <c r="I109" s="530"/>
    </row>
    <row r="110" spans="1:9" x14ac:dyDescent="0.25">
      <c r="A110" s="562">
        <v>99</v>
      </c>
      <c r="B110" s="363" t="s">
        <v>211</v>
      </c>
      <c r="C110" s="356" t="s">
        <v>212</v>
      </c>
      <c r="D110" s="352">
        <v>1459</v>
      </c>
      <c r="E110" s="547">
        <v>88</v>
      </c>
      <c r="F110" s="352"/>
      <c r="G110" s="530"/>
      <c r="H110" s="548">
        <v>148</v>
      </c>
      <c r="I110" s="530">
        <v>3100</v>
      </c>
    </row>
    <row r="111" spans="1:9" x14ac:dyDescent="0.25">
      <c r="A111" s="562">
        <v>100</v>
      </c>
      <c r="B111" s="363" t="s">
        <v>213</v>
      </c>
      <c r="C111" s="356" t="s">
        <v>214</v>
      </c>
      <c r="D111" s="352"/>
      <c r="E111" s="547"/>
      <c r="F111" s="352"/>
      <c r="G111" s="530"/>
      <c r="H111" s="548"/>
      <c r="I111" s="530"/>
    </row>
    <row r="112" spans="1:9" x14ac:dyDescent="0.25">
      <c r="A112" s="562">
        <v>101</v>
      </c>
      <c r="B112" s="560" t="s">
        <v>215</v>
      </c>
      <c r="C112" s="356" t="s">
        <v>216</v>
      </c>
      <c r="D112" s="352"/>
      <c r="E112" s="547"/>
      <c r="F112" s="352"/>
      <c r="G112" s="530"/>
      <c r="H112" s="548"/>
      <c r="I112" s="530"/>
    </row>
    <row r="113" spans="1:9" x14ac:dyDescent="0.25">
      <c r="A113" s="562">
        <v>102</v>
      </c>
      <c r="B113" s="560" t="s">
        <v>217</v>
      </c>
      <c r="C113" s="356" t="s">
        <v>218</v>
      </c>
      <c r="D113" s="352"/>
      <c r="E113" s="547"/>
      <c r="F113" s="352"/>
      <c r="G113" s="530"/>
      <c r="H113" s="548"/>
      <c r="I113" s="530"/>
    </row>
    <row r="114" spans="1:9" x14ac:dyDescent="0.25">
      <c r="A114" s="562">
        <v>103</v>
      </c>
      <c r="B114" s="560" t="s">
        <v>219</v>
      </c>
      <c r="C114" s="356" t="s">
        <v>220</v>
      </c>
      <c r="D114" s="352"/>
      <c r="E114" s="547"/>
      <c r="F114" s="352"/>
      <c r="G114" s="530"/>
      <c r="H114" s="548"/>
      <c r="I114" s="530"/>
    </row>
    <row r="115" spans="1:9" x14ac:dyDescent="0.25">
      <c r="A115" s="562">
        <v>104</v>
      </c>
      <c r="B115" s="560" t="s">
        <v>221</v>
      </c>
      <c r="C115" s="356" t="s">
        <v>222</v>
      </c>
      <c r="D115" s="352"/>
      <c r="E115" s="547"/>
      <c r="F115" s="352"/>
      <c r="G115" s="530"/>
      <c r="H115" s="548"/>
      <c r="I115" s="530"/>
    </row>
    <row r="116" spans="1:9" x14ac:dyDescent="0.25">
      <c r="A116" s="562">
        <v>105</v>
      </c>
      <c r="B116" s="363" t="s">
        <v>223</v>
      </c>
      <c r="C116" s="356" t="s">
        <v>224</v>
      </c>
      <c r="D116" s="352"/>
      <c r="E116" s="547"/>
      <c r="F116" s="352"/>
      <c r="G116" s="530"/>
      <c r="H116" s="548"/>
      <c r="I116" s="530"/>
    </row>
    <row r="117" spans="1:9" ht="13.5" customHeight="1" x14ac:dyDescent="0.25">
      <c r="A117" s="562">
        <v>106</v>
      </c>
      <c r="B117" s="560" t="s">
        <v>225</v>
      </c>
      <c r="C117" s="356" t="s">
        <v>226</v>
      </c>
      <c r="D117" s="352"/>
      <c r="E117" s="547"/>
      <c r="F117" s="352"/>
      <c r="G117" s="530"/>
      <c r="H117" s="548"/>
      <c r="I117" s="530"/>
    </row>
    <row r="118" spans="1:9" ht="24" x14ac:dyDescent="0.25">
      <c r="A118" s="562">
        <v>107</v>
      </c>
      <c r="B118" s="560" t="s">
        <v>227</v>
      </c>
      <c r="C118" s="356" t="s">
        <v>228</v>
      </c>
      <c r="D118" s="352"/>
      <c r="E118" s="547"/>
      <c r="F118" s="352"/>
      <c r="G118" s="530"/>
      <c r="H118" s="548"/>
      <c r="I118" s="530"/>
    </row>
    <row r="119" spans="1:9" x14ac:dyDescent="0.25">
      <c r="A119" s="562">
        <v>108</v>
      </c>
      <c r="B119" s="560" t="s">
        <v>229</v>
      </c>
      <c r="C119" s="356" t="s">
        <v>230</v>
      </c>
      <c r="D119" s="352"/>
      <c r="E119" s="547"/>
      <c r="F119" s="352"/>
      <c r="G119" s="530"/>
      <c r="H119" s="548"/>
      <c r="I119" s="530"/>
    </row>
    <row r="120" spans="1:9" ht="12" customHeight="1" x14ac:dyDescent="0.25">
      <c r="A120" s="562">
        <v>109</v>
      </c>
      <c r="B120" s="363" t="s">
        <v>231</v>
      </c>
      <c r="C120" s="356" t="s">
        <v>232</v>
      </c>
      <c r="D120" s="352"/>
      <c r="E120" s="547"/>
      <c r="F120" s="352"/>
      <c r="G120" s="530"/>
      <c r="H120" s="548"/>
      <c r="I120" s="530"/>
    </row>
    <row r="121" spans="1:9" x14ac:dyDescent="0.25">
      <c r="A121" s="562">
        <v>110</v>
      </c>
      <c r="B121" s="363" t="s">
        <v>233</v>
      </c>
      <c r="C121" s="356" t="s">
        <v>234</v>
      </c>
      <c r="D121" s="352"/>
      <c r="E121" s="547"/>
      <c r="F121" s="352"/>
      <c r="G121" s="530"/>
      <c r="H121" s="548"/>
      <c r="I121" s="530"/>
    </row>
    <row r="122" spans="1:9" x14ac:dyDescent="0.25">
      <c r="A122" s="562">
        <v>111</v>
      </c>
      <c r="B122" s="556" t="s">
        <v>235</v>
      </c>
      <c r="C122" s="356" t="s">
        <v>236</v>
      </c>
      <c r="D122" s="352"/>
      <c r="E122" s="547"/>
      <c r="F122" s="352"/>
      <c r="G122" s="530"/>
      <c r="H122" s="548"/>
      <c r="I122" s="530"/>
    </row>
    <row r="123" spans="1:9" x14ac:dyDescent="0.25">
      <c r="A123" s="562">
        <v>112</v>
      </c>
      <c r="B123" s="560" t="s">
        <v>237</v>
      </c>
      <c r="C123" s="356" t="s">
        <v>238</v>
      </c>
      <c r="D123" s="352"/>
      <c r="E123" s="547"/>
      <c r="F123" s="352"/>
      <c r="G123" s="530"/>
      <c r="H123" s="548"/>
      <c r="I123" s="530"/>
    </row>
    <row r="124" spans="1:9" ht="14.25" customHeight="1" x14ac:dyDescent="0.25">
      <c r="A124" s="562">
        <v>113</v>
      </c>
      <c r="B124" s="560" t="s">
        <v>239</v>
      </c>
      <c r="C124" s="356" t="s">
        <v>240</v>
      </c>
      <c r="D124" s="352"/>
      <c r="E124" s="547"/>
      <c r="F124" s="352"/>
      <c r="G124" s="530"/>
      <c r="H124" s="548"/>
      <c r="I124" s="530"/>
    </row>
    <row r="125" spans="1:9" ht="14.25" customHeight="1" x14ac:dyDescent="0.25">
      <c r="A125" s="562">
        <v>114</v>
      </c>
      <c r="B125" s="560" t="s">
        <v>241</v>
      </c>
      <c r="C125" s="356" t="s">
        <v>242</v>
      </c>
      <c r="D125" s="352"/>
      <c r="E125" s="547"/>
      <c r="F125" s="352"/>
      <c r="G125" s="530"/>
      <c r="H125" s="548"/>
      <c r="I125" s="530"/>
    </row>
    <row r="126" spans="1:9" x14ac:dyDescent="0.25">
      <c r="A126" s="562">
        <v>115</v>
      </c>
      <c r="B126" s="563" t="s">
        <v>243</v>
      </c>
      <c r="C126" s="359" t="s">
        <v>385</v>
      </c>
      <c r="D126" s="352"/>
      <c r="E126" s="547"/>
      <c r="F126" s="352"/>
      <c r="G126" s="530"/>
      <c r="H126" s="548"/>
      <c r="I126" s="530"/>
    </row>
    <row r="127" spans="1:9" x14ac:dyDescent="0.25">
      <c r="A127" s="562">
        <v>116</v>
      </c>
      <c r="B127" s="363" t="s">
        <v>244</v>
      </c>
      <c r="C127" s="356" t="s">
        <v>649</v>
      </c>
      <c r="D127" s="352"/>
      <c r="E127" s="547"/>
      <c r="F127" s="352"/>
      <c r="G127" s="530"/>
      <c r="H127" s="548"/>
      <c r="I127" s="530"/>
    </row>
    <row r="128" spans="1:9" ht="12" customHeight="1" x14ac:dyDescent="0.25">
      <c r="A128" s="562">
        <v>117</v>
      </c>
      <c r="B128" s="363" t="s">
        <v>246</v>
      </c>
      <c r="C128" s="356" t="s">
        <v>247</v>
      </c>
      <c r="D128" s="352"/>
      <c r="E128" s="547"/>
      <c r="F128" s="352"/>
      <c r="G128" s="530"/>
      <c r="H128" s="548"/>
      <c r="I128" s="530"/>
    </row>
    <row r="129" spans="1:9" x14ac:dyDescent="0.25">
      <c r="A129" s="562">
        <v>118</v>
      </c>
      <c r="B129" s="363" t="s">
        <v>248</v>
      </c>
      <c r="C129" s="356" t="s">
        <v>249</v>
      </c>
      <c r="D129" s="352"/>
      <c r="E129" s="547"/>
      <c r="F129" s="352"/>
      <c r="G129" s="530"/>
      <c r="H129" s="548"/>
      <c r="I129" s="530"/>
    </row>
    <row r="130" spans="1:9" x14ac:dyDescent="0.25">
      <c r="A130" s="562">
        <v>119</v>
      </c>
      <c r="B130" s="363" t="s">
        <v>250</v>
      </c>
      <c r="C130" s="356" t="s">
        <v>251</v>
      </c>
      <c r="D130" s="352"/>
      <c r="E130" s="547"/>
      <c r="F130" s="352"/>
      <c r="G130" s="530"/>
      <c r="H130" s="548"/>
      <c r="I130" s="530"/>
    </row>
    <row r="131" spans="1:9" x14ac:dyDescent="0.25">
      <c r="A131" s="562">
        <v>120</v>
      </c>
      <c r="B131" s="353" t="s">
        <v>252</v>
      </c>
      <c r="C131" s="365" t="s">
        <v>253</v>
      </c>
      <c r="D131" s="352"/>
      <c r="E131" s="547"/>
      <c r="F131" s="352"/>
      <c r="G131" s="530"/>
      <c r="H131" s="548"/>
      <c r="I131" s="530"/>
    </row>
    <row r="132" spans="1:9" x14ac:dyDescent="0.25">
      <c r="A132" s="562">
        <v>121</v>
      </c>
      <c r="B132" s="560" t="s">
        <v>254</v>
      </c>
      <c r="C132" s="356" t="s">
        <v>255</v>
      </c>
      <c r="D132" s="352"/>
      <c r="E132" s="547"/>
      <c r="F132" s="352"/>
      <c r="G132" s="530"/>
      <c r="H132" s="548"/>
      <c r="I132" s="530"/>
    </row>
    <row r="133" spans="1:9" x14ac:dyDescent="0.25">
      <c r="A133" s="562">
        <v>122</v>
      </c>
      <c r="B133" s="363" t="s">
        <v>256</v>
      </c>
      <c r="C133" s="356" t="s">
        <v>257</v>
      </c>
      <c r="D133" s="352"/>
      <c r="E133" s="547"/>
      <c r="F133" s="352"/>
      <c r="G133" s="530"/>
      <c r="H133" s="548"/>
      <c r="I133" s="530"/>
    </row>
    <row r="134" spans="1:9" x14ac:dyDescent="0.25">
      <c r="A134" s="562">
        <v>123</v>
      </c>
      <c r="B134" s="560" t="s">
        <v>258</v>
      </c>
      <c r="C134" s="356" t="s">
        <v>259</v>
      </c>
      <c r="D134" s="352"/>
      <c r="E134" s="547"/>
      <c r="F134" s="352"/>
      <c r="G134" s="530"/>
      <c r="H134" s="548"/>
      <c r="I134" s="530"/>
    </row>
    <row r="135" spans="1:9" x14ac:dyDescent="0.25">
      <c r="A135" s="562">
        <v>124</v>
      </c>
      <c r="B135" s="363" t="s">
        <v>260</v>
      </c>
      <c r="C135" s="356" t="s">
        <v>261</v>
      </c>
      <c r="D135" s="352"/>
      <c r="E135" s="547"/>
      <c r="F135" s="352"/>
      <c r="G135" s="530"/>
      <c r="H135" s="548"/>
      <c r="I135" s="530"/>
    </row>
    <row r="136" spans="1:9" x14ac:dyDescent="0.25">
      <c r="A136" s="562">
        <v>125</v>
      </c>
      <c r="B136" s="363" t="s">
        <v>262</v>
      </c>
      <c r="C136" s="356" t="s">
        <v>263</v>
      </c>
      <c r="D136" s="352"/>
      <c r="E136" s="547"/>
      <c r="F136" s="352"/>
      <c r="G136" s="530"/>
      <c r="H136" s="548"/>
      <c r="I136" s="530"/>
    </row>
    <row r="137" spans="1:9" x14ac:dyDescent="0.25">
      <c r="A137" s="562">
        <v>126</v>
      </c>
      <c r="B137" s="560" t="s">
        <v>264</v>
      </c>
      <c r="C137" s="356" t="s">
        <v>265</v>
      </c>
      <c r="D137" s="352"/>
      <c r="E137" s="547"/>
      <c r="F137" s="352"/>
      <c r="G137" s="530"/>
      <c r="H137" s="548"/>
      <c r="I137" s="530"/>
    </row>
    <row r="138" spans="1:9" x14ac:dyDescent="0.25">
      <c r="A138" s="562">
        <v>127</v>
      </c>
      <c r="B138" s="363" t="s">
        <v>266</v>
      </c>
      <c r="C138" s="356" t="s">
        <v>267</v>
      </c>
      <c r="D138" s="352"/>
      <c r="E138" s="547"/>
      <c r="F138" s="352"/>
      <c r="G138" s="530"/>
      <c r="H138" s="548"/>
      <c r="I138" s="530"/>
    </row>
    <row r="139" spans="1:9" x14ac:dyDescent="0.25">
      <c r="A139" s="562">
        <v>128</v>
      </c>
      <c r="B139" s="560" t="s">
        <v>268</v>
      </c>
      <c r="C139" s="356" t="s">
        <v>269</v>
      </c>
      <c r="D139" s="352"/>
      <c r="E139" s="547"/>
      <c r="F139" s="352"/>
      <c r="G139" s="530"/>
      <c r="H139" s="548"/>
      <c r="I139" s="530"/>
    </row>
    <row r="140" spans="1:9" x14ac:dyDescent="0.25">
      <c r="A140" s="562">
        <v>129</v>
      </c>
      <c r="B140" s="560" t="s">
        <v>270</v>
      </c>
      <c r="C140" s="356" t="s">
        <v>271</v>
      </c>
      <c r="D140" s="352"/>
      <c r="E140" s="547"/>
      <c r="F140" s="352"/>
      <c r="G140" s="530"/>
      <c r="H140" s="548"/>
      <c r="I140" s="530"/>
    </row>
    <row r="141" spans="1:9" x14ac:dyDescent="0.25">
      <c r="A141" s="562">
        <v>130</v>
      </c>
      <c r="B141" s="363" t="s">
        <v>272</v>
      </c>
      <c r="C141" s="356" t="s">
        <v>273</v>
      </c>
      <c r="D141" s="352"/>
      <c r="E141" s="547"/>
      <c r="F141" s="352"/>
      <c r="G141" s="530"/>
      <c r="H141" s="548"/>
      <c r="I141" s="530"/>
    </row>
    <row r="142" spans="1:9" x14ac:dyDescent="0.25">
      <c r="A142" s="562">
        <v>131</v>
      </c>
      <c r="B142" s="363" t="s">
        <v>274</v>
      </c>
      <c r="C142" s="356" t="s">
        <v>275</v>
      </c>
      <c r="D142" s="352"/>
      <c r="E142" s="547"/>
      <c r="F142" s="352"/>
      <c r="G142" s="530"/>
      <c r="H142" s="548"/>
      <c r="I142" s="530"/>
    </row>
    <row r="143" spans="1:9" x14ac:dyDescent="0.25">
      <c r="A143" s="562">
        <v>132</v>
      </c>
      <c r="B143" s="363" t="s">
        <v>276</v>
      </c>
      <c r="C143" s="356" t="s">
        <v>277</v>
      </c>
      <c r="D143" s="352"/>
      <c r="E143" s="547"/>
      <c r="F143" s="352"/>
      <c r="G143" s="530"/>
      <c r="H143" s="548"/>
      <c r="I143" s="530"/>
    </row>
    <row r="144" spans="1:9" x14ac:dyDescent="0.25">
      <c r="A144" s="562">
        <v>133</v>
      </c>
      <c r="B144" s="363" t="s">
        <v>278</v>
      </c>
      <c r="C144" s="356" t="s">
        <v>279</v>
      </c>
      <c r="D144" s="352"/>
      <c r="E144" s="547"/>
      <c r="F144" s="352"/>
      <c r="G144" s="530"/>
      <c r="H144" s="548"/>
      <c r="I144" s="530"/>
    </row>
    <row r="145" spans="1:9" x14ac:dyDescent="0.25">
      <c r="A145" s="562">
        <v>134</v>
      </c>
      <c r="B145" s="363" t="s">
        <v>280</v>
      </c>
      <c r="C145" s="356" t="s">
        <v>281</v>
      </c>
      <c r="D145" s="352"/>
      <c r="E145" s="547"/>
      <c r="F145" s="352"/>
      <c r="G145" s="530"/>
      <c r="H145" s="548"/>
      <c r="I145" s="530"/>
    </row>
    <row r="146" spans="1:9" x14ac:dyDescent="0.25">
      <c r="A146" s="562">
        <v>135</v>
      </c>
      <c r="B146" s="560" t="s">
        <v>282</v>
      </c>
      <c r="C146" s="356" t="s">
        <v>283</v>
      </c>
      <c r="D146" s="352"/>
      <c r="E146" s="547"/>
      <c r="F146" s="352"/>
      <c r="G146" s="530"/>
      <c r="H146" s="548"/>
      <c r="I146" s="530"/>
    </row>
    <row r="147" spans="1:9" x14ac:dyDescent="0.25">
      <c r="A147" s="562">
        <v>136</v>
      </c>
      <c r="B147" s="366" t="s">
        <v>284</v>
      </c>
      <c r="C147" s="557" t="s">
        <v>285</v>
      </c>
      <c r="D147" s="352"/>
      <c r="E147" s="547"/>
      <c r="F147" s="352"/>
      <c r="G147" s="530"/>
      <c r="H147" s="548"/>
      <c r="I147" s="530"/>
    </row>
    <row r="148" spans="1:9" x14ac:dyDescent="0.25">
      <c r="A148" s="562">
        <v>137</v>
      </c>
      <c r="B148" s="363" t="s">
        <v>387</v>
      </c>
      <c r="C148" s="365" t="s">
        <v>388</v>
      </c>
      <c r="D148" s="352"/>
      <c r="E148" s="547"/>
      <c r="F148" s="352"/>
      <c r="G148" s="530"/>
      <c r="H148" s="548"/>
      <c r="I148" s="530"/>
    </row>
    <row r="149" spans="1:9" x14ac:dyDescent="0.25">
      <c r="A149" s="562">
        <v>138</v>
      </c>
      <c r="B149" s="364" t="s">
        <v>389</v>
      </c>
      <c r="C149" s="365" t="s">
        <v>804</v>
      </c>
      <c r="D149" s="352">
        <v>26100</v>
      </c>
      <c r="E149" s="547">
        <v>4350</v>
      </c>
      <c r="F149" s="352">
        <v>2054</v>
      </c>
      <c r="G149" s="530">
        <v>65736</v>
      </c>
      <c r="H149" s="548">
        <v>2968</v>
      </c>
      <c r="I149" s="530">
        <v>62310</v>
      </c>
    </row>
    <row r="150" spans="1:9" x14ac:dyDescent="0.25">
      <c r="A150" s="562">
        <v>139</v>
      </c>
      <c r="B150" s="366" t="s">
        <v>391</v>
      </c>
      <c r="C150" s="558" t="s">
        <v>392</v>
      </c>
      <c r="D150" s="352"/>
      <c r="E150" s="547"/>
      <c r="F150" s="352"/>
      <c r="G150" s="530"/>
      <c r="H150" s="548"/>
      <c r="I150" s="530"/>
    </row>
    <row r="151" spans="1:9" ht="12.75" thickBot="1" x14ac:dyDescent="0.3">
      <c r="A151" s="367">
        <v>140</v>
      </c>
      <c r="B151" s="368" t="s">
        <v>393</v>
      </c>
      <c r="C151" s="369" t="s">
        <v>394</v>
      </c>
      <c r="D151" s="523"/>
      <c r="E151" s="552"/>
      <c r="F151" s="523"/>
      <c r="G151" s="553"/>
      <c r="H151" s="554"/>
      <c r="I151" s="553"/>
    </row>
    <row r="152" spans="1:9" s="121" customFormat="1" x14ac:dyDescent="0.25">
      <c r="A152" s="1200" t="s">
        <v>805</v>
      </c>
      <c r="B152" s="1201"/>
      <c r="C152" s="1201"/>
    </row>
    <row r="153" spans="1:9" s="121" customFormat="1" x14ac:dyDescent="0.25">
      <c r="A153" s="1202"/>
      <c r="B153" s="1202"/>
      <c r="C153" s="1202"/>
    </row>
    <row r="154" spans="1:9" s="121" customFormat="1" x14ac:dyDescent="0.25">
      <c r="C154" s="555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zoomScale="90" zoomScaleNormal="90" workbookViewId="0">
      <pane xSplit="3" ySplit="7" topLeftCell="D125" activePane="bottomRight" state="frozen"/>
      <selection pane="topRight" activeCell="D1" sqref="D1"/>
      <selection pane="bottomLeft" activeCell="A8" sqref="A8"/>
      <selection pane="bottomRight" activeCell="C160" sqref="C160"/>
    </sheetView>
  </sheetViews>
  <sheetFormatPr defaultRowHeight="12" x14ac:dyDescent="0.25"/>
  <cols>
    <col min="1" max="1" width="4" style="116" customWidth="1"/>
    <col min="2" max="2" width="8.140625" style="116" customWidth="1"/>
    <col min="3" max="3" width="38.28515625" style="117" customWidth="1"/>
    <col min="4" max="4" width="14.85546875" style="117" customWidth="1"/>
    <col min="5" max="5" width="13" style="117" customWidth="1"/>
    <col min="6" max="7" width="10.28515625" style="121" customWidth="1"/>
    <col min="8" max="8" width="9.140625" style="116" customWidth="1"/>
    <col min="9" max="9" width="10.28515625" style="116" customWidth="1"/>
    <col min="10" max="16384" width="9.140625" style="116"/>
  </cols>
  <sheetData>
    <row r="1" spans="1:9" ht="15.75" x14ac:dyDescent="0.25">
      <c r="A1" s="1153" t="s">
        <v>622</v>
      </c>
      <c r="B1" s="1153"/>
      <c r="C1" s="1153"/>
      <c r="D1" s="1153"/>
      <c r="E1" s="1153"/>
      <c r="F1" s="1153"/>
      <c r="G1" s="1206"/>
      <c r="H1" s="1206"/>
      <c r="I1" s="1206"/>
    </row>
    <row r="2" spans="1:9" ht="12.75" thickBot="1" x14ac:dyDescent="0.3"/>
    <row r="3" spans="1:9" s="524" customFormat="1" ht="25.5" customHeight="1" x14ac:dyDescent="0.25">
      <c r="A3" s="1180" t="s">
        <v>0</v>
      </c>
      <c r="B3" s="1182" t="s">
        <v>601</v>
      </c>
      <c r="C3" s="1207" t="s">
        <v>292</v>
      </c>
      <c r="D3" s="1209" t="s">
        <v>802</v>
      </c>
      <c r="E3" s="1210"/>
      <c r="F3" s="1211" t="s">
        <v>618</v>
      </c>
      <c r="G3" s="1212"/>
      <c r="H3" s="1213" t="s">
        <v>619</v>
      </c>
      <c r="I3" s="1214"/>
    </row>
    <row r="4" spans="1:9" s="524" customFormat="1" ht="40.5" customHeight="1" x14ac:dyDescent="0.25">
      <c r="A4" s="1181"/>
      <c r="B4" s="1183"/>
      <c r="C4" s="1208"/>
      <c r="D4" s="508" t="s">
        <v>289</v>
      </c>
      <c r="E4" s="763" t="s">
        <v>621</v>
      </c>
      <c r="F4" s="762" t="s">
        <v>626</v>
      </c>
      <c r="G4" s="509" t="s">
        <v>607</v>
      </c>
      <c r="H4" s="762" t="s">
        <v>608</v>
      </c>
      <c r="I4" s="509" t="s">
        <v>609</v>
      </c>
    </row>
    <row r="5" spans="1:9" s="122" customFormat="1" x14ac:dyDescent="0.25">
      <c r="A5" s="1197" t="s">
        <v>6</v>
      </c>
      <c r="B5" s="1198"/>
      <c r="C5" s="1218"/>
      <c r="D5" s="525">
        <f>SUM(D6:D8)</f>
        <v>428173</v>
      </c>
      <c r="E5" s="526">
        <f t="shared" ref="E5:I5" si="0">SUM(E6:E8)</f>
        <v>94934</v>
      </c>
      <c r="F5" s="527">
        <f t="shared" si="0"/>
        <v>19515</v>
      </c>
      <c r="G5" s="528">
        <f t="shared" si="0"/>
        <v>267859</v>
      </c>
      <c r="H5" s="629">
        <f t="shared" si="0"/>
        <v>1525</v>
      </c>
      <c r="I5" s="529">
        <f t="shared" si="0"/>
        <v>18290</v>
      </c>
    </row>
    <row r="6" spans="1:9" s="122" customFormat="1" x14ac:dyDescent="0.25">
      <c r="A6" s="1203" t="s">
        <v>14</v>
      </c>
      <c r="B6" s="1204"/>
      <c r="C6" s="1219"/>
      <c r="D6" s="511"/>
      <c r="E6" s="119"/>
      <c r="F6" s="352"/>
      <c r="G6" s="530"/>
      <c r="H6" s="459"/>
      <c r="I6" s="531"/>
    </row>
    <row r="7" spans="1:9" s="122" customFormat="1" x14ac:dyDescent="0.25">
      <c r="A7" s="1203" t="s">
        <v>444</v>
      </c>
      <c r="B7" s="1204"/>
      <c r="C7" s="1219"/>
      <c r="D7" s="511"/>
      <c r="E7" s="119"/>
      <c r="F7" s="352"/>
      <c r="G7" s="530"/>
      <c r="H7" s="459"/>
      <c r="I7" s="531"/>
    </row>
    <row r="8" spans="1:9" x14ac:dyDescent="0.25">
      <c r="A8" s="1203" t="s">
        <v>15</v>
      </c>
      <c r="B8" s="1204"/>
      <c r="C8" s="1219"/>
      <c r="D8" s="532">
        <f>SUM(D9:D151)-D91</f>
        <v>428173</v>
      </c>
      <c r="E8" s="120">
        <f t="shared" ref="E8" si="1">SUM(E9:E151)-E91</f>
        <v>94934</v>
      </c>
      <c r="F8" s="533">
        <f t="shared" ref="F8:I8" si="2">SUM(F9:F151)-F91</f>
        <v>19515</v>
      </c>
      <c r="G8" s="534">
        <f t="shared" si="2"/>
        <v>267859</v>
      </c>
      <c r="H8" s="458">
        <f t="shared" si="2"/>
        <v>1525</v>
      </c>
      <c r="I8" s="457">
        <f t="shared" si="2"/>
        <v>18290</v>
      </c>
    </row>
    <row r="9" spans="1:9" ht="12.75" x14ac:dyDescent="0.25">
      <c r="A9" s="880">
        <v>1</v>
      </c>
      <c r="B9" s="354" t="s">
        <v>16</v>
      </c>
      <c r="C9" s="510" t="s">
        <v>17</v>
      </c>
      <c r="D9" s="511">
        <v>2498</v>
      </c>
      <c r="E9" s="119">
        <v>367</v>
      </c>
      <c r="F9" s="352"/>
      <c r="G9" s="630"/>
      <c r="H9" s="775"/>
      <c r="I9" s="633"/>
    </row>
    <row r="10" spans="1:9" ht="12.75" x14ac:dyDescent="0.25">
      <c r="A10" s="880">
        <v>2</v>
      </c>
      <c r="B10" s="354" t="s">
        <v>18</v>
      </c>
      <c r="C10" s="510" t="s">
        <v>19</v>
      </c>
      <c r="D10" s="511">
        <v>2948</v>
      </c>
      <c r="E10" s="119">
        <v>374</v>
      </c>
      <c r="F10" s="352"/>
      <c r="G10" s="630"/>
      <c r="H10" s="775"/>
      <c r="I10" s="633"/>
    </row>
    <row r="11" spans="1:9" ht="12.75" x14ac:dyDescent="0.25">
      <c r="A11" s="880">
        <v>3</v>
      </c>
      <c r="B11" s="355" t="s">
        <v>20</v>
      </c>
      <c r="C11" s="512" t="s">
        <v>21</v>
      </c>
      <c r="D11" s="511">
        <v>4833</v>
      </c>
      <c r="E11" s="119">
        <v>2230</v>
      </c>
      <c r="F11" s="352">
        <v>323</v>
      </c>
      <c r="G11" s="630">
        <v>3878</v>
      </c>
      <c r="H11" s="775">
        <f>155+13</f>
        <v>168</v>
      </c>
      <c r="I11" s="633">
        <f>1860+160</f>
        <v>2020</v>
      </c>
    </row>
    <row r="12" spans="1:9" ht="12.75" x14ac:dyDescent="0.25">
      <c r="A12" s="880">
        <v>4</v>
      </c>
      <c r="B12" s="354" t="s">
        <v>22</v>
      </c>
      <c r="C12" s="510" t="s">
        <v>23</v>
      </c>
      <c r="D12" s="511">
        <v>3320</v>
      </c>
      <c r="E12" s="119">
        <v>73</v>
      </c>
      <c r="F12" s="352"/>
      <c r="G12" s="630"/>
      <c r="H12" s="775"/>
      <c r="I12" s="633"/>
    </row>
    <row r="13" spans="1:9" ht="12.75" customHeight="1" x14ac:dyDescent="0.25">
      <c r="A13" s="880">
        <v>5</v>
      </c>
      <c r="B13" s="354" t="s">
        <v>24</v>
      </c>
      <c r="C13" s="510" t="s">
        <v>25</v>
      </c>
      <c r="D13" s="511">
        <v>3368</v>
      </c>
      <c r="E13" s="119">
        <v>73</v>
      </c>
      <c r="F13" s="352"/>
      <c r="G13" s="630"/>
      <c r="H13" s="775"/>
      <c r="I13" s="633"/>
    </row>
    <row r="14" spans="1:9" ht="12.75" x14ac:dyDescent="0.25">
      <c r="A14" s="880">
        <v>6</v>
      </c>
      <c r="B14" s="355" t="s">
        <v>26</v>
      </c>
      <c r="C14" s="512" t="s">
        <v>27</v>
      </c>
      <c r="D14" s="511">
        <v>11007</v>
      </c>
      <c r="E14" s="119">
        <v>5559</v>
      </c>
      <c r="F14" s="352">
        <v>923</v>
      </c>
      <c r="G14" s="630">
        <v>11080</v>
      </c>
      <c r="H14" s="775">
        <f>103+10</f>
        <v>113</v>
      </c>
      <c r="I14" s="633">
        <f>1240+120</f>
        <v>1360</v>
      </c>
    </row>
    <row r="15" spans="1:9" ht="12.75" x14ac:dyDescent="0.25">
      <c r="A15" s="880">
        <v>7</v>
      </c>
      <c r="B15" s="560" t="s">
        <v>28</v>
      </c>
      <c r="C15" s="513" t="s">
        <v>29</v>
      </c>
      <c r="D15" s="511">
        <v>7439</v>
      </c>
      <c r="E15" s="119">
        <f>1143-350</f>
        <v>793</v>
      </c>
      <c r="F15" s="352"/>
      <c r="G15" s="630"/>
      <c r="H15" s="775"/>
      <c r="I15" s="633"/>
    </row>
    <row r="16" spans="1:9" ht="12.75" x14ac:dyDescent="0.25">
      <c r="A16" s="880">
        <v>8</v>
      </c>
      <c r="B16" s="355" t="s">
        <v>30</v>
      </c>
      <c r="C16" s="512" t="s">
        <v>31</v>
      </c>
      <c r="D16" s="511">
        <v>7085</v>
      </c>
      <c r="E16" s="119">
        <v>52</v>
      </c>
      <c r="F16" s="352"/>
      <c r="G16" s="630"/>
      <c r="H16" s="775"/>
      <c r="I16" s="633"/>
    </row>
    <row r="17" spans="1:9" ht="12.75" x14ac:dyDescent="0.25">
      <c r="A17" s="880">
        <v>9</v>
      </c>
      <c r="B17" s="355" t="s">
        <v>32</v>
      </c>
      <c r="C17" s="512" t="s">
        <v>33</v>
      </c>
      <c r="D17" s="511">
        <v>3184</v>
      </c>
      <c r="E17" s="119">
        <v>490</v>
      </c>
      <c r="F17" s="352">
        <v>324</v>
      </c>
      <c r="G17" s="630">
        <v>2493</v>
      </c>
      <c r="H17" s="775"/>
      <c r="I17" s="633"/>
    </row>
    <row r="18" spans="1:9" ht="12.75" x14ac:dyDescent="0.25">
      <c r="A18" s="880">
        <v>10</v>
      </c>
      <c r="B18" s="355" t="s">
        <v>34</v>
      </c>
      <c r="C18" s="512" t="s">
        <v>35</v>
      </c>
      <c r="D18" s="511"/>
      <c r="E18" s="119"/>
      <c r="F18" s="352"/>
      <c r="G18" s="630"/>
      <c r="H18" s="775"/>
      <c r="I18" s="633"/>
    </row>
    <row r="19" spans="1:9" ht="12.75" x14ac:dyDescent="0.25">
      <c r="A19" s="880">
        <v>11</v>
      </c>
      <c r="B19" s="355" t="s">
        <v>36</v>
      </c>
      <c r="C19" s="512" t="s">
        <v>37</v>
      </c>
      <c r="D19" s="511">
        <v>3362</v>
      </c>
      <c r="E19" s="119">
        <v>73</v>
      </c>
      <c r="F19" s="352"/>
      <c r="G19" s="630"/>
      <c r="H19" s="775"/>
      <c r="I19" s="633"/>
    </row>
    <row r="20" spans="1:9" ht="12.75" x14ac:dyDescent="0.25">
      <c r="A20" s="880">
        <v>12</v>
      </c>
      <c r="B20" s="355" t="s">
        <v>38</v>
      </c>
      <c r="C20" s="512" t="s">
        <v>39</v>
      </c>
      <c r="D20" s="511">
        <v>5510</v>
      </c>
      <c r="E20" s="119">
        <v>850</v>
      </c>
      <c r="F20" s="352"/>
      <c r="G20" s="630"/>
      <c r="H20" s="775"/>
      <c r="I20" s="633"/>
    </row>
    <row r="21" spans="1:9" ht="13.5" customHeight="1" x14ac:dyDescent="0.25">
      <c r="A21" s="880">
        <v>13</v>
      </c>
      <c r="B21" s="357" t="s">
        <v>40</v>
      </c>
      <c r="C21" s="514" t="s">
        <v>41</v>
      </c>
      <c r="D21" s="511">
        <v>0</v>
      </c>
      <c r="E21" s="119">
        <v>0</v>
      </c>
      <c r="F21" s="352"/>
      <c r="G21" s="630"/>
      <c r="H21" s="775"/>
      <c r="I21" s="633"/>
    </row>
    <row r="22" spans="1:9" ht="13.5" customHeight="1" x14ac:dyDescent="0.25">
      <c r="A22" s="880">
        <v>14</v>
      </c>
      <c r="B22" s="358" t="s">
        <v>42</v>
      </c>
      <c r="C22" s="515" t="s">
        <v>43</v>
      </c>
      <c r="D22" s="511">
        <v>0</v>
      </c>
      <c r="E22" s="119">
        <v>0</v>
      </c>
      <c r="F22" s="352"/>
      <c r="G22" s="630"/>
      <c r="H22" s="775"/>
      <c r="I22" s="633"/>
    </row>
    <row r="23" spans="1:9" ht="12.75" x14ac:dyDescent="0.25">
      <c r="A23" s="880">
        <v>15</v>
      </c>
      <c r="B23" s="355" t="s">
        <v>44</v>
      </c>
      <c r="C23" s="512" t="s">
        <v>45</v>
      </c>
      <c r="D23" s="511">
        <v>4477</v>
      </c>
      <c r="E23" s="119">
        <v>73</v>
      </c>
      <c r="F23" s="352"/>
      <c r="G23" s="630"/>
      <c r="H23" s="775"/>
      <c r="I23" s="633"/>
    </row>
    <row r="24" spans="1:9" ht="12.75" x14ac:dyDescent="0.25">
      <c r="A24" s="880">
        <v>16</v>
      </c>
      <c r="B24" s="355" t="s">
        <v>46</v>
      </c>
      <c r="C24" s="512" t="s">
        <v>47</v>
      </c>
      <c r="D24" s="511">
        <v>6176</v>
      </c>
      <c r="E24" s="119">
        <v>73</v>
      </c>
      <c r="F24" s="352">
        <v>684</v>
      </c>
      <c r="G24" s="630">
        <v>5263</v>
      </c>
      <c r="H24" s="775"/>
      <c r="I24" s="633"/>
    </row>
    <row r="25" spans="1:9" ht="12.75" x14ac:dyDescent="0.25">
      <c r="A25" s="880">
        <v>17</v>
      </c>
      <c r="B25" s="355" t="s">
        <v>48</v>
      </c>
      <c r="C25" s="512" t="s">
        <v>49</v>
      </c>
      <c r="D25" s="511">
        <v>6752</v>
      </c>
      <c r="E25" s="119">
        <v>1138</v>
      </c>
      <c r="F25" s="352">
        <v>360</v>
      </c>
      <c r="G25" s="630">
        <v>2770</v>
      </c>
      <c r="H25" s="775"/>
      <c r="I25" s="633"/>
    </row>
    <row r="26" spans="1:9" ht="12.75" x14ac:dyDescent="0.25">
      <c r="A26" s="880">
        <v>18</v>
      </c>
      <c r="B26" s="355" t="s">
        <v>50</v>
      </c>
      <c r="C26" s="512" t="s">
        <v>51</v>
      </c>
      <c r="D26" s="511">
        <v>8192</v>
      </c>
      <c r="E26" s="119">
        <v>4059</v>
      </c>
      <c r="F26" s="352">
        <v>577</v>
      </c>
      <c r="G26" s="630">
        <v>6925</v>
      </c>
      <c r="H26" s="775"/>
      <c r="I26" s="633"/>
    </row>
    <row r="27" spans="1:9" ht="12.75" x14ac:dyDescent="0.25">
      <c r="A27" s="880">
        <v>19</v>
      </c>
      <c r="B27" s="354" t="s">
        <v>52</v>
      </c>
      <c r="C27" s="510" t="s">
        <v>53</v>
      </c>
      <c r="D27" s="511">
        <v>2484</v>
      </c>
      <c r="E27" s="119">
        <v>58</v>
      </c>
      <c r="F27" s="352"/>
      <c r="G27" s="630"/>
      <c r="H27" s="775"/>
      <c r="I27" s="633"/>
    </row>
    <row r="28" spans="1:9" ht="12.75" x14ac:dyDescent="0.25">
      <c r="A28" s="880">
        <v>20</v>
      </c>
      <c r="B28" s="354" t="s">
        <v>54</v>
      </c>
      <c r="C28" s="510" t="s">
        <v>55</v>
      </c>
      <c r="D28" s="511">
        <v>2202</v>
      </c>
      <c r="E28" s="119">
        <v>73</v>
      </c>
      <c r="F28" s="352"/>
      <c r="G28" s="630"/>
      <c r="H28" s="775"/>
      <c r="I28" s="633"/>
    </row>
    <row r="29" spans="1:9" ht="12.75" x14ac:dyDescent="0.25">
      <c r="A29" s="880">
        <v>21</v>
      </c>
      <c r="B29" s="354" t="s">
        <v>56</v>
      </c>
      <c r="C29" s="510" t="s">
        <v>57</v>
      </c>
      <c r="D29" s="511">
        <v>5681</v>
      </c>
      <c r="E29" s="119">
        <v>2750</v>
      </c>
      <c r="F29" s="352">
        <v>462</v>
      </c>
      <c r="G29" s="630">
        <v>5540</v>
      </c>
      <c r="H29" s="775"/>
      <c r="I29" s="633"/>
    </row>
    <row r="30" spans="1:9" ht="12.75" x14ac:dyDescent="0.25">
      <c r="A30" s="880">
        <v>22</v>
      </c>
      <c r="B30" s="354" t="s">
        <v>58</v>
      </c>
      <c r="C30" s="510" t="s">
        <v>59</v>
      </c>
      <c r="D30" s="511">
        <v>3950</v>
      </c>
      <c r="E30" s="119">
        <v>1432</v>
      </c>
      <c r="F30" s="352">
        <v>1154</v>
      </c>
      <c r="G30" s="630">
        <v>13850</v>
      </c>
      <c r="H30" s="775"/>
      <c r="I30" s="633"/>
    </row>
    <row r="31" spans="1:9" ht="12.75" x14ac:dyDescent="0.25">
      <c r="A31" s="880">
        <v>23</v>
      </c>
      <c r="B31" s="355" t="s">
        <v>60</v>
      </c>
      <c r="C31" s="512" t="s">
        <v>61</v>
      </c>
      <c r="D31" s="511"/>
      <c r="E31" s="119"/>
      <c r="F31" s="352"/>
      <c r="G31" s="630"/>
      <c r="H31" s="775"/>
      <c r="I31" s="633"/>
    </row>
    <row r="32" spans="1:9" ht="12.75" x14ac:dyDescent="0.25">
      <c r="A32" s="880">
        <v>24</v>
      </c>
      <c r="B32" s="355" t="s">
        <v>62</v>
      </c>
      <c r="C32" s="512" t="s">
        <v>63</v>
      </c>
      <c r="D32" s="511"/>
      <c r="E32" s="119"/>
      <c r="F32" s="352"/>
      <c r="G32" s="630"/>
      <c r="H32" s="775"/>
      <c r="I32" s="633"/>
    </row>
    <row r="33" spans="1:9" ht="24" x14ac:dyDescent="0.25">
      <c r="A33" s="880">
        <v>25</v>
      </c>
      <c r="B33" s="355" t="s">
        <v>64</v>
      </c>
      <c r="C33" s="512" t="s">
        <v>65</v>
      </c>
      <c r="D33" s="459"/>
      <c r="E33" s="531"/>
      <c r="F33" s="548"/>
      <c r="G33" s="630"/>
      <c r="H33" s="775"/>
      <c r="I33" s="633"/>
    </row>
    <row r="34" spans="1:9" ht="12.75" x14ac:dyDescent="0.25">
      <c r="A34" s="880">
        <v>26</v>
      </c>
      <c r="B34" s="354" t="s">
        <v>66</v>
      </c>
      <c r="C34" s="513" t="s">
        <v>67</v>
      </c>
      <c r="D34" s="632">
        <f>0+2742-38</f>
        <v>2704</v>
      </c>
      <c r="E34" s="633">
        <f>0+42-39</f>
        <v>3</v>
      </c>
      <c r="F34" s="548"/>
      <c r="G34" s="630"/>
      <c r="H34" s="775"/>
      <c r="I34" s="633"/>
    </row>
    <row r="35" spans="1:9" ht="12.75" x14ac:dyDescent="0.25">
      <c r="A35" s="880">
        <v>27</v>
      </c>
      <c r="B35" s="355" t="s">
        <v>68</v>
      </c>
      <c r="C35" s="512" t="s">
        <v>69</v>
      </c>
      <c r="D35" s="632">
        <f>4701-2742+38</f>
        <v>1997</v>
      </c>
      <c r="E35" s="633">
        <f>72-42+39</f>
        <v>69</v>
      </c>
      <c r="F35" s="548"/>
      <c r="G35" s="630"/>
      <c r="H35" s="775"/>
      <c r="I35" s="633"/>
    </row>
    <row r="36" spans="1:9" ht="12.75" x14ac:dyDescent="0.25">
      <c r="A36" s="880">
        <v>28</v>
      </c>
      <c r="B36" s="355" t="s">
        <v>70</v>
      </c>
      <c r="C36" s="512" t="s">
        <v>71</v>
      </c>
      <c r="D36" s="459"/>
      <c r="E36" s="531"/>
      <c r="F36" s="548"/>
      <c r="G36" s="630"/>
      <c r="H36" s="775"/>
      <c r="I36" s="633"/>
    </row>
    <row r="37" spans="1:9" ht="12.75" x14ac:dyDescent="0.25">
      <c r="A37" s="880">
        <v>29</v>
      </c>
      <c r="B37" s="354" t="s">
        <v>72</v>
      </c>
      <c r="C37" s="510" t="s">
        <v>73</v>
      </c>
      <c r="D37" s="459"/>
      <c r="E37" s="531"/>
      <c r="F37" s="548"/>
      <c r="G37" s="630"/>
      <c r="H37" s="775"/>
      <c r="I37" s="633"/>
    </row>
    <row r="38" spans="1:9" ht="24" x14ac:dyDescent="0.25">
      <c r="A38" s="880">
        <v>30</v>
      </c>
      <c r="B38" s="354" t="s">
        <v>74</v>
      </c>
      <c r="C38" s="513" t="s">
        <v>377</v>
      </c>
      <c r="D38" s="511"/>
      <c r="E38" s="119"/>
      <c r="F38" s="352"/>
      <c r="G38" s="630"/>
      <c r="H38" s="775"/>
      <c r="I38" s="633"/>
    </row>
    <row r="39" spans="1:9" ht="12.75" x14ac:dyDescent="0.25">
      <c r="A39" s="880">
        <v>31</v>
      </c>
      <c r="B39" s="354" t="s">
        <v>75</v>
      </c>
      <c r="C39" s="510" t="s">
        <v>76</v>
      </c>
      <c r="D39" s="511"/>
      <c r="E39" s="119"/>
      <c r="F39" s="352"/>
      <c r="G39" s="630"/>
      <c r="H39" s="775"/>
      <c r="I39" s="633"/>
    </row>
    <row r="40" spans="1:9" ht="12.75" x14ac:dyDescent="0.25">
      <c r="A40" s="880">
        <v>32</v>
      </c>
      <c r="B40" s="355" t="s">
        <v>77</v>
      </c>
      <c r="C40" s="512" t="s">
        <v>78</v>
      </c>
      <c r="D40" s="511">
        <v>13560</v>
      </c>
      <c r="E40" s="119">
        <v>3892</v>
      </c>
      <c r="F40" s="352">
        <v>594</v>
      </c>
      <c r="G40" s="630">
        <v>8310</v>
      </c>
      <c r="H40" s="775"/>
      <c r="I40" s="633"/>
    </row>
    <row r="41" spans="1:9" ht="12.75" x14ac:dyDescent="0.25">
      <c r="A41" s="880">
        <v>33</v>
      </c>
      <c r="B41" s="354" t="s">
        <v>79</v>
      </c>
      <c r="C41" s="510" t="s">
        <v>80</v>
      </c>
      <c r="D41" s="511">
        <v>11757</v>
      </c>
      <c r="E41" s="119">
        <v>5563</v>
      </c>
      <c r="F41" s="352">
        <v>1241</v>
      </c>
      <c r="G41" s="630">
        <v>17728</v>
      </c>
      <c r="H41" s="775">
        <f>234+20</f>
        <v>254</v>
      </c>
      <c r="I41" s="633">
        <f>2790+240</f>
        <v>3030</v>
      </c>
    </row>
    <row r="42" spans="1:9" ht="12.75" x14ac:dyDescent="0.25">
      <c r="A42" s="880">
        <v>34</v>
      </c>
      <c r="B42" s="560" t="s">
        <v>81</v>
      </c>
      <c r="C42" s="513" t="s">
        <v>82</v>
      </c>
      <c r="D42" s="511">
        <v>3180</v>
      </c>
      <c r="E42" s="119">
        <v>489</v>
      </c>
      <c r="F42" s="352">
        <v>504</v>
      </c>
      <c r="G42" s="630">
        <v>3878</v>
      </c>
      <c r="H42" s="775"/>
      <c r="I42" s="633"/>
    </row>
    <row r="43" spans="1:9" ht="13.5" customHeight="1" x14ac:dyDescent="0.25">
      <c r="A43" s="880">
        <v>35</v>
      </c>
      <c r="B43" s="354" t="s">
        <v>83</v>
      </c>
      <c r="C43" s="510" t="s">
        <v>84</v>
      </c>
      <c r="D43" s="511">
        <v>7017</v>
      </c>
      <c r="E43" s="119">
        <v>3421</v>
      </c>
      <c r="F43" s="352">
        <v>577</v>
      </c>
      <c r="G43" s="630">
        <v>6925</v>
      </c>
      <c r="H43" s="775">
        <f>155+13</f>
        <v>168</v>
      </c>
      <c r="I43" s="633">
        <f>1860+156</f>
        <v>2016</v>
      </c>
    </row>
    <row r="44" spans="1:9" ht="12.75" x14ac:dyDescent="0.25">
      <c r="A44" s="880">
        <v>36</v>
      </c>
      <c r="B44" s="354" t="s">
        <v>85</v>
      </c>
      <c r="C44" s="510" t="s">
        <v>86</v>
      </c>
      <c r="D44" s="511">
        <v>4549</v>
      </c>
      <c r="E44" s="119">
        <v>73</v>
      </c>
      <c r="F44" s="352">
        <v>324</v>
      </c>
      <c r="G44" s="630">
        <v>2493</v>
      </c>
      <c r="H44" s="775"/>
      <c r="I44" s="633"/>
    </row>
    <row r="45" spans="1:9" ht="12.75" x14ac:dyDescent="0.25">
      <c r="A45" s="880">
        <v>37</v>
      </c>
      <c r="B45" s="355" t="s">
        <v>87</v>
      </c>
      <c r="C45" s="512" t="s">
        <v>88</v>
      </c>
      <c r="D45" s="511">
        <v>6759</v>
      </c>
      <c r="E45" s="119">
        <v>3228</v>
      </c>
      <c r="F45" s="352">
        <v>693</v>
      </c>
      <c r="G45" s="630">
        <v>8310</v>
      </c>
      <c r="H45" s="775"/>
      <c r="I45" s="633"/>
    </row>
    <row r="46" spans="1:9" ht="12.75" x14ac:dyDescent="0.25">
      <c r="A46" s="880">
        <v>38</v>
      </c>
      <c r="B46" s="354" t="s">
        <v>89</v>
      </c>
      <c r="C46" s="510" t="s">
        <v>90</v>
      </c>
      <c r="D46" s="511">
        <v>4180</v>
      </c>
      <c r="E46" s="119">
        <v>73</v>
      </c>
      <c r="F46" s="352"/>
      <c r="G46" s="630"/>
      <c r="H46" s="775"/>
      <c r="I46" s="633"/>
    </row>
    <row r="47" spans="1:9" ht="12.75" x14ac:dyDescent="0.25">
      <c r="A47" s="880">
        <v>39</v>
      </c>
      <c r="B47" s="354" t="s">
        <v>91</v>
      </c>
      <c r="C47" s="510" t="s">
        <v>92</v>
      </c>
      <c r="D47" s="511">
        <v>2318</v>
      </c>
      <c r="E47" s="119">
        <v>52</v>
      </c>
      <c r="F47" s="352"/>
      <c r="G47" s="630"/>
      <c r="H47" s="775"/>
      <c r="I47" s="633"/>
    </row>
    <row r="48" spans="1:9" ht="14.25" customHeight="1" x14ac:dyDescent="0.25">
      <c r="A48" s="880">
        <v>40</v>
      </c>
      <c r="B48" s="115" t="s">
        <v>93</v>
      </c>
      <c r="C48" s="516" t="s">
        <v>94</v>
      </c>
      <c r="D48" s="511">
        <v>5058</v>
      </c>
      <c r="E48" s="119">
        <v>416</v>
      </c>
      <c r="F48" s="352"/>
      <c r="G48" s="630"/>
      <c r="H48" s="775"/>
      <c r="I48" s="633"/>
    </row>
    <row r="49" spans="1:9" ht="12.75" x14ac:dyDescent="0.25">
      <c r="A49" s="880">
        <v>41</v>
      </c>
      <c r="B49" s="354" t="s">
        <v>95</v>
      </c>
      <c r="C49" s="510" t="s">
        <v>96</v>
      </c>
      <c r="D49" s="511">
        <v>2503</v>
      </c>
      <c r="E49" s="119">
        <v>156</v>
      </c>
      <c r="F49" s="352"/>
      <c r="G49" s="630"/>
      <c r="H49" s="775"/>
      <c r="I49" s="633"/>
    </row>
    <row r="50" spans="1:9" ht="12.75" x14ac:dyDescent="0.25">
      <c r="A50" s="880">
        <v>42</v>
      </c>
      <c r="B50" s="560" t="s">
        <v>97</v>
      </c>
      <c r="C50" s="513" t="s">
        <v>98</v>
      </c>
      <c r="D50" s="511"/>
      <c r="E50" s="119"/>
      <c r="F50" s="352"/>
      <c r="G50" s="630"/>
      <c r="H50" s="775"/>
      <c r="I50" s="633"/>
    </row>
    <row r="51" spans="1:9" ht="12.75" x14ac:dyDescent="0.25">
      <c r="A51" s="880">
        <v>43</v>
      </c>
      <c r="B51" s="355" t="s">
        <v>99</v>
      </c>
      <c r="C51" s="512" t="s">
        <v>100</v>
      </c>
      <c r="D51" s="511">
        <v>9725</v>
      </c>
      <c r="E51" s="119">
        <v>4350</v>
      </c>
      <c r="F51" s="352">
        <v>577</v>
      </c>
      <c r="G51" s="630">
        <v>6925</v>
      </c>
      <c r="H51" s="775"/>
      <c r="I51" s="633"/>
    </row>
    <row r="52" spans="1:9" ht="12.75" x14ac:dyDescent="0.25">
      <c r="A52" s="880">
        <v>44</v>
      </c>
      <c r="B52" s="354" t="s">
        <v>101</v>
      </c>
      <c r="C52" s="510" t="s">
        <v>102</v>
      </c>
      <c r="D52" s="511">
        <v>3398</v>
      </c>
      <c r="E52" s="119">
        <v>505</v>
      </c>
      <c r="F52" s="352"/>
      <c r="G52" s="630"/>
      <c r="H52" s="775"/>
      <c r="I52" s="633"/>
    </row>
    <row r="53" spans="1:9" ht="10.5" customHeight="1" x14ac:dyDescent="0.25">
      <c r="A53" s="880">
        <v>45</v>
      </c>
      <c r="B53" s="355" t="s">
        <v>103</v>
      </c>
      <c r="C53" s="512" t="s">
        <v>104</v>
      </c>
      <c r="D53" s="511">
        <v>7935</v>
      </c>
      <c r="E53" s="119">
        <v>3976</v>
      </c>
      <c r="F53" s="352">
        <v>808</v>
      </c>
      <c r="G53" s="630">
        <v>9695</v>
      </c>
      <c r="H53" s="775"/>
      <c r="I53" s="633"/>
    </row>
    <row r="54" spans="1:9" ht="12.75" x14ac:dyDescent="0.25">
      <c r="A54" s="880">
        <v>46</v>
      </c>
      <c r="B54" s="354" t="s">
        <v>105</v>
      </c>
      <c r="C54" s="510" t="s">
        <v>106</v>
      </c>
      <c r="D54" s="511">
        <v>3442</v>
      </c>
      <c r="E54" s="119">
        <v>42</v>
      </c>
      <c r="F54" s="352"/>
      <c r="G54" s="630"/>
      <c r="H54" s="775"/>
      <c r="I54" s="633"/>
    </row>
    <row r="55" spans="1:9" ht="12.75" x14ac:dyDescent="0.25">
      <c r="A55" s="880">
        <v>47</v>
      </c>
      <c r="B55" s="354" t="s">
        <v>107</v>
      </c>
      <c r="C55" s="510" t="s">
        <v>108</v>
      </c>
      <c r="D55" s="511">
        <v>3964</v>
      </c>
      <c r="E55" s="119">
        <v>610</v>
      </c>
      <c r="F55" s="352"/>
      <c r="G55" s="630"/>
      <c r="H55" s="775"/>
      <c r="I55" s="633"/>
    </row>
    <row r="56" spans="1:9" ht="11.25" customHeight="1" x14ac:dyDescent="0.25">
      <c r="A56" s="880">
        <v>48</v>
      </c>
      <c r="B56" s="355" t="s">
        <v>109</v>
      </c>
      <c r="C56" s="512" t="s">
        <v>110</v>
      </c>
      <c r="D56" s="511">
        <v>3261</v>
      </c>
      <c r="E56" s="119">
        <v>1504</v>
      </c>
      <c r="F56" s="352">
        <v>863</v>
      </c>
      <c r="G56" s="630">
        <v>6648</v>
      </c>
      <c r="H56" s="775">
        <f>103-103</f>
        <v>0</v>
      </c>
      <c r="I56" s="633">
        <f>1240-1240</f>
        <v>0</v>
      </c>
    </row>
    <row r="57" spans="1:9" ht="11.25" customHeight="1" x14ac:dyDescent="0.25">
      <c r="A57" s="880">
        <v>49</v>
      </c>
      <c r="B57" s="355" t="s">
        <v>111</v>
      </c>
      <c r="C57" s="512" t="s">
        <v>112</v>
      </c>
      <c r="D57" s="511">
        <v>2275</v>
      </c>
      <c r="E57" s="119">
        <v>156</v>
      </c>
      <c r="F57" s="352"/>
      <c r="G57" s="630"/>
      <c r="H57" s="775"/>
      <c r="I57" s="633"/>
    </row>
    <row r="58" spans="1:9" ht="11.25" customHeight="1" x14ac:dyDescent="0.25">
      <c r="A58" s="880">
        <v>50</v>
      </c>
      <c r="B58" s="354" t="s">
        <v>113</v>
      </c>
      <c r="C58" s="510" t="s">
        <v>114</v>
      </c>
      <c r="D58" s="511">
        <v>3200</v>
      </c>
      <c r="E58" s="119">
        <v>493</v>
      </c>
      <c r="F58" s="352"/>
      <c r="G58" s="630"/>
      <c r="H58" s="775"/>
      <c r="I58" s="633"/>
    </row>
    <row r="59" spans="1:9" ht="11.25" customHeight="1" x14ac:dyDescent="0.25">
      <c r="A59" s="880">
        <v>51</v>
      </c>
      <c r="B59" s="355" t="s">
        <v>115</v>
      </c>
      <c r="C59" s="512" t="s">
        <v>116</v>
      </c>
      <c r="D59" s="511">
        <v>5763</v>
      </c>
      <c r="E59" s="119">
        <v>94</v>
      </c>
      <c r="F59" s="352"/>
      <c r="G59" s="630"/>
      <c r="H59" s="775"/>
      <c r="I59" s="633"/>
    </row>
    <row r="60" spans="1:9" ht="11.25" customHeight="1" x14ac:dyDescent="0.25">
      <c r="A60" s="880">
        <v>52</v>
      </c>
      <c r="B60" s="354" t="s">
        <v>117</v>
      </c>
      <c r="C60" s="510" t="s">
        <v>118</v>
      </c>
      <c r="D60" s="511">
        <v>10140</v>
      </c>
      <c r="E60" s="119">
        <v>5198</v>
      </c>
      <c r="F60" s="352">
        <v>923</v>
      </c>
      <c r="G60" s="630">
        <v>11080</v>
      </c>
      <c r="H60" s="775">
        <f>207+20</f>
        <v>227</v>
      </c>
      <c r="I60" s="633">
        <f>2480+240</f>
        <v>2720</v>
      </c>
    </row>
    <row r="61" spans="1:9" ht="11.25" customHeight="1" x14ac:dyDescent="0.25">
      <c r="A61" s="880">
        <v>53</v>
      </c>
      <c r="B61" s="355" t="s">
        <v>119</v>
      </c>
      <c r="C61" s="512" t="s">
        <v>120</v>
      </c>
      <c r="D61" s="511">
        <v>2686</v>
      </c>
      <c r="E61" s="119">
        <v>408</v>
      </c>
      <c r="F61" s="352"/>
      <c r="G61" s="630"/>
      <c r="H61" s="775"/>
      <c r="I61" s="633"/>
    </row>
    <row r="62" spans="1:9" ht="11.25" customHeight="1" x14ac:dyDescent="0.25">
      <c r="A62" s="880">
        <v>54</v>
      </c>
      <c r="B62" s="355" t="s">
        <v>121</v>
      </c>
      <c r="C62" s="512" t="s">
        <v>122</v>
      </c>
      <c r="D62" s="511"/>
      <c r="E62" s="119"/>
      <c r="F62" s="352"/>
      <c r="G62" s="630"/>
      <c r="H62" s="775"/>
      <c r="I62" s="633"/>
    </row>
    <row r="63" spans="1:9" ht="11.25" customHeight="1" x14ac:dyDescent="0.25">
      <c r="A63" s="880">
        <v>55</v>
      </c>
      <c r="B63" s="355" t="s">
        <v>123</v>
      </c>
      <c r="C63" s="512" t="s">
        <v>124</v>
      </c>
      <c r="D63" s="511"/>
      <c r="E63" s="119"/>
      <c r="F63" s="352"/>
      <c r="G63" s="630"/>
      <c r="H63" s="775"/>
      <c r="I63" s="633"/>
    </row>
    <row r="64" spans="1:9" ht="11.25" customHeight="1" x14ac:dyDescent="0.25">
      <c r="A64" s="880">
        <v>56</v>
      </c>
      <c r="B64" s="881" t="s">
        <v>125</v>
      </c>
      <c r="C64" s="517" t="s">
        <v>126</v>
      </c>
      <c r="D64" s="511"/>
      <c r="E64" s="119"/>
      <c r="F64" s="352"/>
      <c r="G64" s="630"/>
      <c r="H64" s="775"/>
      <c r="I64" s="633"/>
    </row>
    <row r="65" spans="1:9" ht="11.25" customHeight="1" x14ac:dyDescent="0.25">
      <c r="A65" s="880">
        <v>57</v>
      </c>
      <c r="B65" s="355" t="s">
        <v>127</v>
      </c>
      <c r="C65" s="512" t="s">
        <v>128</v>
      </c>
      <c r="D65" s="511"/>
      <c r="E65" s="119"/>
      <c r="F65" s="352"/>
      <c r="G65" s="630"/>
      <c r="H65" s="775"/>
      <c r="I65" s="633"/>
    </row>
    <row r="66" spans="1:9" ht="11.25" customHeight="1" x14ac:dyDescent="0.25">
      <c r="A66" s="880">
        <v>58</v>
      </c>
      <c r="B66" s="355" t="s">
        <v>129</v>
      </c>
      <c r="C66" s="512" t="s">
        <v>459</v>
      </c>
      <c r="D66" s="511"/>
      <c r="E66" s="119"/>
      <c r="F66" s="352"/>
      <c r="G66" s="630"/>
      <c r="H66" s="775"/>
      <c r="I66" s="633"/>
    </row>
    <row r="67" spans="1:9" ht="12" customHeight="1" x14ac:dyDescent="0.25">
      <c r="A67" s="880">
        <v>59</v>
      </c>
      <c r="B67" s="355" t="s">
        <v>131</v>
      </c>
      <c r="C67" s="512" t="s">
        <v>132</v>
      </c>
      <c r="D67" s="511"/>
      <c r="E67" s="119"/>
      <c r="F67" s="352"/>
      <c r="G67" s="630"/>
      <c r="H67" s="775"/>
      <c r="I67" s="633"/>
    </row>
    <row r="68" spans="1:9" ht="12" customHeight="1" x14ac:dyDescent="0.25">
      <c r="A68" s="880">
        <v>60</v>
      </c>
      <c r="B68" s="354" t="s">
        <v>133</v>
      </c>
      <c r="C68" s="512" t="s">
        <v>299</v>
      </c>
      <c r="D68" s="511"/>
      <c r="E68" s="119"/>
      <c r="F68" s="352"/>
      <c r="G68" s="630"/>
      <c r="H68" s="775"/>
      <c r="I68" s="633"/>
    </row>
    <row r="69" spans="1:9" ht="12" customHeight="1" x14ac:dyDescent="0.25">
      <c r="A69" s="880">
        <v>61</v>
      </c>
      <c r="B69" s="560" t="s">
        <v>135</v>
      </c>
      <c r="C69" s="512" t="s">
        <v>461</v>
      </c>
      <c r="D69" s="511"/>
      <c r="E69" s="119"/>
      <c r="F69" s="352"/>
      <c r="G69" s="630"/>
      <c r="H69" s="775"/>
      <c r="I69" s="633"/>
    </row>
    <row r="70" spans="1:9" ht="25.5" customHeight="1" x14ac:dyDescent="0.25">
      <c r="A70" s="880">
        <v>62</v>
      </c>
      <c r="B70" s="354" t="s">
        <v>137</v>
      </c>
      <c r="C70" s="512" t="s">
        <v>640</v>
      </c>
      <c r="D70" s="511"/>
      <c r="E70" s="119"/>
      <c r="F70" s="352"/>
      <c r="G70" s="630"/>
      <c r="H70" s="775"/>
      <c r="I70" s="633"/>
    </row>
    <row r="71" spans="1:9" ht="25.5" customHeight="1" x14ac:dyDescent="0.25">
      <c r="A71" s="880">
        <v>63</v>
      </c>
      <c r="B71" s="355" t="s">
        <v>139</v>
      </c>
      <c r="C71" s="512" t="s">
        <v>641</v>
      </c>
      <c r="D71" s="511"/>
      <c r="E71" s="119"/>
      <c r="F71" s="352"/>
      <c r="G71" s="630"/>
      <c r="H71" s="775"/>
      <c r="I71" s="633"/>
    </row>
    <row r="72" spans="1:9" ht="12.75" x14ac:dyDescent="0.25">
      <c r="A72" s="880">
        <v>64</v>
      </c>
      <c r="B72" s="354" t="s">
        <v>141</v>
      </c>
      <c r="C72" s="512" t="s">
        <v>456</v>
      </c>
      <c r="D72" s="511"/>
      <c r="E72" s="119"/>
      <c r="F72" s="352"/>
      <c r="G72" s="630"/>
      <c r="H72" s="775"/>
      <c r="I72" s="633"/>
    </row>
    <row r="73" spans="1:9" ht="12.75" x14ac:dyDescent="0.25">
      <c r="A73" s="880">
        <v>65</v>
      </c>
      <c r="B73" s="354" t="s">
        <v>143</v>
      </c>
      <c r="C73" s="512" t="s">
        <v>144</v>
      </c>
      <c r="D73" s="511"/>
      <c r="E73" s="119"/>
      <c r="F73" s="352"/>
      <c r="G73" s="630"/>
      <c r="H73" s="775"/>
      <c r="I73" s="633"/>
    </row>
    <row r="74" spans="1:9" ht="12.75" x14ac:dyDescent="0.25">
      <c r="A74" s="880">
        <v>66</v>
      </c>
      <c r="B74" s="354" t="s">
        <v>145</v>
      </c>
      <c r="C74" s="512" t="s">
        <v>457</v>
      </c>
      <c r="D74" s="511"/>
      <c r="E74" s="119"/>
      <c r="F74" s="352"/>
      <c r="G74" s="630"/>
      <c r="H74" s="775"/>
      <c r="I74" s="633"/>
    </row>
    <row r="75" spans="1:9" ht="24" x14ac:dyDescent="0.25">
      <c r="A75" s="880">
        <v>67</v>
      </c>
      <c r="B75" s="354" t="s">
        <v>147</v>
      </c>
      <c r="C75" s="512" t="s">
        <v>642</v>
      </c>
      <c r="D75" s="511"/>
      <c r="E75" s="119"/>
      <c r="F75" s="352"/>
      <c r="G75" s="630"/>
      <c r="H75" s="775"/>
      <c r="I75" s="633"/>
    </row>
    <row r="76" spans="1:9" ht="24" x14ac:dyDescent="0.25">
      <c r="A76" s="880">
        <v>68</v>
      </c>
      <c r="B76" s="354" t="s">
        <v>149</v>
      </c>
      <c r="C76" s="512" t="s">
        <v>463</v>
      </c>
      <c r="D76" s="511"/>
      <c r="E76" s="119"/>
      <c r="F76" s="352"/>
      <c r="G76" s="630"/>
      <c r="H76" s="775"/>
      <c r="I76" s="633"/>
    </row>
    <row r="77" spans="1:9" ht="24" x14ac:dyDescent="0.25">
      <c r="A77" s="880">
        <v>69</v>
      </c>
      <c r="B77" s="354" t="s">
        <v>151</v>
      </c>
      <c r="C77" s="512" t="s">
        <v>643</v>
      </c>
      <c r="D77" s="511"/>
      <c r="E77" s="119"/>
      <c r="F77" s="352"/>
      <c r="G77" s="630"/>
      <c r="H77" s="775"/>
      <c r="I77" s="633"/>
    </row>
    <row r="78" spans="1:9" ht="24" x14ac:dyDescent="0.25">
      <c r="A78" s="880">
        <v>70</v>
      </c>
      <c r="B78" s="354" t="s">
        <v>153</v>
      </c>
      <c r="C78" s="512" t="s">
        <v>644</v>
      </c>
      <c r="D78" s="511"/>
      <c r="E78" s="119"/>
      <c r="F78" s="352"/>
      <c r="G78" s="630"/>
      <c r="H78" s="775"/>
      <c r="I78" s="633"/>
    </row>
    <row r="79" spans="1:9" ht="24" x14ac:dyDescent="0.25">
      <c r="A79" s="880">
        <v>71</v>
      </c>
      <c r="B79" s="355" t="s">
        <v>155</v>
      </c>
      <c r="C79" s="512" t="s">
        <v>645</v>
      </c>
      <c r="D79" s="511"/>
      <c r="E79" s="119"/>
      <c r="F79" s="352"/>
      <c r="G79" s="630"/>
      <c r="H79" s="775"/>
      <c r="I79" s="633"/>
    </row>
    <row r="80" spans="1:9" ht="24" x14ac:dyDescent="0.25">
      <c r="A80" s="880">
        <v>72</v>
      </c>
      <c r="B80" s="354" t="s">
        <v>157</v>
      </c>
      <c r="C80" s="510" t="s">
        <v>646</v>
      </c>
      <c r="D80" s="511"/>
      <c r="E80" s="119"/>
      <c r="F80" s="352"/>
      <c r="G80" s="630"/>
      <c r="H80" s="775"/>
      <c r="I80" s="633"/>
    </row>
    <row r="81" spans="1:9" ht="24" x14ac:dyDescent="0.25">
      <c r="A81" s="880">
        <v>73</v>
      </c>
      <c r="B81" s="355" t="s">
        <v>159</v>
      </c>
      <c r="C81" s="512" t="s">
        <v>647</v>
      </c>
      <c r="D81" s="511"/>
      <c r="E81" s="119"/>
      <c r="F81" s="352"/>
      <c r="G81" s="630"/>
      <c r="H81" s="775"/>
      <c r="I81" s="633"/>
    </row>
    <row r="82" spans="1:9" ht="12.75" x14ac:dyDescent="0.25">
      <c r="A82" s="880">
        <v>74</v>
      </c>
      <c r="B82" s="354" t="s">
        <v>161</v>
      </c>
      <c r="C82" s="512" t="s">
        <v>162</v>
      </c>
      <c r="D82" s="511"/>
      <c r="E82" s="119"/>
      <c r="F82" s="352"/>
      <c r="G82" s="630"/>
      <c r="H82" s="775"/>
      <c r="I82" s="633"/>
    </row>
    <row r="83" spans="1:9" ht="12.75" x14ac:dyDescent="0.25">
      <c r="A83" s="880">
        <v>75</v>
      </c>
      <c r="B83" s="355" t="s">
        <v>163</v>
      </c>
      <c r="C83" s="512" t="s">
        <v>458</v>
      </c>
      <c r="D83" s="511"/>
      <c r="E83" s="119"/>
      <c r="F83" s="352"/>
      <c r="G83" s="630"/>
      <c r="H83" s="775"/>
      <c r="I83" s="633"/>
    </row>
    <row r="84" spans="1:9" ht="12.75" x14ac:dyDescent="0.25">
      <c r="A84" s="880">
        <v>76</v>
      </c>
      <c r="B84" s="355" t="s">
        <v>165</v>
      </c>
      <c r="C84" s="512" t="s">
        <v>166</v>
      </c>
      <c r="D84" s="511"/>
      <c r="E84" s="119"/>
      <c r="F84" s="352"/>
      <c r="G84" s="630"/>
      <c r="H84" s="775"/>
      <c r="I84" s="633"/>
    </row>
    <row r="85" spans="1:9" ht="12.75" x14ac:dyDescent="0.25">
      <c r="A85" s="880">
        <v>77</v>
      </c>
      <c r="B85" s="354" t="s">
        <v>167</v>
      </c>
      <c r="C85" s="512" t="s">
        <v>168</v>
      </c>
      <c r="D85" s="511"/>
      <c r="E85" s="119"/>
      <c r="F85" s="352"/>
      <c r="G85" s="630"/>
      <c r="H85" s="775"/>
      <c r="I85" s="633"/>
    </row>
    <row r="86" spans="1:9" ht="12.75" x14ac:dyDescent="0.25">
      <c r="A86" s="880">
        <v>78</v>
      </c>
      <c r="B86" s="354" t="s">
        <v>169</v>
      </c>
      <c r="C86" s="512" t="s">
        <v>170</v>
      </c>
      <c r="D86" s="511"/>
      <c r="E86" s="119"/>
      <c r="F86" s="352"/>
      <c r="G86" s="630"/>
      <c r="H86" s="775"/>
      <c r="I86" s="633"/>
    </row>
    <row r="87" spans="1:9" ht="12.75" x14ac:dyDescent="0.25">
      <c r="A87" s="880">
        <v>79</v>
      </c>
      <c r="B87" s="354" t="s">
        <v>171</v>
      </c>
      <c r="C87" s="512" t="s">
        <v>172</v>
      </c>
      <c r="D87" s="511"/>
      <c r="E87" s="119"/>
      <c r="F87" s="352"/>
      <c r="G87" s="630"/>
      <c r="H87" s="775"/>
      <c r="I87" s="633"/>
    </row>
    <row r="88" spans="1:9" ht="12.75" x14ac:dyDescent="0.25">
      <c r="A88" s="880">
        <v>80</v>
      </c>
      <c r="B88" s="354" t="s">
        <v>173</v>
      </c>
      <c r="C88" s="512" t="s">
        <v>617</v>
      </c>
      <c r="D88" s="511"/>
      <c r="E88" s="119"/>
      <c r="F88" s="352"/>
      <c r="G88" s="630"/>
      <c r="H88" s="775"/>
      <c r="I88" s="633"/>
    </row>
    <row r="89" spans="1:9" ht="12.75" x14ac:dyDescent="0.25">
      <c r="A89" s="880">
        <v>81</v>
      </c>
      <c r="B89" s="354" t="s">
        <v>175</v>
      </c>
      <c r="C89" s="512" t="s">
        <v>176</v>
      </c>
      <c r="D89" s="511"/>
      <c r="E89" s="119"/>
      <c r="F89" s="352"/>
      <c r="G89" s="630"/>
      <c r="H89" s="775"/>
      <c r="I89" s="633"/>
    </row>
    <row r="90" spans="1:9" ht="12.75" x14ac:dyDescent="0.25">
      <c r="A90" s="880">
        <v>82</v>
      </c>
      <c r="B90" s="360" t="s">
        <v>177</v>
      </c>
      <c r="C90" s="517" t="s">
        <v>752</v>
      </c>
      <c r="D90" s="511"/>
      <c r="E90" s="119"/>
      <c r="F90" s="352"/>
      <c r="G90" s="630"/>
      <c r="H90" s="775"/>
      <c r="I90" s="633"/>
    </row>
    <row r="91" spans="1:9" ht="24" x14ac:dyDescent="0.25">
      <c r="A91" s="1220">
        <v>83</v>
      </c>
      <c r="B91" s="1221" t="s">
        <v>178</v>
      </c>
      <c r="C91" s="518" t="s">
        <v>753</v>
      </c>
      <c r="D91" s="511"/>
      <c r="E91" s="119"/>
      <c r="F91" s="352"/>
      <c r="G91" s="630"/>
      <c r="H91" s="775"/>
      <c r="I91" s="633"/>
    </row>
    <row r="92" spans="1:9" ht="24" x14ac:dyDescent="0.25">
      <c r="A92" s="1220"/>
      <c r="B92" s="1221"/>
      <c r="C92" s="517" t="s">
        <v>179</v>
      </c>
      <c r="D92" s="511"/>
      <c r="E92" s="119"/>
      <c r="F92" s="352"/>
      <c r="G92" s="630"/>
      <c r="H92" s="775"/>
      <c r="I92" s="633"/>
    </row>
    <row r="93" spans="1:9" ht="24" x14ac:dyDescent="0.25">
      <c r="A93" s="1220"/>
      <c r="B93" s="1221"/>
      <c r="C93" s="517" t="s">
        <v>180</v>
      </c>
      <c r="D93" s="511"/>
      <c r="E93" s="119"/>
      <c r="F93" s="352"/>
      <c r="G93" s="630"/>
      <c r="H93" s="775"/>
      <c r="I93" s="633"/>
    </row>
    <row r="94" spans="1:9" ht="36" x14ac:dyDescent="0.25">
      <c r="A94" s="1220"/>
      <c r="B94" s="1221"/>
      <c r="C94" s="519" t="s">
        <v>509</v>
      </c>
      <c r="D94" s="511"/>
      <c r="E94" s="119"/>
      <c r="F94" s="352"/>
      <c r="G94" s="630"/>
      <c r="H94" s="775"/>
      <c r="I94" s="633"/>
    </row>
    <row r="95" spans="1:9" ht="24" x14ac:dyDescent="0.25">
      <c r="A95" s="880">
        <v>84</v>
      </c>
      <c r="B95" s="355" t="s">
        <v>181</v>
      </c>
      <c r="C95" s="512" t="s">
        <v>182</v>
      </c>
      <c r="D95" s="511"/>
      <c r="E95" s="119"/>
      <c r="F95" s="352"/>
      <c r="G95" s="630"/>
      <c r="H95" s="775"/>
      <c r="I95" s="633"/>
    </row>
    <row r="96" spans="1:9" ht="12.75" x14ac:dyDescent="0.25">
      <c r="A96" s="880">
        <v>85</v>
      </c>
      <c r="B96" s="354" t="s">
        <v>183</v>
      </c>
      <c r="C96" s="512" t="s">
        <v>184</v>
      </c>
      <c r="D96" s="511"/>
      <c r="E96" s="119"/>
      <c r="F96" s="352"/>
      <c r="G96" s="630"/>
      <c r="H96" s="775"/>
      <c r="I96" s="633"/>
    </row>
    <row r="97" spans="1:9" ht="12.75" x14ac:dyDescent="0.25">
      <c r="A97" s="880">
        <v>86</v>
      </c>
      <c r="B97" s="355" t="s">
        <v>185</v>
      </c>
      <c r="C97" s="512" t="s">
        <v>186</v>
      </c>
      <c r="D97" s="511"/>
      <c r="E97" s="119"/>
      <c r="F97" s="352"/>
      <c r="G97" s="630"/>
      <c r="H97" s="775"/>
      <c r="I97" s="633"/>
    </row>
    <row r="98" spans="1:9" ht="12.75" x14ac:dyDescent="0.25">
      <c r="A98" s="880">
        <v>87</v>
      </c>
      <c r="B98" s="560" t="s">
        <v>187</v>
      </c>
      <c r="C98" s="513" t="s">
        <v>188</v>
      </c>
      <c r="D98" s="511">
        <v>2483</v>
      </c>
      <c r="E98" s="119">
        <v>73</v>
      </c>
      <c r="F98" s="352"/>
      <c r="G98" s="630"/>
      <c r="H98" s="775"/>
      <c r="I98" s="633"/>
    </row>
    <row r="99" spans="1:9" ht="12.75" x14ac:dyDescent="0.25">
      <c r="A99" s="880">
        <v>88</v>
      </c>
      <c r="B99" s="354" t="s">
        <v>189</v>
      </c>
      <c r="C99" s="512" t="s">
        <v>190</v>
      </c>
      <c r="D99" s="511">
        <v>2290</v>
      </c>
      <c r="E99" s="119">
        <v>353</v>
      </c>
      <c r="F99" s="352"/>
      <c r="G99" s="630"/>
      <c r="H99" s="775"/>
      <c r="I99" s="633"/>
    </row>
    <row r="100" spans="1:9" ht="12.75" x14ac:dyDescent="0.25">
      <c r="A100" s="880">
        <v>89</v>
      </c>
      <c r="B100" s="354" t="s">
        <v>191</v>
      </c>
      <c r="C100" s="512" t="s">
        <v>192</v>
      </c>
      <c r="D100" s="511">
        <v>6777</v>
      </c>
      <c r="E100" s="119">
        <v>260</v>
      </c>
      <c r="F100" s="352"/>
      <c r="G100" s="630"/>
      <c r="H100" s="775"/>
      <c r="I100" s="633"/>
    </row>
    <row r="101" spans="1:9" ht="12.75" x14ac:dyDescent="0.25">
      <c r="A101" s="880">
        <v>90</v>
      </c>
      <c r="B101" s="560" t="s">
        <v>193</v>
      </c>
      <c r="C101" s="513" t="s">
        <v>194</v>
      </c>
      <c r="D101" s="511">
        <v>2871</v>
      </c>
      <c r="E101" s="119">
        <v>467</v>
      </c>
      <c r="F101" s="352"/>
      <c r="G101" s="630"/>
      <c r="H101" s="775"/>
      <c r="I101" s="633"/>
    </row>
    <row r="102" spans="1:9" ht="12.75" x14ac:dyDescent="0.25">
      <c r="A102" s="880">
        <v>91</v>
      </c>
      <c r="B102" s="354" t="s">
        <v>195</v>
      </c>
      <c r="C102" s="512" t="s">
        <v>196</v>
      </c>
      <c r="D102" s="511">
        <v>3483</v>
      </c>
      <c r="E102" s="119">
        <v>537</v>
      </c>
      <c r="F102" s="352">
        <v>360</v>
      </c>
      <c r="G102" s="630">
        <v>2770</v>
      </c>
      <c r="H102" s="775"/>
      <c r="I102" s="633"/>
    </row>
    <row r="103" spans="1:9" ht="12.75" x14ac:dyDescent="0.25">
      <c r="A103" s="880">
        <v>92</v>
      </c>
      <c r="B103" s="560" t="s">
        <v>197</v>
      </c>
      <c r="C103" s="513" t="s">
        <v>198</v>
      </c>
      <c r="D103" s="511">
        <v>5863</v>
      </c>
      <c r="E103" s="119">
        <v>902</v>
      </c>
      <c r="F103" s="352"/>
      <c r="G103" s="630"/>
      <c r="H103" s="775"/>
      <c r="I103" s="633"/>
    </row>
    <row r="104" spans="1:9" ht="12.75" x14ac:dyDescent="0.25">
      <c r="A104" s="880">
        <v>93</v>
      </c>
      <c r="B104" s="354" t="s">
        <v>199</v>
      </c>
      <c r="C104" s="512" t="s">
        <v>200</v>
      </c>
      <c r="D104" s="511">
        <v>6908</v>
      </c>
      <c r="E104" s="119">
        <f>52+350</f>
        <v>402</v>
      </c>
      <c r="F104" s="352"/>
      <c r="G104" s="630"/>
      <c r="H104" s="775"/>
      <c r="I104" s="633"/>
    </row>
    <row r="105" spans="1:9" ht="12.75" x14ac:dyDescent="0.25">
      <c r="A105" s="880">
        <v>94</v>
      </c>
      <c r="B105" s="355" t="s">
        <v>201</v>
      </c>
      <c r="C105" s="512" t="s">
        <v>202</v>
      </c>
      <c r="D105" s="511">
        <v>2568</v>
      </c>
      <c r="E105" s="119">
        <v>52</v>
      </c>
      <c r="F105" s="352">
        <v>504</v>
      </c>
      <c r="G105" s="630">
        <v>3878</v>
      </c>
      <c r="H105" s="775"/>
      <c r="I105" s="633"/>
    </row>
    <row r="106" spans="1:9" ht="12.75" x14ac:dyDescent="0.25">
      <c r="A106" s="880">
        <v>95</v>
      </c>
      <c r="B106" s="354" t="s">
        <v>203</v>
      </c>
      <c r="C106" s="510" t="s">
        <v>204</v>
      </c>
      <c r="D106" s="511">
        <v>3163</v>
      </c>
      <c r="E106" s="119">
        <v>487</v>
      </c>
      <c r="F106" s="352"/>
      <c r="G106" s="630"/>
      <c r="H106" s="775"/>
      <c r="I106" s="633"/>
    </row>
    <row r="107" spans="1:9" ht="12.75" x14ac:dyDescent="0.25">
      <c r="A107" s="880">
        <v>96</v>
      </c>
      <c r="B107" s="354" t="s">
        <v>205</v>
      </c>
      <c r="C107" s="513" t="s">
        <v>206</v>
      </c>
      <c r="D107" s="511">
        <v>3519</v>
      </c>
      <c r="E107" s="119">
        <v>73</v>
      </c>
      <c r="F107" s="352">
        <v>360</v>
      </c>
      <c r="G107" s="630">
        <v>2770</v>
      </c>
      <c r="H107" s="775"/>
      <c r="I107" s="633"/>
    </row>
    <row r="108" spans="1:9" ht="12.75" x14ac:dyDescent="0.25">
      <c r="A108" s="880">
        <v>97</v>
      </c>
      <c r="B108" s="355" t="s">
        <v>207</v>
      </c>
      <c r="C108" s="512" t="s">
        <v>208</v>
      </c>
      <c r="D108" s="511">
        <v>3599</v>
      </c>
      <c r="E108" s="119">
        <v>554</v>
      </c>
      <c r="F108" s="352">
        <v>540</v>
      </c>
      <c r="G108" s="630">
        <v>4155</v>
      </c>
      <c r="H108" s="775"/>
      <c r="I108" s="633"/>
    </row>
    <row r="109" spans="1:9" ht="12.75" x14ac:dyDescent="0.25">
      <c r="A109" s="880">
        <v>98</v>
      </c>
      <c r="B109" s="354" t="s">
        <v>209</v>
      </c>
      <c r="C109" s="510" t="s">
        <v>210</v>
      </c>
      <c r="D109" s="511">
        <v>2631</v>
      </c>
      <c r="E109" s="119">
        <v>370</v>
      </c>
      <c r="F109" s="352"/>
      <c r="G109" s="630"/>
      <c r="H109" s="775"/>
      <c r="I109" s="633"/>
    </row>
    <row r="110" spans="1:9" ht="12.75" x14ac:dyDescent="0.25">
      <c r="A110" s="880">
        <v>99</v>
      </c>
      <c r="B110" s="355" t="s">
        <v>211</v>
      </c>
      <c r="C110" s="512" t="s">
        <v>212</v>
      </c>
      <c r="D110" s="511">
        <v>3534</v>
      </c>
      <c r="E110" s="119">
        <v>544</v>
      </c>
      <c r="F110" s="352"/>
      <c r="G110" s="630"/>
      <c r="H110" s="775"/>
      <c r="I110" s="633"/>
    </row>
    <row r="111" spans="1:9" ht="12.75" x14ac:dyDescent="0.25">
      <c r="A111" s="880">
        <v>100</v>
      </c>
      <c r="B111" s="355" t="s">
        <v>213</v>
      </c>
      <c r="C111" s="512" t="s">
        <v>214</v>
      </c>
      <c r="D111" s="511">
        <v>4050</v>
      </c>
      <c r="E111" s="119">
        <v>2082</v>
      </c>
      <c r="F111" s="352">
        <v>719</v>
      </c>
      <c r="G111" s="630">
        <v>5540</v>
      </c>
      <c r="H111" s="775"/>
      <c r="I111" s="633"/>
    </row>
    <row r="112" spans="1:9" ht="12.75" x14ac:dyDescent="0.25">
      <c r="A112" s="880">
        <v>101</v>
      </c>
      <c r="B112" s="354" t="s">
        <v>215</v>
      </c>
      <c r="C112" s="513" t="s">
        <v>216</v>
      </c>
      <c r="D112" s="511">
        <v>3504</v>
      </c>
      <c r="E112" s="119">
        <v>73</v>
      </c>
      <c r="F112" s="352"/>
      <c r="G112" s="630"/>
      <c r="H112" s="775"/>
      <c r="I112" s="633"/>
    </row>
    <row r="113" spans="1:9" ht="12.75" x14ac:dyDescent="0.25">
      <c r="A113" s="880">
        <v>102</v>
      </c>
      <c r="B113" s="354" t="s">
        <v>217</v>
      </c>
      <c r="C113" s="510" t="s">
        <v>218</v>
      </c>
      <c r="D113" s="511"/>
      <c r="E113" s="119"/>
      <c r="F113" s="352"/>
      <c r="G113" s="630"/>
      <c r="H113" s="775"/>
      <c r="I113" s="633"/>
    </row>
    <row r="114" spans="1:9" ht="12.75" x14ac:dyDescent="0.25">
      <c r="A114" s="880">
        <v>103</v>
      </c>
      <c r="B114" s="354" t="s">
        <v>219</v>
      </c>
      <c r="C114" s="510" t="s">
        <v>220</v>
      </c>
      <c r="D114" s="511"/>
      <c r="E114" s="119"/>
      <c r="F114" s="352"/>
      <c r="G114" s="630"/>
      <c r="H114" s="775"/>
      <c r="I114" s="633"/>
    </row>
    <row r="115" spans="1:9" ht="12.75" x14ac:dyDescent="0.25">
      <c r="A115" s="880">
        <v>104</v>
      </c>
      <c r="B115" s="354" t="s">
        <v>221</v>
      </c>
      <c r="C115" s="510" t="s">
        <v>222</v>
      </c>
      <c r="D115" s="511"/>
      <c r="E115" s="119"/>
      <c r="F115" s="352"/>
      <c r="G115" s="630"/>
      <c r="H115" s="775"/>
      <c r="I115" s="633"/>
    </row>
    <row r="116" spans="1:9" ht="12.75" x14ac:dyDescent="0.25">
      <c r="A116" s="880">
        <v>105</v>
      </c>
      <c r="B116" s="355" t="s">
        <v>223</v>
      </c>
      <c r="C116" s="512" t="s">
        <v>224</v>
      </c>
      <c r="D116" s="511"/>
      <c r="E116" s="119"/>
      <c r="F116" s="352"/>
      <c r="G116" s="630"/>
      <c r="H116" s="775"/>
      <c r="I116" s="633"/>
    </row>
    <row r="117" spans="1:9" ht="12.75" x14ac:dyDescent="0.25">
      <c r="A117" s="880">
        <v>106</v>
      </c>
      <c r="B117" s="560" t="s">
        <v>225</v>
      </c>
      <c r="C117" s="513" t="s">
        <v>226</v>
      </c>
      <c r="D117" s="511"/>
      <c r="E117" s="119"/>
      <c r="F117" s="352"/>
      <c r="G117" s="630"/>
      <c r="H117" s="775"/>
      <c r="I117" s="633"/>
    </row>
    <row r="118" spans="1:9" ht="12.75" x14ac:dyDescent="0.25">
      <c r="A118" s="880">
        <v>107</v>
      </c>
      <c r="B118" s="354" t="s">
        <v>227</v>
      </c>
      <c r="C118" s="510" t="s">
        <v>228</v>
      </c>
      <c r="D118" s="511"/>
      <c r="E118" s="119"/>
      <c r="F118" s="352"/>
      <c r="G118" s="630"/>
      <c r="H118" s="775"/>
      <c r="I118" s="633"/>
    </row>
    <row r="119" spans="1:9" ht="12.75" x14ac:dyDescent="0.25">
      <c r="A119" s="880">
        <v>108</v>
      </c>
      <c r="B119" s="354" t="s">
        <v>229</v>
      </c>
      <c r="C119" s="510" t="s">
        <v>230</v>
      </c>
      <c r="D119" s="511"/>
      <c r="E119" s="119"/>
      <c r="F119" s="352"/>
      <c r="G119" s="630"/>
      <c r="H119" s="775"/>
      <c r="I119" s="633"/>
    </row>
    <row r="120" spans="1:9" ht="12.75" x14ac:dyDescent="0.25">
      <c r="A120" s="880">
        <v>109</v>
      </c>
      <c r="B120" s="355" t="s">
        <v>231</v>
      </c>
      <c r="C120" s="512" t="s">
        <v>232</v>
      </c>
      <c r="D120" s="511"/>
      <c r="E120" s="119"/>
      <c r="F120" s="352"/>
      <c r="G120" s="630"/>
      <c r="H120" s="775"/>
      <c r="I120" s="633"/>
    </row>
    <row r="121" spans="1:9" ht="12.75" x14ac:dyDescent="0.25">
      <c r="A121" s="880">
        <v>110</v>
      </c>
      <c r="B121" s="355" t="s">
        <v>233</v>
      </c>
      <c r="C121" s="512" t="s">
        <v>234</v>
      </c>
      <c r="D121" s="511"/>
      <c r="E121" s="119"/>
      <c r="F121" s="352"/>
      <c r="G121" s="630"/>
      <c r="H121" s="775"/>
      <c r="I121" s="633"/>
    </row>
    <row r="122" spans="1:9" ht="12.75" x14ac:dyDescent="0.25">
      <c r="A122" s="880">
        <v>111</v>
      </c>
      <c r="B122" s="3" t="s">
        <v>235</v>
      </c>
      <c r="C122" s="510" t="s">
        <v>236</v>
      </c>
      <c r="D122" s="511"/>
      <c r="E122" s="119"/>
      <c r="F122" s="352"/>
      <c r="G122" s="630"/>
      <c r="H122" s="775"/>
      <c r="I122" s="633"/>
    </row>
    <row r="123" spans="1:9" ht="12.75" x14ac:dyDescent="0.25">
      <c r="A123" s="880">
        <v>112</v>
      </c>
      <c r="B123" s="354" t="s">
        <v>237</v>
      </c>
      <c r="C123" s="510" t="s">
        <v>238</v>
      </c>
      <c r="D123" s="511"/>
      <c r="E123" s="119"/>
      <c r="F123" s="352"/>
      <c r="G123" s="630"/>
      <c r="H123" s="775"/>
      <c r="I123" s="633"/>
    </row>
    <row r="124" spans="1:9" ht="12.75" x14ac:dyDescent="0.25">
      <c r="A124" s="880">
        <v>113</v>
      </c>
      <c r="B124" s="354" t="s">
        <v>239</v>
      </c>
      <c r="C124" s="512" t="s">
        <v>240</v>
      </c>
      <c r="D124" s="511"/>
      <c r="E124" s="119"/>
      <c r="F124" s="352"/>
      <c r="G124" s="630"/>
      <c r="H124" s="775"/>
      <c r="I124" s="633"/>
    </row>
    <row r="125" spans="1:9" ht="12.75" x14ac:dyDescent="0.25">
      <c r="A125" s="880">
        <v>114</v>
      </c>
      <c r="B125" s="354" t="s">
        <v>241</v>
      </c>
      <c r="C125" s="510" t="s">
        <v>242</v>
      </c>
      <c r="D125" s="511"/>
      <c r="E125" s="119"/>
      <c r="F125" s="352"/>
      <c r="G125" s="630"/>
      <c r="H125" s="775"/>
      <c r="I125" s="633"/>
    </row>
    <row r="126" spans="1:9" ht="12.75" x14ac:dyDescent="0.25">
      <c r="A126" s="880">
        <v>115</v>
      </c>
      <c r="B126" s="881" t="s">
        <v>243</v>
      </c>
      <c r="C126" s="517" t="s">
        <v>385</v>
      </c>
      <c r="D126" s="511"/>
      <c r="E126" s="119"/>
      <c r="F126" s="352"/>
      <c r="G126" s="630"/>
      <c r="H126" s="775"/>
      <c r="I126" s="633"/>
    </row>
    <row r="127" spans="1:9" ht="12.75" x14ac:dyDescent="0.25">
      <c r="A127" s="880">
        <v>116</v>
      </c>
      <c r="B127" s="355" t="s">
        <v>244</v>
      </c>
      <c r="C127" s="512" t="s">
        <v>649</v>
      </c>
      <c r="D127" s="511"/>
      <c r="E127" s="119"/>
      <c r="F127" s="352"/>
      <c r="G127" s="630"/>
      <c r="H127" s="775"/>
      <c r="I127" s="633"/>
    </row>
    <row r="128" spans="1:9" ht="12.75" x14ac:dyDescent="0.25">
      <c r="A128" s="880">
        <v>117</v>
      </c>
      <c r="B128" s="355" t="s">
        <v>246</v>
      </c>
      <c r="C128" s="512" t="s">
        <v>247</v>
      </c>
      <c r="D128" s="511"/>
      <c r="E128" s="119"/>
      <c r="F128" s="352"/>
      <c r="G128" s="630"/>
      <c r="H128" s="775"/>
      <c r="I128" s="633"/>
    </row>
    <row r="129" spans="1:9" ht="12.75" x14ac:dyDescent="0.25">
      <c r="A129" s="880">
        <v>118</v>
      </c>
      <c r="B129" s="355" t="s">
        <v>248</v>
      </c>
      <c r="C129" s="512" t="s">
        <v>249</v>
      </c>
      <c r="D129" s="511"/>
      <c r="E129" s="119"/>
      <c r="F129" s="352"/>
      <c r="G129" s="630"/>
      <c r="H129" s="775"/>
      <c r="I129" s="633"/>
    </row>
    <row r="130" spans="1:9" ht="12.75" x14ac:dyDescent="0.25">
      <c r="A130" s="880">
        <v>119</v>
      </c>
      <c r="B130" s="355" t="s">
        <v>250</v>
      </c>
      <c r="C130" s="512" t="s">
        <v>251</v>
      </c>
      <c r="D130" s="511"/>
      <c r="E130" s="119"/>
      <c r="F130" s="352"/>
      <c r="G130" s="630"/>
      <c r="H130" s="775"/>
      <c r="I130" s="633"/>
    </row>
    <row r="131" spans="1:9" ht="12.75" x14ac:dyDescent="0.25">
      <c r="A131" s="880">
        <v>120</v>
      </c>
      <c r="B131" s="119" t="s">
        <v>252</v>
      </c>
      <c r="C131" s="520" t="s">
        <v>253</v>
      </c>
      <c r="D131" s="511"/>
      <c r="E131" s="119"/>
      <c r="F131" s="352"/>
      <c r="G131" s="630"/>
      <c r="H131" s="775"/>
      <c r="I131" s="633"/>
    </row>
    <row r="132" spans="1:9" ht="12.75" x14ac:dyDescent="0.25">
      <c r="A132" s="880">
        <v>121</v>
      </c>
      <c r="B132" s="354" t="s">
        <v>254</v>
      </c>
      <c r="C132" s="510" t="s">
        <v>255</v>
      </c>
      <c r="D132" s="511"/>
      <c r="E132" s="119"/>
      <c r="F132" s="352"/>
      <c r="G132" s="630"/>
      <c r="H132" s="775"/>
      <c r="I132" s="633"/>
    </row>
    <row r="133" spans="1:9" ht="12.75" x14ac:dyDescent="0.25">
      <c r="A133" s="880">
        <v>122</v>
      </c>
      <c r="B133" s="355" t="s">
        <v>256</v>
      </c>
      <c r="C133" s="512" t="s">
        <v>257</v>
      </c>
      <c r="D133" s="511"/>
      <c r="E133" s="119"/>
      <c r="F133" s="352"/>
      <c r="G133" s="630"/>
      <c r="H133" s="775"/>
      <c r="I133" s="633"/>
    </row>
    <row r="134" spans="1:9" ht="12.75" x14ac:dyDescent="0.25">
      <c r="A134" s="880">
        <v>123</v>
      </c>
      <c r="B134" s="354" t="s">
        <v>258</v>
      </c>
      <c r="C134" s="512" t="s">
        <v>259</v>
      </c>
      <c r="D134" s="511"/>
      <c r="E134" s="119"/>
      <c r="F134" s="352"/>
      <c r="G134" s="630"/>
      <c r="H134" s="775"/>
      <c r="I134" s="633"/>
    </row>
    <row r="135" spans="1:9" ht="12.75" x14ac:dyDescent="0.25">
      <c r="A135" s="880">
        <v>124</v>
      </c>
      <c r="B135" s="355" t="s">
        <v>260</v>
      </c>
      <c r="C135" s="512" t="s">
        <v>261</v>
      </c>
      <c r="D135" s="511"/>
      <c r="E135" s="119"/>
      <c r="F135" s="352"/>
      <c r="G135" s="630"/>
      <c r="H135" s="775"/>
      <c r="I135" s="633"/>
    </row>
    <row r="136" spans="1:9" ht="12.75" x14ac:dyDescent="0.25">
      <c r="A136" s="880">
        <v>125</v>
      </c>
      <c r="B136" s="355" t="s">
        <v>262</v>
      </c>
      <c r="C136" s="512" t="s">
        <v>263</v>
      </c>
      <c r="D136" s="511"/>
      <c r="E136" s="119"/>
      <c r="F136" s="352"/>
      <c r="G136" s="630"/>
      <c r="H136" s="775"/>
      <c r="I136" s="633"/>
    </row>
    <row r="137" spans="1:9" ht="12.75" x14ac:dyDescent="0.25">
      <c r="A137" s="880">
        <v>126</v>
      </c>
      <c r="B137" s="354" t="s">
        <v>264</v>
      </c>
      <c r="C137" s="512" t="s">
        <v>265</v>
      </c>
      <c r="D137" s="511"/>
      <c r="E137" s="119"/>
      <c r="F137" s="352"/>
      <c r="G137" s="630"/>
      <c r="H137" s="775"/>
      <c r="I137" s="633"/>
    </row>
    <row r="138" spans="1:9" ht="12.75" x14ac:dyDescent="0.25">
      <c r="A138" s="880">
        <v>127</v>
      </c>
      <c r="B138" s="355" t="s">
        <v>266</v>
      </c>
      <c r="C138" s="512" t="s">
        <v>267</v>
      </c>
      <c r="D138" s="511"/>
      <c r="E138" s="119"/>
      <c r="F138" s="352"/>
      <c r="G138" s="630"/>
      <c r="H138" s="775"/>
      <c r="I138" s="633"/>
    </row>
    <row r="139" spans="1:9" ht="12.75" x14ac:dyDescent="0.25">
      <c r="A139" s="880">
        <v>128</v>
      </c>
      <c r="B139" s="354" t="s">
        <v>268</v>
      </c>
      <c r="C139" s="510" t="s">
        <v>269</v>
      </c>
      <c r="D139" s="511"/>
      <c r="E139" s="119"/>
      <c r="F139" s="352"/>
      <c r="G139" s="630"/>
      <c r="H139" s="775"/>
      <c r="I139" s="633"/>
    </row>
    <row r="140" spans="1:9" ht="12.75" x14ac:dyDescent="0.25">
      <c r="A140" s="880">
        <v>129</v>
      </c>
      <c r="B140" s="354" t="s">
        <v>270</v>
      </c>
      <c r="C140" s="510" t="s">
        <v>271</v>
      </c>
      <c r="D140" s="511"/>
      <c r="E140" s="119"/>
      <c r="F140" s="352"/>
      <c r="G140" s="630"/>
      <c r="H140" s="775"/>
      <c r="I140" s="633"/>
    </row>
    <row r="141" spans="1:9" ht="12.75" x14ac:dyDescent="0.25">
      <c r="A141" s="880">
        <v>130</v>
      </c>
      <c r="B141" s="355" t="s">
        <v>272</v>
      </c>
      <c r="C141" s="512" t="s">
        <v>273</v>
      </c>
      <c r="D141" s="511"/>
      <c r="E141" s="119"/>
      <c r="F141" s="352"/>
      <c r="G141" s="630"/>
      <c r="H141" s="775"/>
      <c r="I141" s="633"/>
    </row>
    <row r="142" spans="1:9" ht="12.75" x14ac:dyDescent="0.25">
      <c r="A142" s="880">
        <v>131</v>
      </c>
      <c r="B142" s="355" t="s">
        <v>274</v>
      </c>
      <c r="C142" s="512" t="s">
        <v>275</v>
      </c>
      <c r="D142" s="511"/>
      <c r="E142" s="119"/>
      <c r="F142" s="352"/>
      <c r="G142" s="630"/>
      <c r="H142" s="775"/>
      <c r="I142" s="633"/>
    </row>
    <row r="143" spans="1:9" ht="12.75" x14ac:dyDescent="0.25">
      <c r="A143" s="880">
        <v>132</v>
      </c>
      <c r="B143" s="355" t="s">
        <v>276</v>
      </c>
      <c r="C143" s="512" t="s">
        <v>277</v>
      </c>
      <c r="D143" s="511"/>
      <c r="E143" s="119"/>
      <c r="F143" s="352"/>
      <c r="G143" s="630"/>
      <c r="H143" s="775"/>
      <c r="I143" s="633"/>
    </row>
    <row r="144" spans="1:9" ht="12.75" x14ac:dyDescent="0.25">
      <c r="A144" s="880">
        <v>133</v>
      </c>
      <c r="B144" s="355" t="s">
        <v>278</v>
      </c>
      <c r="C144" s="512" t="s">
        <v>279</v>
      </c>
      <c r="D144" s="511">
        <v>9132</v>
      </c>
      <c r="E144" s="119">
        <v>1237</v>
      </c>
      <c r="F144" s="352"/>
      <c r="G144" s="630"/>
      <c r="H144" s="775"/>
      <c r="I144" s="633"/>
    </row>
    <row r="145" spans="1:9" ht="12.75" x14ac:dyDescent="0.25">
      <c r="A145" s="880">
        <v>134</v>
      </c>
      <c r="B145" s="355" t="s">
        <v>280</v>
      </c>
      <c r="C145" s="512" t="s">
        <v>281</v>
      </c>
      <c r="D145" s="511"/>
      <c r="E145" s="119"/>
      <c r="F145" s="352"/>
      <c r="G145" s="630"/>
      <c r="H145" s="775"/>
      <c r="I145" s="633"/>
    </row>
    <row r="146" spans="1:9" ht="12.75" x14ac:dyDescent="0.25">
      <c r="A146" s="880">
        <v>135</v>
      </c>
      <c r="B146" s="354" t="s">
        <v>282</v>
      </c>
      <c r="C146" s="510" t="s">
        <v>283</v>
      </c>
      <c r="D146" s="511"/>
      <c r="E146" s="119"/>
      <c r="F146" s="352"/>
      <c r="G146" s="630"/>
      <c r="H146" s="775"/>
      <c r="I146" s="633"/>
    </row>
    <row r="147" spans="1:9" ht="12.75" x14ac:dyDescent="0.25">
      <c r="A147" s="880">
        <v>136</v>
      </c>
      <c r="B147" s="355" t="s">
        <v>284</v>
      </c>
      <c r="C147" s="512" t="s">
        <v>285</v>
      </c>
      <c r="D147" s="511"/>
      <c r="E147" s="119"/>
      <c r="F147" s="352"/>
      <c r="G147" s="630"/>
      <c r="H147" s="775"/>
      <c r="I147" s="633"/>
    </row>
    <row r="148" spans="1:9" ht="12.75" x14ac:dyDescent="0.25">
      <c r="A148" s="880">
        <v>137</v>
      </c>
      <c r="B148" s="363" t="s">
        <v>387</v>
      </c>
      <c r="C148" s="516" t="s">
        <v>803</v>
      </c>
      <c r="D148" s="511">
        <v>145959</v>
      </c>
      <c r="E148" s="119">
        <v>31107</v>
      </c>
      <c r="F148" s="535">
        <v>5121</v>
      </c>
      <c r="G148" s="530">
        <v>114955</v>
      </c>
      <c r="H148" s="775">
        <f>568+27</f>
        <v>595</v>
      </c>
      <c r="I148" s="633">
        <f>6820+324</f>
        <v>7144</v>
      </c>
    </row>
    <row r="149" spans="1:9" x14ac:dyDescent="0.25">
      <c r="A149" s="880">
        <v>138</v>
      </c>
      <c r="B149" s="364" t="s">
        <v>389</v>
      </c>
      <c r="C149" s="521" t="s">
        <v>390</v>
      </c>
      <c r="D149" s="511"/>
      <c r="E149" s="119"/>
      <c r="F149" s="352"/>
      <c r="G149" s="630"/>
      <c r="H149" s="535"/>
      <c r="I149" s="531"/>
    </row>
    <row r="150" spans="1:9" x14ac:dyDescent="0.25">
      <c r="A150" s="880">
        <v>139</v>
      </c>
      <c r="B150" s="363" t="s">
        <v>391</v>
      </c>
      <c r="C150" s="516" t="s">
        <v>392</v>
      </c>
      <c r="D150" s="511"/>
      <c r="E150" s="119"/>
      <c r="F150" s="352"/>
      <c r="G150" s="630"/>
      <c r="H150" s="535"/>
      <c r="I150" s="531"/>
    </row>
    <row r="151" spans="1:9" ht="12.75" thickBot="1" x14ac:dyDescent="0.3">
      <c r="A151" s="367">
        <v>140</v>
      </c>
      <c r="B151" s="368" t="s">
        <v>393</v>
      </c>
      <c r="C151" s="522" t="s">
        <v>394</v>
      </c>
      <c r="D151" s="462"/>
      <c r="E151" s="461"/>
      <c r="F151" s="523"/>
      <c r="G151" s="631"/>
      <c r="H151" s="776"/>
      <c r="I151" s="536"/>
    </row>
    <row r="152" spans="1:9" x14ac:dyDescent="0.25">
      <c r="C152" s="662"/>
      <c r="D152" s="118"/>
      <c r="E152" s="118"/>
      <c r="H152" s="118"/>
      <c r="I152" s="118"/>
    </row>
    <row r="153" spans="1:9" x14ac:dyDescent="0.25">
      <c r="D153" s="118"/>
      <c r="E153" s="118"/>
      <c r="H153" s="118"/>
      <c r="I153" s="118"/>
    </row>
    <row r="154" spans="1:9" x14ac:dyDescent="0.25">
      <c r="A154" s="1215"/>
      <c r="B154" s="1216"/>
      <c r="C154" s="1216"/>
    </row>
    <row r="155" spans="1:9" x14ac:dyDescent="0.25">
      <c r="A155" s="1217"/>
      <c r="B155" s="1217"/>
      <c r="C155" s="1217"/>
    </row>
  </sheetData>
  <mergeCells count="14">
    <mergeCell ref="A154:C155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"/>
  <sheetViews>
    <sheetView zoomScale="90" zoomScaleNormal="90" workbookViewId="0">
      <pane xSplit="3" ySplit="7" topLeftCell="G129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RowHeight="12.75" x14ac:dyDescent="0.25"/>
  <cols>
    <col min="1" max="1" width="4.5703125" style="885" customWidth="1"/>
    <col min="2" max="2" width="8.140625" style="885" customWidth="1"/>
    <col min="3" max="3" width="33" style="886" customWidth="1"/>
    <col min="4" max="6" width="10.85546875" style="887" customWidth="1"/>
    <col min="7" max="7" width="10.85546875" style="888" customWidth="1"/>
    <col min="8" max="14" width="10.85546875" style="887" customWidth="1"/>
    <col min="15" max="16384" width="9.140625" style="885"/>
  </cols>
  <sheetData>
    <row r="1" spans="1:14" ht="15.75" x14ac:dyDescent="0.25">
      <c r="A1" s="1153" t="s">
        <v>628</v>
      </c>
      <c r="B1" s="1206"/>
      <c r="C1" s="1206"/>
      <c r="D1" s="1206"/>
      <c r="E1" s="1206"/>
      <c r="F1" s="1206"/>
      <c r="G1" s="1206"/>
      <c r="H1" s="1206"/>
      <c r="I1" s="1206"/>
      <c r="J1" s="1206"/>
      <c r="K1" s="1206"/>
      <c r="L1" s="1206"/>
      <c r="M1" s="1206"/>
      <c r="N1" s="1206"/>
    </row>
    <row r="2" spans="1:14" ht="13.5" thickBot="1" x14ac:dyDescent="0.3"/>
    <row r="3" spans="1:14" s="889" customFormat="1" ht="15" customHeight="1" x14ac:dyDescent="0.25">
      <c r="A3" s="1222" t="s">
        <v>0</v>
      </c>
      <c r="B3" s="1224" t="s">
        <v>601</v>
      </c>
      <c r="C3" s="1226" t="s">
        <v>292</v>
      </c>
      <c r="D3" s="1232" t="s">
        <v>610</v>
      </c>
      <c r="E3" s="1241"/>
      <c r="F3" s="1241"/>
      <c r="G3" s="1241"/>
      <c r="H3" s="1241"/>
      <c r="I3" s="1242"/>
      <c r="J3" s="1243"/>
      <c r="K3" s="1228" t="s">
        <v>618</v>
      </c>
      <c r="L3" s="1229"/>
      <c r="M3" s="1232" t="s">
        <v>619</v>
      </c>
      <c r="N3" s="1233"/>
    </row>
    <row r="4" spans="1:14" s="889" customFormat="1" ht="24.75" customHeight="1" x14ac:dyDescent="0.25">
      <c r="A4" s="1223"/>
      <c r="B4" s="1225"/>
      <c r="C4" s="1227"/>
      <c r="D4" s="1236" t="s">
        <v>289</v>
      </c>
      <c r="E4" s="1237"/>
      <c r="F4" s="1238"/>
      <c r="G4" s="1238"/>
      <c r="H4" s="1237" t="s">
        <v>605</v>
      </c>
      <c r="I4" s="1239"/>
      <c r="J4" s="1240"/>
      <c r="K4" s="1230"/>
      <c r="L4" s="1231"/>
      <c r="M4" s="1234"/>
      <c r="N4" s="1235"/>
    </row>
    <row r="5" spans="1:14" ht="65.25" customHeight="1" x14ac:dyDescent="0.25">
      <c r="A5" s="1223"/>
      <c r="B5" s="1225"/>
      <c r="C5" s="1227"/>
      <c r="D5" s="882" t="s">
        <v>624</v>
      </c>
      <c r="E5" s="883" t="s">
        <v>625</v>
      </c>
      <c r="F5" s="883" t="s">
        <v>629</v>
      </c>
      <c r="G5" s="766" t="s">
        <v>6</v>
      </c>
      <c r="H5" s="883" t="s">
        <v>624</v>
      </c>
      <c r="I5" s="883" t="s">
        <v>625</v>
      </c>
      <c r="J5" s="767" t="s">
        <v>6</v>
      </c>
      <c r="K5" s="890" t="s">
        <v>626</v>
      </c>
      <c r="L5" s="768" t="s">
        <v>607</v>
      </c>
      <c r="M5" s="882" t="s">
        <v>608</v>
      </c>
      <c r="N5" s="582" t="s">
        <v>627</v>
      </c>
    </row>
    <row r="6" spans="1:14" ht="13.5" thickBot="1" x14ac:dyDescent="0.3">
      <c r="A6" s="769">
        <v>1</v>
      </c>
      <c r="B6" s="770">
        <v>2</v>
      </c>
      <c r="C6" s="771">
        <v>3</v>
      </c>
      <c r="D6" s="891">
        <v>4</v>
      </c>
      <c r="E6" s="892">
        <v>5</v>
      </c>
      <c r="F6" s="892">
        <v>6</v>
      </c>
      <c r="G6" s="892">
        <v>7</v>
      </c>
      <c r="H6" s="892">
        <v>8</v>
      </c>
      <c r="I6" s="892">
        <v>9</v>
      </c>
      <c r="J6" s="893">
        <v>10</v>
      </c>
      <c r="K6" s="894">
        <v>11</v>
      </c>
      <c r="L6" s="895">
        <v>12</v>
      </c>
      <c r="M6" s="891">
        <v>13</v>
      </c>
      <c r="N6" s="893">
        <v>14</v>
      </c>
    </row>
    <row r="7" spans="1:14" x14ac:dyDescent="0.25">
      <c r="A7" s="1244" t="s">
        <v>6</v>
      </c>
      <c r="B7" s="1245"/>
      <c r="C7" s="1246"/>
      <c r="D7" s="896">
        <f>SUM(D8:D10)</f>
        <v>219495</v>
      </c>
      <c r="E7" s="897">
        <f t="shared" ref="E7:N7" si="0">SUM(E8:E10)</f>
        <v>419945</v>
      </c>
      <c r="F7" s="897">
        <f t="shared" si="0"/>
        <v>99924</v>
      </c>
      <c r="G7" s="897">
        <f t="shared" si="0"/>
        <v>739364</v>
      </c>
      <c r="H7" s="897">
        <f t="shared" si="0"/>
        <v>36592</v>
      </c>
      <c r="I7" s="897">
        <f t="shared" si="0"/>
        <v>151965</v>
      </c>
      <c r="J7" s="898">
        <f t="shared" si="0"/>
        <v>188557</v>
      </c>
      <c r="K7" s="899">
        <f t="shared" si="0"/>
        <v>6603</v>
      </c>
      <c r="L7" s="900">
        <f t="shared" si="0"/>
        <v>526080</v>
      </c>
      <c r="M7" s="896">
        <f t="shared" si="0"/>
        <v>799</v>
      </c>
      <c r="N7" s="898">
        <f t="shared" si="0"/>
        <v>41540</v>
      </c>
    </row>
    <row r="8" spans="1:14" x14ac:dyDescent="0.25">
      <c r="A8" s="1247" t="s">
        <v>14</v>
      </c>
      <c r="B8" s="1248"/>
      <c r="C8" s="1249"/>
      <c r="D8" s="884"/>
      <c r="E8" s="616"/>
      <c r="F8" s="616"/>
      <c r="G8" s="901">
        <f t="shared" ref="G8:G9" si="1">SUM(D8:F8)</f>
        <v>0</v>
      </c>
      <c r="H8" s="616"/>
      <c r="I8" s="616"/>
      <c r="J8" s="902">
        <f t="shared" ref="J8:J9" si="2">SUM(H8:I8)</f>
        <v>0</v>
      </c>
      <c r="K8" s="903"/>
      <c r="L8" s="904"/>
      <c r="M8" s="884"/>
      <c r="N8" s="633"/>
    </row>
    <row r="9" spans="1:14" x14ac:dyDescent="0.25">
      <c r="A9" s="1247" t="s">
        <v>444</v>
      </c>
      <c r="B9" s="1248"/>
      <c r="C9" s="1249"/>
      <c r="D9" s="884"/>
      <c r="E9" s="616"/>
      <c r="F9" s="616"/>
      <c r="G9" s="901">
        <f t="shared" si="1"/>
        <v>0</v>
      </c>
      <c r="H9" s="616"/>
      <c r="I9" s="616"/>
      <c r="J9" s="902">
        <f t="shared" si="2"/>
        <v>0</v>
      </c>
      <c r="K9" s="903"/>
      <c r="L9" s="904"/>
      <c r="M9" s="884"/>
      <c r="N9" s="633"/>
    </row>
    <row r="10" spans="1:14" x14ac:dyDescent="0.25">
      <c r="A10" s="1247" t="s">
        <v>15</v>
      </c>
      <c r="B10" s="1248"/>
      <c r="C10" s="1249"/>
      <c r="D10" s="905">
        <f>SUM(D11:D153)-D93</f>
        <v>219495</v>
      </c>
      <c r="E10" s="901">
        <f t="shared" ref="E10:N10" si="3">SUM(E11:E153)-E93</f>
        <v>419945</v>
      </c>
      <c r="F10" s="901">
        <f t="shared" si="3"/>
        <v>99924</v>
      </c>
      <c r="G10" s="901">
        <f t="shared" si="3"/>
        <v>739364</v>
      </c>
      <c r="H10" s="901">
        <f t="shared" si="3"/>
        <v>36592</v>
      </c>
      <c r="I10" s="901">
        <f t="shared" si="3"/>
        <v>151965</v>
      </c>
      <c r="J10" s="902">
        <f t="shared" si="3"/>
        <v>188557</v>
      </c>
      <c r="K10" s="906">
        <f t="shared" si="3"/>
        <v>6603</v>
      </c>
      <c r="L10" s="907">
        <f t="shared" si="3"/>
        <v>526080</v>
      </c>
      <c r="M10" s="905">
        <f t="shared" si="3"/>
        <v>799</v>
      </c>
      <c r="N10" s="902">
        <f t="shared" si="3"/>
        <v>41540</v>
      </c>
    </row>
    <row r="11" spans="1:14" x14ac:dyDescent="0.25">
      <c r="A11" s="878">
        <v>1</v>
      </c>
      <c r="B11" s="593" t="s">
        <v>16</v>
      </c>
      <c r="C11" s="594" t="s">
        <v>17</v>
      </c>
      <c r="D11" s="884">
        <v>2850</v>
      </c>
      <c r="E11" s="616"/>
      <c r="F11" s="616"/>
      <c r="G11" s="901">
        <f>SUM(D11:F11)</f>
        <v>2850</v>
      </c>
      <c r="H11" s="616">
        <v>475</v>
      </c>
      <c r="I11" s="616"/>
      <c r="J11" s="902">
        <f>SUM(H11:I11)</f>
        <v>475</v>
      </c>
      <c r="K11" s="903"/>
      <c r="L11" s="904"/>
      <c r="M11" s="884"/>
      <c r="N11" s="633"/>
    </row>
    <row r="12" spans="1:14" x14ac:dyDescent="0.25">
      <c r="A12" s="878">
        <v>2</v>
      </c>
      <c r="B12" s="593" t="s">
        <v>18</v>
      </c>
      <c r="C12" s="594" t="s">
        <v>19</v>
      </c>
      <c r="D12" s="884">
        <v>5458</v>
      </c>
      <c r="E12" s="616"/>
      <c r="F12" s="616"/>
      <c r="G12" s="901">
        <f t="shared" ref="G12:G75" si="4">SUM(D12:F12)</f>
        <v>5458</v>
      </c>
      <c r="H12" s="616">
        <f>912+40</f>
        <v>952</v>
      </c>
      <c r="I12" s="616"/>
      <c r="J12" s="902">
        <f t="shared" ref="J12:J75" si="5">SUM(H12:I12)</f>
        <v>952</v>
      </c>
      <c r="K12" s="903"/>
      <c r="L12" s="904"/>
      <c r="M12" s="884"/>
      <c r="N12" s="633"/>
    </row>
    <row r="13" spans="1:14" x14ac:dyDescent="0.25">
      <c r="A13" s="878">
        <v>3</v>
      </c>
      <c r="B13" s="600" t="s">
        <v>20</v>
      </c>
      <c r="C13" s="601" t="s">
        <v>21</v>
      </c>
      <c r="D13" s="884"/>
      <c r="E13" s="616"/>
      <c r="F13" s="616"/>
      <c r="G13" s="901">
        <f t="shared" si="4"/>
        <v>0</v>
      </c>
      <c r="H13" s="616"/>
      <c r="I13" s="616"/>
      <c r="J13" s="902">
        <f t="shared" si="5"/>
        <v>0</v>
      </c>
      <c r="K13" s="903"/>
      <c r="L13" s="904"/>
      <c r="M13" s="884"/>
      <c r="N13" s="633"/>
    </row>
    <row r="14" spans="1:14" x14ac:dyDescent="0.25">
      <c r="A14" s="878">
        <v>4</v>
      </c>
      <c r="B14" s="593" t="s">
        <v>22</v>
      </c>
      <c r="C14" s="594" t="s">
        <v>23</v>
      </c>
      <c r="D14" s="884">
        <v>2250</v>
      </c>
      <c r="E14" s="616"/>
      <c r="F14" s="616"/>
      <c r="G14" s="901">
        <f t="shared" si="4"/>
        <v>2250</v>
      </c>
      <c r="H14" s="616">
        <v>375</v>
      </c>
      <c r="I14" s="616"/>
      <c r="J14" s="902">
        <f t="shared" si="5"/>
        <v>375</v>
      </c>
      <c r="K14" s="903"/>
      <c r="L14" s="904"/>
      <c r="M14" s="884"/>
      <c r="N14" s="633"/>
    </row>
    <row r="15" spans="1:14" x14ac:dyDescent="0.25">
      <c r="A15" s="878">
        <v>5</v>
      </c>
      <c r="B15" s="593" t="s">
        <v>24</v>
      </c>
      <c r="C15" s="594" t="s">
        <v>25</v>
      </c>
      <c r="D15" s="884">
        <v>3000</v>
      </c>
      <c r="E15" s="616"/>
      <c r="F15" s="616"/>
      <c r="G15" s="901">
        <f t="shared" si="4"/>
        <v>3000</v>
      </c>
      <c r="H15" s="616">
        <v>500</v>
      </c>
      <c r="I15" s="616"/>
      <c r="J15" s="902">
        <f t="shared" si="5"/>
        <v>500</v>
      </c>
      <c r="K15" s="903"/>
      <c r="L15" s="904"/>
      <c r="M15" s="884"/>
      <c r="N15" s="633"/>
    </row>
    <row r="16" spans="1:14" x14ac:dyDescent="0.25">
      <c r="A16" s="878">
        <v>6</v>
      </c>
      <c r="B16" s="600" t="s">
        <v>26</v>
      </c>
      <c r="C16" s="601" t="s">
        <v>27</v>
      </c>
      <c r="D16" s="884">
        <v>1500</v>
      </c>
      <c r="E16" s="616"/>
      <c r="F16" s="616"/>
      <c r="G16" s="901">
        <f t="shared" si="4"/>
        <v>1500</v>
      </c>
      <c r="H16" s="616">
        <v>250</v>
      </c>
      <c r="I16" s="616"/>
      <c r="J16" s="902">
        <f t="shared" si="5"/>
        <v>250</v>
      </c>
      <c r="K16" s="903"/>
      <c r="L16" s="904"/>
      <c r="M16" s="884"/>
      <c r="N16" s="633"/>
    </row>
    <row r="17" spans="1:14" x14ac:dyDescent="0.25">
      <c r="A17" s="878">
        <v>7</v>
      </c>
      <c r="B17" s="883" t="s">
        <v>28</v>
      </c>
      <c r="C17" s="603" t="s">
        <v>29</v>
      </c>
      <c r="D17" s="884">
        <f>5625+67</f>
        <v>5692</v>
      </c>
      <c r="E17" s="616"/>
      <c r="F17" s="616"/>
      <c r="G17" s="901">
        <f t="shared" si="4"/>
        <v>5692</v>
      </c>
      <c r="H17" s="616">
        <f>938+80</f>
        <v>1018</v>
      </c>
      <c r="I17" s="616"/>
      <c r="J17" s="902">
        <f t="shared" si="5"/>
        <v>1018</v>
      </c>
      <c r="K17" s="903"/>
      <c r="L17" s="904"/>
      <c r="M17" s="884"/>
      <c r="N17" s="633"/>
    </row>
    <row r="18" spans="1:14" x14ac:dyDescent="0.25">
      <c r="A18" s="878">
        <v>8</v>
      </c>
      <c r="B18" s="600" t="s">
        <v>30</v>
      </c>
      <c r="C18" s="601" t="s">
        <v>31</v>
      </c>
      <c r="D18" s="884">
        <f>3375-1075</f>
        <v>2300</v>
      </c>
      <c r="E18" s="616"/>
      <c r="F18" s="616"/>
      <c r="G18" s="901">
        <f t="shared" si="4"/>
        <v>2300</v>
      </c>
      <c r="H18" s="616">
        <f>562-262</f>
        <v>300</v>
      </c>
      <c r="I18" s="616"/>
      <c r="J18" s="902">
        <f t="shared" si="5"/>
        <v>300</v>
      </c>
      <c r="K18" s="903"/>
      <c r="L18" s="904"/>
      <c r="M18" s="884"/>
      <c r="N18" s="633"/>
    </row>
    <row r="19" spans="1:14" x14ac:dyDescent="0.25">
      <c r="A19" s="878">
        <v>9</v>
      </c>
      <c r="B19" s="600" t="s">
        <v>32</v>
      </c>
      <c r="C19" s="601" t="s">
        <v>33</v>
      </c>
      <c r="D19" s="884">
        <v>3750</v>
      </c>
      <c r="E19" s="616"/>
      <c r="F19" s="616"/>
      <c r="G19" s="901">
        <f t="shared" si="4"/>
        <v>3750</v>
      </c>
      <c r="H19" s="616">
        <v>625</v>
      </c>
      <c r="I19" s="616"/>
      <c r="J19" s="902">
        <f t="shared" si="5"/>
        <v>625</v>
      </c>
      <c r="K19" s="903"/>
      <c r="L19" s="904"/>
      <c r="M19" s="884"/>
      <c r="N19" s="633"/>
    </row>
    <row r="20" spans="1:14" x14ac:dyDescent="0.25">
      <c r="A20" s="878">
        <v>10</v>
      </c>
      <c r="B20" s="600" t="s">
        <v>34</v>
      </c>
      <c r="C20" s="601" t="s">
        <v>35</v>
      </c>
      <c r="D20" s="884">
        <v>2625</v>
      </c>
      <c r="E20" s="616"/>
      <c r="F20" s="616"/>
      <c r="G20" s="901">
        <f t="shared" si="4"/>
        <v>2625</v>
      </c>
      <c r="H20" s="616">
        <f>438+30</f>
        <v>468</v>
      </c>
      <c r="I20" s="616"/>
      <c r="J20" s="902">
        <f t="shared" si="5"/>
        <v>468</v>
      </c>
      <c r="K20" s="903"/>
      <c r="L20" s="904"/>
      <c r="M20" s="884"/>
      <c r="N20" s="633"/>
    </row>
    <row r="21" spans="1:14" x14ac:dyDescent="0.25">
      <c r="A21" s="878">
        <v>11</v>
      </c>
      <c r="B21" s="600" t="s">
        <v>36</v>
      </c>
      <c r="C21" s="601" t="s">
        <v>37</v>
      </c>
      <c r="D21" s="884">
        <v>3418</v>
      </c>
      <c r="E21" s="616"/>
      <c r="F21" s="616"/>
      <c r="G21" s="901">
        <f t="shared" si="4"/>
        <v>3418</v>
      </c>
      <c r="H21" s="616">
        <v>569</v>
      </c>
      <c r="I21" s="616"/>
      <c r="J21" s="902">
        <f t="shared" si="5"/>
        <v>569</v>
      </c>
      <c r="K21" s="903"/>
      <c r="L21" s="904"/>
      <c r="M21" s="884"/>
      <c r="N21" s="633"/>
    </row>
    <row r="22" spans="1:14" x14ac:dyDescent="0.25">
      <c r="A22" s="878">
        <v>12</v>
      </c>
      <c r="B22" s="600" t="s">
        <v>38</v>
      </c>
      <c r="C22" s="601" t="s">
        <v>39</v>
      </c>
      <c r="D22" s="884">
        <v>6525</v>
      </c>
      <c r="E22" s="616"/>
      <c r="F22" s="616"/>
      <c r="G22" s="901">
        <f t="shared" si="4"/>
        <v>6525</v>
      </c>
      <c r="H22" s="616">
        <v>1088</v>
      </c>
      <c r="I22" s="616"/>
      <c r="J22" s="902">
        <f t="shared" si="5"/>
        <v>1088</v>
      </c>
      <c r="K22" s="903"/>
      <c r="L22" s="904"/>
      <c r="M22" s="884"/>
      <c r="N22" s="633"/>
    </row>
    <row r="23" spans="1:14" x14ac:dyDescent="0.25">
      <c r="A23" s="878">
        <v>13</v>
      </c>
      <c r="B23" s="604" t="s">
        <v>40</v>
      </c>
      <c r="C23" s="605" t="s">
        <v>41</v>
      </c>
      <c r="D23" s="884"/>
      <c r="E23" s="616"/>
      <c r="F23" s="616"/>
      <c r="G23" s="901">
        <f t="shared" si="4"/>
        <v>0</v>
      </c>
      <c r="H23" s="616"/>
      <c r="I23" s="616"/>
      <c r="J23" s="902">
        <f t="shared" si="5"/>
        <v>0</v>
      </c>
      <c r="K23" s="903"/>
      <c r="L23" s="904"/>
      <c r="M23" s="884"/>
      <c r="N23" s="633"/>
    </row>
    <row r="24" spans="1:14" x14ac:dyDescent="0.25">
      <c r="A24" s="878">
        <v>14</v>
      </c>
      <c r="B24" s="606" t="s">
        <v>42</v>
      </c>
      <c r="C24" s="607" t="s">
        <v>43</v>
      </c>
      <c r="D24" s="884"/>
      <c r="E24" s="616"/>
      <c r="F24" s="616"/>
      <c r="G24" s="901">
        <f t="shared" si="4"/>
        <v>0</v>
      </c>
      <c r="H24" s="616"/>
      <c r="I24" s="616"/>
      <c r="J24" s="902">
        <f t="shared" si="5"/>
        <v>0</v>
      </c>
      <c r="K24" s="903"/>
      <c r="L24" s="904"/>
      <c r="M24" s="884"/>
      <c r="N24" s="633"/>
    </row>
    <row r="25" spans="1:14" x14ac:dyDescent="0.25">
      <c r="A25" s="878">
        <v>15</v>
      </c>
      <c r="B25" s="600" t="s">
        <v>44</v>
      </c>
      <c r="C25" s="601" t="s">
        <v>45</v>
      </c>
      <c r="D25" s="884">
        <f>4575+182</f>
        <v>4757</v>
      </c>
      <c r="E25" s="616"/>
      <c r="F25" s="616"/>
      <c r="G25" s="901">
        <f t="shared" si="4"/>
        <v>4757</v>
      </c>
      <c r="H25" s="616">
        <v>762</v>
      </c>
      <c r="I25" s="616"/>
      <c r="J25" s="902">
        <f t="shared" si="5"/>
        <v>762</v>
      </c>
      <c r="K25" s="903"/>
      <c r="L25" s="904"/>
      <c r="M25" s="884"/>
      <c r="N25" s="633"/>
    </row>
    <row r="26" spans="1:14" x14ac:dyDescent="0.25">
      <c r="A26" s="878">
        <v>16</v>
      </c>
      <c r="B26" s="600" t="s">
        <v>46</v>
      </c>
      <c r="C26" s="601" t="s">
        <v>47</v>
      </c>
      <c r="D26" s="884">
        <v>6000</v>
      </c>
      <c r="E26" s="616"/>
      <c r="F26" s="616"/>
      <c r="G26" s="901">
        <f t="shared" si="4"/>
        <v>6000</v>
      </c>
      <c r="H26" s="616">
        <v>1000</v>
      </c>
      <c r="I26" s="616"/>
      <c r="J26" s="902">
        <f t="shared" si="5"/>
        <v>1000</v>
      </c>
      <c r="K26" s="903"/>
      <c r="L26" s="904"/>
      <c r="M26" s="884"/>
      <c r="N26" s="633"/>
    </row>
    <row r="27" spans="1:14" x14ac:dyDescent="0.25">
      <c r="A27" s="878">
        <v>17</v>
      </c>
      <c r="B27" s="600" t="s">
        <v>48</v>
      </c>
      <c r="C27" s="601" t="s">
        <v>49</v>
      </c>
      <c r="D27" s="884">
        <v>7500</v>
      </c>
      <c r="E27" s="616"/>
      <c r="F27" s="616"/>
      <c r="G27" s="901">
        <f t="shared" si="4"/>
        <v>7500</v>
      </c>
      <c r="H27" s="616">
        <v>1250</v>
      </c>
      <c r="I27" s="616"/>
      <c r="J27" s="902">
        <f t="shared" si="5"/>
        <v>1250</v>
      </c>
      <c r="K27" s="903"/>
      <c r="L27" s="904"/>
      <c r="M27" s="884"/>
      <c r="N27" s="633"/>
    </row>
    <row r="28" spans="1:14" x14ac:dyDescent="0.25">
      <c r="A28" s="878">
        <v>18</v>
      </c>
      <c r="B28" s="600" t="s">
        <v>50</v>
      </c>
      <c r="C28" s="601" t="s">
        <v>51</v>
      </c>
      <c r="D28" s="884"/>
      <c r="E28" s="616"/>
      <c r="F28" s="616"/>
      <c r="G28" s="901">
        <f t="shared" si="4"/>
        <v>0</v>
      </c>
      <c r="H28" s="616"/>
      <c r="I28" s="616"/>
      <c r="J28" s="902">
        <f t="shared" si="5"/>
        <v>0</v>
      </c>
      <c r="K28" s="903"/>
      <c r="L28" s="904"/>
      <c r="M28" s="884"/>
      <c r="N28" s="633"/>
    </row>
    <row r="29" spans="1:14" x14ac:dyDescent="0.25">
      <c r="A29" s="878">
        <v>19</v>
      </c>
      <c r="B29" s="593" t="s">
        <v>52</v>
      </c>
      <c r="C29" s="594" t="s">
        <v>53</v>
      </c>
      <c r="D29" s="884">
        <v>2250</v>
      </c>
      <c r="E29" s="616"/>
      <c r="F29" s="616"/>
      <c r="G29" s="901">
        <f t="shared" si="4"/>
        <v>2250</v>
      </c>
      <c r="H29" s="616">
        <v>375</v>
      </c>
      <c r="I29" s="616"/>
      <c r="J29" s="902">
        <f t="shared" si="5"/>
        <v>375</v>
      </c>
      <c r="K29" s="903"/>
      <c r="L29" s="904"/>
      <c r="M29" s="884"/>
      <c r="N29" s="633"/>
    </row>
    <row r="30" spans="1:14" x14ac:dyDescent="0.25">
      <c r="A30" s="878">
        <v>20</v>
      </c>
      <c r="B30" s="593" t="s">
        <v>54</v>
      </c>
      <c r="C30" s="594" t="s">
        <v>55</v>
      </c>
      <c r="D30" s="884">
        <v>2250</v>
      </c>
      <c r="E30" s="616"/>
      <c r="F30" s="616"/>
      <c r="G30" s="901">
        <f t="shared" si="4"/>
        <v>2250</v>
      </c>
      <c r="H30" s="616">
        <v>375</v>
      </c>
      <c r="I30" s="616"/>
      <c r="J30" s="902">
        <f t="shared" si="5"/>
        <v>375</v>
      </c>
      <c r="K30" s="903"/>
      <c r="L30" s="904"/>
      <c r="M30" s="884"/>
      <c r="N30" s="633"/>
    </row>
    <row r="31" spans="1:14" x14ac:dyDescent="0.25">
      <c r="A31" s="878">
        <v>21</v>
      </c>
      <c r="B31" s="593" t="s">
        <v>56</v>
      </c>
      <c r="C31" s="594" t="s">
        <v>57</v>
      </c>
      <c r="D31" s="884">
        <v>5250</v>
      </c>
      <c r="E31" s="616"/>
      <c r="F31" s="616"/>
      <c r="G31" s="901">
        <f t="shared" si="4"/>
        <v>5250</v>
      </c>
      <c r="H31" s="616">
        <v>875</v>
      </c>
      <c r="I31" s="616"/>
      <c r="J31" s="902">
        <f t="shared" si="5"/>
        <v>875</v>
      </c>
      <c r="K31" s="903"/>
      <c r="L31" s="904"/>
      <c r="M31" s="884"/>
      <c r="N31" s="633"/>
    </row>
    <row r="32" spans="1:14" x14ac:dyDescent="0.25">
      <c r="A32" s="878">
        <v>22</v>
      </c>
      <c r="B32" s="593" t="s">
        <v>58</v>
      </c>
      <c r="C32" s="594" t="s">
        <v>59</v>
      </c>
      <c r="D32" s="884"/>
      <c r="E32" s="616"/>
      <c r="F32" s="616"/>
      <c r="G32" s="901">
        <f t="shared" si="4"/>
        <v>0</v>
      </c>
      <c r="H32" s="616"/>
      <c r="I32" s="616"/>
      <c r="J32" s="902">
        <f t="shared" si="5"/>
        <v>0</v>
      </c>
      <c r="K32" s="903"/>
      <c r="L32" s="904"/>
      <c r="M32" s="884"/>
      <c r="N32" s="633"/>
    </row>
    <row r="33" spans="1:14" x14ac:dyDescent="0.25">
      <c r="A33" s="878">
        <v>23</v>
      </c>
      <c r="B33" s="600" t="s">
        <v>60</v>
      </c>
      <c r="C33" s="601" t="s">
        <v>61</v>
      </c>
      <c r="D33" s="884"/>
      <c r="E33" s="616"/>
      <c r="F33" s="616"/>
      <c r="G33" s="901">
        <f t="shared" si="4"/>
        <v>0</v>
      </c>
      <c r="H33" s="616"/>
      <c r="I33" s="616"/>
      <c r="J33" s="902">
        <f t="shared" si="5"/>
        <v>0</v>
      </c>
      <c r="K33" s="903"/>
      <c r="L33" s="904"/>
      <c r="M33" s="884"/>
      <c r="N33" s="633"/>
    </row>
    <row r="34" spans="1:14" x14ac:dyDescent="0.25">
      <c r="A34" s="878">
        <v>24</v>
      </c>
      <c r="B34" s="600" t="s">
        <v>62</v>
      </c>
      <c r="C34" s="601" t="s">
        <v>63</v>
      </c>
      <c r="D34" s="884"/>
      <c r="E34" s="616"/>
      <c r="F34" s="616"/>
      <c r="G34" s="901">
        <f t="shared" si="4"/>
        <v>0</v>
      </c>
      <c r="H34" s="616"/>
      <c r="I34" s="616"/>
      <c r="J34" s="902">
        <f t="shared" si="5"/>
        <v>0</v>
      </c>
      <c r="K34" s="903"/>
      <c r="L34" s="904"/>
      <c r="M34" s="884"/>
      <c r="N34" s="633"/>
    </row>
    <row r="35" spans="1:14" ht="25.5" x14ac:dyDescent="0.25">
      <c r="A35" s="878">
        <v>25</v>
      </c>
      <c r="B35" s="600" t="s">
        <v>64</v>
      </c>
      <c r="C35" s="601" t="s">
        <v>65</v>
      </c>
      <c r="D35" s="884"/>
      <c r="E35" s="616"/>
      <c r="F35" s="616"/>
      <c r="G35" s="901">
        <f t="shared" si="4"/>
        <v>0</v>
      </c>
      <c r="H35" s="616"/>
      <c r="I35" s="616"/>
      <c r="J35" s="902">
        <f t="shared" si="5"/>
        <v>0</v>
      </c>
      <c r="K35" s="903"/>
      <c r="L35" s="904"/>
      <c r="M35" s="884"/>
      <c r="N35" s="633"/>
    </row>
    <row r="36" spans="1:14" x14ac:dyDescent="0.25">
      <c r="A36" s="878">
        <v>26</v>
      </c>
      <c r="B36" s="593" t="s">
        <v>66</v>
      </c>
      <c r="C36" s="603" t="s">
        <v>67</v>
      </c>
      <c r="D36" s="884">
        <f>0+3281+425</f>
        <v>3706</v>
      </c>
      <c r="E36" s="616"/>
      <c r="F36" s="616"/>
      <c r="G36" s="901">
        <f t="shared" si="4"/>
        <v>3706</v>
      </c>
      <c r="H36" s="616">
        <f>0+547+214</f>
        <v>761</v>
      </c>
      <c r="I36" s="616"/>
      <c r="J36" s="902">
        <f t="shared" si="5"/>
        <v>761</v>
      </c>
      <c r="K36" s="903"/>
      <c r="L36" s="904"/>
      <c r="M36" s="884"/>
      <c r="N36" s="633"/>
    </row>
    <row r="37" spans="1:14" x14ac:dyDescent="0.25">
      <c r="A37" s="878">
        <v>27</v>
      </c>
      <c r="B37" s="600" t="s">
        <v>68</v>
      </c>
      <c r="C37" s="601" t="s">
        <v>69</v>
      </c>
      <c r="D37" s="884">
        <f>5625-3281-425</f>
        <v>1919</v>
      </c>
      <c r="E37" s="616"/>
      <c r="F37" s="616"/>
      <c r="G37" s="901">
        <f t="shared" si="4"/>
        <v>1919</v>
      </c>
      <c r="H37" s="616">
        <f>938-547-214</f>
        <v>177</v>
      </c>
      <c r="I37" s="616"/>
      <c r="J37" s="902">
        <f t="shared" si="5"/>
        <v>177</v>
      </c>
      <c r="K37" s="903"/>
      <c r="L37" s="904"/>
      <c r="M37" s="884"/>
      <c r="N37" s="633"/>
    </row>
    <row r="38" spans="1:14" x14ac:dyDescent="0.25">
      <c r="A38" s="878">
        <v>28</v>
      </c>
      <c r="B38" s="600" t="s">
        <v>70</v>
      </c>
      <c r="C38" s="601" t="s">
        <v>71</v>
      </c>
      <c r="D38" s="884"/>
      <c r="E38" s="616"/>
      <c r="F38" s="616"/>
      <c r="G38" s="901">
        <f t="shared" si="4"/>
        <v>0</v>
      </c>
      <c r="H38" s="616"/>
      <c r="I38" s="616"/>
      <c r="J38" s="902">
        <f t="shared" si="5"/>
        <v>0</v>
      </c>
      <c r="K38" s="903"/>
      <c r="L38" s="904"/>
      <c r="M38" s="884"/>
      <c r="N38" s="633"/>
    </row>
    <row r="39" spans="1:14" x14ac:dyDescent="0.25">
      <c r="A39" s="878">
        <v>29</v>
      </c>
      <c r="B39" s="593" t="s">
        <v>72</v>
      </c>
      <c r="C39" s="594" t="s">
        <v>73</v>
      </c>
      <c r="D39" s="884"/>
      <c r="E39" s="616"/>
      <c r="F39" s="616"/>
      <c r="G39" s="901">
        <f t="shared" si="4"/>
        <v>0</v>
      </c>
      <c r="H39" s="616"/>
      <c r="I39" s="616"/>
      <c r="J39" s="902">
        <f t="shared" si="5"/>
        <v>0</v>
      </c>
      <c r="K39" s="903"/>
      <c r="L39" s="904"/>
      <c r="M39" s="884"/>
      <c r="N39" s="633"/>
    </row>
    <row r="40" spans="1:14" ht="25.5" x14ac:dyDescent="0.25">
      <c r="A40" s="878">
        <v>30</v>
      </c>
      <c r="B40" s="593" t="s">
        <v>74</v>
      </c>
      <c r="C40" s="603" t="s">
        <v>377</v>
      </c>
      <c r="D40" s="884"/>
      <c r="E40" s="616"/>
      <c r="F40" s="616"/>
      <c r="G40" s="901">
        <f t="shared" si="4"/>
        <v>0</v>
      </c>
      <c r="H40" s="616"/>
      <c r="I40" s="616"/>
      <c r="J40" s="902">
        <f t="shared" si="5"/>
        <v>0</v>
      </c>
      <c r="K40" s="903"/>
      <c r="L40" s="904"/>
      <c r="M40" s="884"/>
      <c r="N40" s="633"/>
    </row>
    <row r="41" spans="1:14" x14ac:dyDescent="0.25">
      <c r="A41" s="878">
        <v>31</v>
      </c>
      <c r="B41" s="593" t="s">
        <v>75</v>
      </c>
      <c r="C41" s="594" t="s">
        <v>76</v>
      </c>
      <c r="D41" s="884"/>
      <c r="E41" s="616"/>
      <c r="F41" s="616"/>
      <c r="G41" s="901">
        <f t="shared" si="4"/>
        <v>0</v>
      </c>
      <c r="H41" s="616"/>
      <c r="I41" s="616"/>
      <c r="J41" s="902">
        <f t="shared" si="5"/>
        <v>0</v>
      </c>
      <c r="K41" s="903"/>
      <c r="L41" s="904"/>
      <c r="M41" s="884"/>
      <c r="N41" s="633"/>
    </row>
    <row r="42" spans="1:14" x14ac:dyDescent="0.25">
      <c r="A42" s="878">
        <v>32</v>
      </c>
      <c r="B42" s="600" t="s">
        <v>77</v>
      </c>
      <c r="C42" s="601" t="s">
        <v>78</v>
      </c>
      <c r="D42" s="884"/>
      <c r="E42" s="616"/>
      <c r="F42" s="616"/>
      <c r="G42" s="901">
        <f t="shared" si="4"/>
        <v>0</v>
      </c>
      <c r="H42" s="616"/>
      <c r="I42" s="616"/>
      <c r="J42" s="902">
        <f t="shared" si="5"/>
        <v>0</v>
      </c>
      <c r="K42" s="903"/>
      <c r="L42" s="904"/>
      <c r="M42" s="884"/>
      <c r="N42" s="633"/>
    </row>
    <row r="43" spans="1:14" x14ac:dyDescent="0.25">
      <c r="A43" s="878">
        <v>33</v>
      </c>
      <c r="B43" s="593" t="s">
        <v>79</v>
      </c>
      <c r="C43" s="594" t="s">
        <v>80</v>
      </c>
      <c r="D43" s="884"/>
      <c r="E43" s="616"/>
      <c r="F43" s="616"/>
      <c r="G43" s="901">
        <f t="shared" si="4"/>
        <v>0</v>
      </c>
      <c r="H43" s="616"/>
      <c r="I43" s="616"/>
      <c r="J43" s="902">
        <f t="shared" si="5"/>
        <v>0</v>
      </c>
      <c r="K43" s="903"/>
      <c r="L43" s="904"/>
      <c r="M43" s="884"/>
      <c r="N43" s="633"/>
    </row>
    <row r="44" spans="1:14" x14ac:dyDescent="0.25">
      <c r="A44" s="878">
        <v>34</v>
      </c>
      <c r="B44" s="883" t="s">
        <v>81</v>
      </c>
      <c r="C44" s="603" t="s">
        <v>82</v>
      </c>
      <c r="D44" s="884">
        <v>3750</v>
      </c>
      <c r="E44" s="616"/>
      <c r="F44" s="616"/>
      <c r="G44" s="901">
        <f t="shared" si="4"/>
        <v>3750</v>
      </c>
      <c r="H44" s="616">
        <f>625+30</f>
        <v>655</v>
      </c>
      <c r="I44" s="616"/>
      <c r="J44" s="902">
        <f t="shared" si="5"/>
        <v>655</v>
      </c>
      <c r="K44" s="903"/>
      <c r="L44" s="904"/>
      <c r="M44" s="884"/>
      <c r="N44" s="633"/>
    </row>
    <row r="45" spans="1:14" x14ac:dyDescent="0.25">
      <c r="A45" s="878">
        <v>35</v>
      </c>
      <c r="B45" s="593" t="s">
        <v>83</v>
      </c>
      <c r="C45" s="594" t="s">
        <v>84</v>
      </c>
      <c r="D45" s="884"/>
      <c r="E45" s="616"/>
      <c r="F45" s="616"/>
      <c r="G45" s="901">
        <f t="shared" si="4"/>
        <v>0</v>
      </c>
      <c r="H45" s="616"/>
      <c r="I45" s="616"/>
      <c r="J45" s="902">
        <f t="shared" si="5"/>
        <v>0</v>
      </c>
      <c r="K45" s="903"/>
      <c r="L45" s="904"/>
      <c r="M45" s="884"/>
      <c r="N45" s="633"/>
    </row>
    <row r="46" spans="1:14" x14ac:dyDescent="0.25">
      <c r="A46" s="878">
        <v>36</v>
      </c>
      <c r="B46" s="593" t="s">
        <v>85</v>
      </c>
      <c r="C46" s="594" t="s">
        <v>86</v>
      </c>
      <c r="D46" s="884">
        <f>3750+141</f>
        <v>3891</v>
      </c>
      <c r="E46" s="616"/>
      <c r="F46" s="616"/>
      <c r="G46" s="901">
        <f t="shared" si="4"/>
        <v>3891</v>
      </c>
      <c r="H46" s="616">
        <v>625</v>
      </c>
      <c r="I46" s="616"/>
      <c r="J46" s="902">
        <f t="shared" si="5"/>
        <v>625</v>
      </c>
      <c r="K46" s="903"/>
      <c r="L46" s="904"/>
      <c r="M46" s="884"/>
      <c r="N46" s="633"/>
    </row>
    <row r="47" spans="1:14" x14ac:dyDescent="0.25">
      <c r="A47" s="878">
        <v>37</v>
      </c>
      <c r="B47" s="600" t="s">
        <v>87</v>
      </c>
      <c r="C47" s="601" t="s">
        <v>88</v>
      </c>
      <c r="D47" s="884">
        <v>11250</v>
      </c>
      <c r="E47" s="616"/>
      <c r="F47" s="616"/>
      <c r="G47" s="901">
        <f t="shared" si="4"/>
        <v>11250</v>
      </c>
      <c r="H47" s="616">
        <v>1875</v>
      </c>
      <c r="I47" s="616"/>
      <c r="J47" s="902">
        <f t="shared" si="5"/>
        <v>1875</v>
      </c>
      <c r="K47" s="903"/>
      <c r="L47" s="904"/>
      <c r="M47" s="884"/>
      <c r="N47" s="633"/>
    </row>
    <row r="48" spans="1:14" x14ac:dyDescent="0.25">
      <c r="A48" s="878">
        <v>38</v>
      </c>
      <c r="B48" s="593" t="s">
        <v>89</v>
      </c>
      <c r="C48" s="594" t="s">
        <v>90</v>
      </c>
      <c r="D48" s="884">
        <v>3000</v>
      </c>
      <c r="E48" s="616"/>
      <c r="F48" s="616"/>
      <c r="G48" s="901">
        <f t="shared" si="4"/>
        <v>3000</v>
      </c>
      <c r="H48" s="616">
        <v>500</v>
      </c>
      <c r="I48" s="616"/>
      <c r="J48" s="902">
        <f t="shared" si="5"/>
        <v>500</v>
      </c>
      <c r="K48" s="903"/>
      <c r="L48" s="904"/>
      <c r="M48" s="884"/>
      <c r="N48" s="633"/>
    </row>
    <row r="49" spans="1:14" ht="20.25" customHeight="1" x14ac:dyDescent="0.25">
      <c r="A49" s="878">
        <v>39</v>
      </c>
      <c r="B49" s="593" t="s">
        <v>91</v>
      </c>
      <c r="C49" s="594" t="s">
        <v>92</v>
      </c>
      <c r="D49" s="884">
        <f>2700+40</f>
        <v>2740</v>
      </c>
      <c r="E49" s="616"/>
      <c r="F49" s="616"/>
      <c r="G49" s="901">
        <f t="shared" si="4"/>
        <v>2740</v>
      </c>
      <c r="H49" s="616">
        <f>450+30</f>
        <v>480</v>
      </c>
      <c r="I49" s="616"/>
      <c r="J49" s="902">
        <f t="shared" si="5"/>
        <v>480</v>
      </c>
      <c r="K49" s="903"/>
      <c r="L49" s="904"/>
      <c r="M49" s="884"/>
      <c r="N49" s="633"/>
    </row>
    <row r="50" spans="1:14" x14ac:dyDescent="0.25">
      <c r="A50" s="878">
        <v>40</v>
      </c>
      <c r="B50" s="608" t="s">
        <v>93</v>
      </c>
      <c r="C50" s="609" t="s">
        <v>94</v>
      </c>
      <c r="D50" s="884">
        <f>5025+65</f>
        <v>5090</v>
      </c>
      <c r="E50" s="616"/>
      <c r="F50" s="616"/>
      <c r="G50" s="901">
        <f t="shared" si="4"/>
        <v>5090</v>
      </c>
      <c r="H50" s="616">
        <f>838+42</f>
        <v>880</v>
      </c>
      <c r="I50" s="616"/>
      <c r="J50" s="902">
        <f t="shared" si="5"/>
        <v>880</v>
      </c>
      <c r="K50" s="903"/>
      <c r="L50" s="904"/>
      <c r="M50" s="884"/>
      <c r="N50" s="633"/>
    </row>
    <row r="51" spans="1:14" x14ac:dyDescent="0.25">
      <c r="A51" s="878">
        <v>41</v>
      </c>
      <c r="B51" s="593" t="s">
        <v>95</v>
      </c>
      <c r="C51" s="594" t="s">
        <v>96</v>
      </c>
      <c r="D51" s="884">
        <f>2819+40</f>
        <v>2859</v>
      </c>
      <c r="E51" s="616"/>
      <c r="F51" s="616"/>
      <c r="G51" s="901">
        <f t="shared" si="4"/>
        <v>2859</v>
      </c>
      <c r="H51" s="616">
        <f>470+20</f>
        <v>490</v>
      </c>
      <c r="I51" s="616"/>
      <c r="J51" s="902">
        <f t="shared" si="5"/>
        <v>490</v>
      </c>
      <c r="K51" s="903"/>
      <c r="L51" s="904"/>
      <c r="M51" s="884"/>
      <c r="N51" s="633"/>
    </row>
    <row r="52" spans="1:14" x14ac:dyDescent="0.25">
      <c r="A52" s="878">
        <v>42</v>
      </c>
      <c r="B52" s="883" t="s">
        <v>97</v>
      </c>
      <c r="C52" s="603" t="s">
        <v>98</v>
      </c>
      <c r="D52" s="884"/>
      <c r="E52" s="616"/>
      <c r="F52" s="616"/>
      <c r="G52" s="901">
        <f t="shared" si="4"/>
        <v>0</v>
      </c>
      <c r="H52" s="616"/>
      <c r="I52" s="616"/>
      <c r="J52" s="902">
        <f t="shared" si="5"/>
        <v>0</v>
      </c>
      <c r="K52" s="903"/>
      <c r="L52" s="904"/>
      <c r="M52" s="884"/>
      <c r="N52" s="633"/>
    </row>
    <row r="53" spans="1:14" x14ac:dyDescent="0.25">
      <c r="A53" s="878">
        <v>43</v>
      </c>
      <c r="B53" s="600" t="s">
        <v>99</v>
      </c>
      <c r="C53" s="601" t="s">
        <v>100</v>
      </c>
      <c r="D53" s="884"/>
      <c r="E53" s="616"/>
      <c r="F53" s="616"/>
      <c r="G53" s="901">
        <f t="shared" si="4"/>
        <v>0</v>
      </c>
      <c r="H53" s="616"/>
      <c r="I53" s="616"/>
      <c r="J53" s="902">
        <f t="shared" si="5"/>
        <v>0</v>
      </c>
      <c r="K53" s="903"/>
      <c r="L53" s="904"/>
      <c r="M53" s="884"/>
      <c r="N53" s="633"/>
    </row>
    <row r="54" spans="1:14" x14ac:dyDescent="0.25">
      <c r="A54" s="878">
        <v>44</v>
      </c>
      <c r="B54" s="593" t="s">
        <v>101</v>
      </c>
      <c r="C54" s="594" t="s">
        <v>102</v>
      </c>
      <c r="D54" s="884">
        <v>3000</v>
      </c>
      <c r="E54" s="616"/>
      <c r="F54" s="616"/>
      <c r="G54" s="901">
        <f t="shared" si="4"/>
        <v>3000</v>
      </c>
      <c r="H54" s="616">
        <f>500+20</f>
        <v>520</v>
      </c>
      <c r="I54" s="616"/>
      <c r="J54" s="902">
        <f t="shared" si="5"/>
        <v>520</v>
      </c>
      <c r="K54" s="903"/>
      <c r="L54" s="904"/>
      <c r="M54" s="884"/>
      <c r="N54" s="633"/>
    </row>
    <row r="55" spans="1:14" x14ac:dyDescent="0.25">
      <c r="A55" s="878">
        <v>45</v>
      </c>
      <c r="B55" s="600" t="s">
        <v>103</v>
      </c>
      <c r="C55" s="601" t="s">
        <v>104</v>
      </c>
      <c r="D55" s="884">
        <v>6000</v>
      </c>
      <c r="E55" s="616"/>
      <c r="F55" s="616"/>
      <c r="G55" s="901">
        <f t="shared" si="4"/>
        <v>6000</v>
      </c>
      <c r="H55" s="616">
        <v>1000</v>
      </c>
      <c r="I55" s="616"/>
      <c r="J55" s="902">
        <f t="shared" si="5"/>
        <v>1000</v>
      </c>
      <c r="K55" s="903"/>
      <c r="L55" s="904"/>
      <c r="M55" s="884"/>
      <c r="N55" s="633"/>
    </row>
    <row r="56" spans="1:14" x14ac:dyDescent="0.25">
      <c r="A56" s="878">
        <v>46</v>
      </c>
      <c r="B56" s="593" t="s">
        <v>105</v>
      </c>
      <c r="C56" s="594" t="s">
        <v>106</v>
      </c>
      <c r="D56" s="884">
        <v>3375</v>
      </c>
      <c r="E56" s="616"/>
      <c r="F56" s="616"/>
      <c r="G56" s="901">
        <f t="shared" si="4"/>
        <v>3375</v>
      </c>
      <c r="H56" s="616">
        <f>562+70</f>
        <v>632</v>
      </c>
      <c r="I56" s="616"/>
      <c r="J56" s="902">
        <f t="shared" si="5"/>
        <v>632</v>
      </c>
      <c r="K56" s="903"/>
      <c r="L56" s="904"/>
      <c r="M56" s="884"/>
      <c r="N56" s="633"/>
    </row>
    <row r="57" spans="1:14" x14ac:dyDescent="0.25">
      <c r="A57" s="878">
        <v>47</v>
      </c>
      <c r="B57" s="593" t="s">
        <v>107</v>
      </c>
      <c r="C57" s="594" t="s">
        <v>108</v>
      </c>
      <c r="D57" s="884">
        <v>3750</v>
      </c>
      <c r="E57" s="616"/>
      <c r="F57" s="616"/>
      <c r="G57" s="901">
        <f t="shared" si="4"/>
        <v>3750</v>
      </c>
      <c r="H57" s="616">
        <f>625-600</f>
        <v>25</v>
      </c>
      <c r="I57" s="616"/>
      <c r="J57" s="902">
        <f t="shared" si="5"/>
        <v>25</v>
      </c>
      <c r="K57" s="903"/>
      <c r="L57" s="904"/>
      <c r="M57" s="884"/>
      <c r="N57" s="633"/>
    </row>
    <row r="58" spans="1:14" x14ac:dyDescent="0.25">
      <c r="A58" s="878">
        <v>48</v>
      </c>
      <c r="B58" s="600" t="s">
        <v>109</v>
      </c>
      <c r="C58" s="601" t="s">
        <v>110</v>
      </c>
      <c r="D58" s="884">
        <v>5625</v>
      </c>
      <c r="E58" s="616"/>
      <c r="F58" s="616"/>
      <c r="G58" s="901">
        <f t="shared" si="4"/>
        <v>5625</v>
      </c>
      <c r="H58" s="616">
        <f>938+130</f>
        <v>1068</v>
      </c>
      <c r="I58" s="616"/>
      <c r="J58" s="902">
        <f t="shared" si="5"/>
        <v>1068</v>
      </c>
      <c r="K58" s="903"/>
      <c r="L58" s="904"/>
      <c r="M58" s="884"/>
      <c r="N58" s="633"/>
    </row>
    <row r="59" spans="1:14" x14ac:dyDescent="0.25">
      <c r="A59" s="878">
        <v>49</v>
      </c>
      <c r="B59" s="600" t="s">
        <v>111</v>
      </c>
      <c r="C59" s="601" t="s">
        <v>112</v>
      </c>
      <c r="D59" s="884">
        <v>2250</v>
      </c>
      <c r="E59" s="616"/>
      <c r="F59" s="616"/>
      <c r="G59" s="901">
        <f t="shared" si="4"/>
        <v>2250</v>
      </c>
      <c r="H59" s="616">
        <v>375</v>
      </c>
      <c r="I59" s="616"/>
      <c r="J59" s="902">
        <f t="shared" si="5"/>
        <v>375</v>
      </c>
      <c r="K59" s="903"/>
      <c r="L59" s="904"/>
      <c r="M59" s="884"/>
      <c r="N59" s="633"/>
    </row>
    <row r="60" spans="1:14" x14ac:dyDescent="0.25">
      <c r="A60" s="878">
        <v>50</v>
      </c>
      <c r="B60" s="593" t="s">
        <v>113</v>
      </c>
      <c r="C60" s="594" t="s">
        <v>114</v>
      </c>
      <c r="D60" s="884">
        <f>3750+44</f>
        <v>3794</v>
      </c>
      <c r="E60" s="616"/>
      <c r="F60" s="616"/>
      <c r="G60" s="901">
        <f t="shared" si="4"/>
        <v>3794</v>
      </c>
      <c r="H60" s="616">
        <v>625</v>
      </c>
      <c r="I60" s="616"/>
      <c r="J60" s="902">
        <f t="shared" si="5"/>
        <v>625</v>
      </c>
      <c r="K60" s="903"/>
      <c r="L60" s="904"/>
      <c r="M60" s="884"/>
      <c r="N60" s="633"/>
    </row>
    <row r="61" spans="1:14" x14ac:dyDescent="0.25">
      <c r="A61" s="878">
        <v>51</v>
      </c>
      <c r="B61" s="600" t="s">
        <v>115</v>
      </c>
      <c r="C61" s="601" t="s">
        <v>116</v>
      </c>
      <c r="D61" s="884">
        <f>5850+227</f>
        <v>6077</v>
      </c>
      <c r="E61" s="616"/>
      <c r="F61" s="616"/>
      <c r="G61" s="901">
        <f t="shared" si="4"/>
        <v>6077</v>
      </c>
      <c r="H61" s="616">
        <f>975+80</f>
        <v>1055</v>
      </c>
      <c r="I61" s="616"/>
      <c r="J61" s="902">
        <f t="shared" si="5"/>
        <v>1055</v>
      </c>
      <c r="K61" s="903"/>
      <c r="L61" s="904"/>
      <c r="M61" s="884"/>
      <c r="N61" s="633"/>
    </row>
    <row r="62" spans="1:14" x14ac:dyDescent="0.25">
      <c r="A62" s="878">
        <v>52</v>
      </c>
      <c r="B62" s="593" t="s">
        <v>117</v>
      </c>
      <c r="C62" s="594" t="s">
        <v>118</v>
      </c>
      <c r="D62" s="884">
        <v>11250</v>
      </c>
      <c r="E62" s="616"/>
      <c r="F62" s="616"/>
      <c r="G62" s="901">
        <f t="shared" si="4"/>
        <v>11250</v>
      </c>
      <c r="H62" s="616">
        <v>1875</v>
      </c>
      <c r="I62" s="616"/>
      <c r="J62" s="902">
        <f t="shared" si="5"/>
        <v>1875</v>
      </c>
      <c r="K62" s="903"/>
      <c r="L62" s="904"/>
      <c r="M62" s="884"/>
      <c r="N62" s="633"/>
    </row>
    <row r="63" spans="1:14" x14ac:dyDescent="0.25">
      <c r="A63" s="878">
        <v>53</v>
      </c>
      <c r="B63" s="600" t="s">
        <v>119</v>
      </c>
      <c r="C63" s="601" t="s">
        <v>120</v>
      </c>
      <c r="D63" s="884">
        <v>3075</v>
      </c>
      <c r="E63" s="616"/>
      <c r="F63" s="616"/>
      <c r="G63" s="901">
        <f t="shared" si="4"/>
        <v>3075</v>
      </c>
      <c r="H63" s="616">
        <f>512+20</f>
        <v>532</v>
      </c>
      <c r="I63" s="616"/>
      <c r="J63" s="902">
        <f t="shared" si="5"/>
        <v>532</v>
      </c>
      <c r="K63" s="903"/>
      <c r="L63" s="904"/>
      <c r="M63" s="884"/>
      <c r="N63" s="633"/>
    </row>
    <row r="64" spans="1:14" s="887" customFormat="1" x14ac:dyDescent="0.25">
      <c r="A64" s="878">
        <v>54</v>
      </c>
      <c r="B64" s="600" t="s">
        <v>121</v>
      </c>
      <c r="C64" s="601" t="s">
        <v>122</v>
      </c>
      <c r="D64" s="884"/>
      <c r="E64" s="616"/>
      <c r="F64" s="616"/>
      <c r="G64" s="901">
        <f t="shared" si="4"/>
        <v>0</v>
      </c>
      <c r="H64" s="616"/>
      <c r="I64" s="616"/>
      <c r="J64" s="902">
        <f t="shared" si="5"/>
        <v>0</v>
      </c>
      <c r="K64" s="903"/>
      <c r="L64" s="904"/>
      <c r="M64" s="884"/>
      <c r="N64" s="633"/>
    </row>
    <row r="65" spans="1:14" s="887" customFormat="1" x14ac:dyDescent="0.25">
      <c r="A65" s="878">
        <v>55</v>
      </c>
      <c r="B65" s="600" t="s">
        <v>123</v>
      </c>
      <c r="C65" s="601" t="s">
        <v>124</v>
      </c>
      <c r="D65" s="884"/>
      <c r="E65" s="616"/>
      <c r="F65" s="616"/>
      <c r="G65" s="901">
        <f t="shared" si="4"/>
        <v>0</v>
      </c>
      <c r="H65" s="616"/>
      <c r="I65" s="616"/>
      <c r="J65" s="902">
        <f t="shared" si="5"/>
        <v>0</v>
      </c>
      <c r="K65" s="903"/>
      <c r="L65" s="904"/>
      <c r="M65" s="884"/>
      <c r="N65" s="633"/>
    </row>
    <row r="66" spans="1:14" x14ac:dyDescent="0.25">
      <c r="A66" s="878">
        <v>56</v>
      </c>
      <c r="B66" s="879" t="s">
        <v>125</v>
      </c>
      <c r="C66" s="611" t="s">
        <v>126</v>
      </c>
      <c r="D66" s="884"/>
      <c r="E66" s="616"/>
      <c r="F66" s="616"/>
      <c r="G66" s="901">
        <f t="shared" si="4"/>
        <v>0</v>
      </c>
      <c r="H66" s="616"/>
      <c r="I66" s="616"/>
      <c r="J66" s="902">
        <f t="shared" si="5"/>
        <v>0</v>
      </c>
      <c r="K66" s="903"/>
      <c r="L66" s="904"/>
      <c r="M66" s="884"/>
      <c r="N66" s="633"/>
    </row>
    <row r="67" spans="1:14" s="913" customFormat="1" ht="25.5" x14ac:dyDescent="0.25">
      <c r="A67" s="878">
        <v>57</v>
      </c>
      <c r="B67" s="600" t="s">
        <v>127</v>
      </c>
      <c r="C67" s="601" t="s">
        <v>128</v>
      </c>
      <c r="D67" s="884"/>
      <c r="E67" s="908"/>
      <c r="F67" s="908"/>
      <c r="G67" s="901">
        <f t="shared" si="4"/>
        <v>0</v>
      </c>
      <c r="H67" s="616"/>
      <c r="I67" s="616"/>
      <c r="J67" s="902">
        <f t="shared" si="5"/>
        <v>0</v>
      </c>
      <c r="K67" s="909"/>
      <c r="L67" s="910"/>
      <c r="M67" s="911"/>
      <c r="N67" s="912"/>
    </row>
    <row r="68" spans="1:14" ht="25.5" x14ac:dyDescent="0.25">
      <c r="A68" s="878">
        <v>58</v>
      </c>
      <c r="B68" s="600" t="s">
        <v>129</v>
      </c>
      <c r="C68" s="601" t="s">
        <v>459</v>
      </c>
      <c r="D68" s="884"/>
      <c r="E68" s="616"/>
      <c r="F68" s="616"/>
      <c r="G68" s="901">
        <f t="shared" si="4"/>
        <v>0</v>
      </c>
      <c r="H68" s="616"/>
      <c r="I68" s="616"/>
      <c r="J68" s="902">
        <f t="shared" si="5"/>
        <v>0</v>
      </c>
      <c r="K68" s="903"/>
      <c r="L68" s="772"/>
      <c r="M68" s="773"/>
      <c r="N68" s="774"/>
    </row>
    <row r="69" spans="1:14" ht="25.5" x14ac:dyDescent="0.25">
      <c r="A69" s="878">
        <v>59</v>
      </c>
      <c r="B69" s="600" t="s">
        <v>131</v>
      </c>
      <c r="C69" s="601" t="s">
        <v>132</v>
      </c>
      <c r="D69" s="884"/>
      <c r="E69" s="616"/>
      <c r="F69" s="616"/>
      <c r="G69" s="901">
        <f t="shared" si="4"/>
        <v>0</v>
      </c>
      <c r="H69" s="616"/>
      <c r="I69" s="616"/>
      <c r="J69" s="902">
        <f t="shared" si="5"/>
        <v>0</v>
      </c>
      <c r="K69" s="903"/>
      <c r="L69" s="904"/>
      <c r="M69" s="884"/>
      <c r="N69" s="633"/>
    </row>
    <row r="70" spans="1:14" ht="25.5" x14ac:dyDescent="0.25">
      <c r="A70" s="878">
        <v>60</v>
      </c>
      <c r="B70" s="593" t="s">
        <v>133</v>
      </c>
      <c r="C70" s="601" t="s">
        <v>299</v>
      </c>
      <c r="D70" s="884"/>
      <c r="E70" s="616"/>
      <c r="F70" s="616"/>
      <c r="G70" s="901">
        <f t="shared" si="4"/>
        <v>0</v>
      </c>
      <c r="H70" s="616"/>
      <c r="I70" s="616"/>
      <c r="J70" s="902">
        <f t="shared" si="5"/>
        <v>0</v>
      </c>
      <c r="K70" s="903"/>
      <c r="L70" s="904"/>
      <c r="M70" s="884"/>
      <c r="N70" s="633"/>
    </row>
    <row r="71" spans="1:14" ht="25.5" x14ac:dyDescent="0.25">
      <c r="A71" s="878">
        <v>61</v>
      </c>
      <c r="B71" s="883" t="s">
        <v>135</v>
      </c>
      <c r="C71" s="601" t="s">
        <v>461</v>
      </c>
      <c r="D71" s="884"/>
      <c r="E71" s="616"/>
      <c r="F71" s="616"/>
      <c r="G71" s="901">
        <f t="shared" si="4"/>
        <v>0</v>
      </c>
      <c r="H71" s="616"/>
      <c r="I71" s="616"/>
      <c r="J71" s="902">
        <f t="shared" si="5"/>
        <v>0</v>
      </c>
      <c r="K71" s="903"/>
      <c r="L71" s="904"/>
      <c r="M71" s="884"/>
      <c r="N71" s="633"/>
    </row>
    <row r="72" spans="1:14" ht="25.5" x14ac:dyDescent="0.25">
      <c r="A72" s="878">
        <v>62</v>
      </c>
      <c r="B72" s="593" t="s">
        <v>137</v>
      </c>
      <c r="C72" s="601" t="s">
        <v>640</v>
      </c>
      <c r="D72" s="884"/>
      <c r="E72" s="616"/>
      <c r="F72" s="616"/>
      <c r="G72" s="901">
        <f t="shared" si="4"/>
        <v>0</v>
      </c>
      <c r="H72" s="616"/>
      <c r="I72" s="616"/>
      <c r="J72" s="902">
        <f t="shared" si="5"/>
        <v>0</v>
      </c>
      <c r="K72" s="903"/>
      <c r="L72" s="904"/>
      <c r="M72" s="884"/>
      <c r="N72" s="633"/>
    </row>
    <row r="73" spans="1:14" ht="25.5" x14ac:dyDescent="0.25">
      <c r="A73" s="878">
        <v>63</v>
      </c>
      <c r="B73" s="600" t="s">
        <v>139</v>
      </c>
      <c r="C73" s="601" t="s">
        <v>641</v>
      </c>
      <c r="D73" s="884"/>
      <c r="E73" s="616"/>
      <c r="F73" s="616"/>
      <c r="G73" s="901">
        <f t="shared" si="4"/>
        <v>0</v>
      </c>
      <c r="H73" s="616"/>
      <c r="I73" s="616"/>
      <c r="J73" s="902">
        <f t="shared" si="5"/>
        <v>0</v>
      </c>
      <c r="K73" s="903"/>
      <c r="L73" s="904"/>
      <c r="M73" s="884"/>
      <c r="N73" s="633"/>
    </row>
    <row r="74" spans="1:14" x14ac:dyDescent="0.25">
      <c r="A74" s="878">
        <v>64</v>
      </c>
      <c r="B74" s="593" t="s">
        <v>141</v>
      </c>
      <c r="C74" s="601" t="s">
        <v>456</v>
      </c>
      <c r="D74" s="884"/>
      <c r="E74" s="616"/>
      <c r="F74" s="616"/>
      <c r="G74" s="901">
        <f t="shared" si="4"/>
        <v>0</v>
      </c>
      <c r="H74" s="616"/>
      <c r="I74" s="616"/>
      <c r="J74" s="902">
        <f t="shared" si="5"/>
        <v>0</v>
      </c>
      <c r="K74" s="903"/>
      <c r="L74" s="904"/>
      <c r="M74" s="884"/>
      <c r="N74" s="633"/>
    </row>
    <row r="75" spans="1:14" x14ac:dyDescent="0.25">
      <c r="A75" s="878">
        <v>65</v>
      </c>
      <c r="B75" s="593" t="s">
        <v>143</v>
      </c>
      <c r="C75" s="601" t="s">
        <v>144</v>
      </c>
      <c r="D75" s="884"/>
      <c r="E75" s="616"/>
      <c r="F75" s="616"/>
      <c r="G75" s="901">
        <f t="shared" si="4"/>
        <v>0</v>
      </c>
      <c r="H75" s="616"/>
      <c r="I75" s="616"/>
      <c r="J75" s="902">
        <f t="shared" si="5"/>
        <v>0</v>
      </c>
      <c r="K75" s="903"/>
      <c r="L75" s="904"/>
      <c r="M75" s="884"/>
      <c r="N75" s="633"/>
    </row>
    <row r="76" spans="1:14" x14ac:dyDescent="0.25">
      <c r="A76" s="878">
        <v>66</v>
      </c>
      <c r="B76" s="593" t="s">
        <v>145</v>
      </c>
      <c r="C76" s="601" t="s">
        <v>457</v>
      </c>
      <c r="D76" s="884"/>
      <c r="E76" s="616"/>
      <c r="F76" s="616"/>
      <c r="G76" s="901">
        <f t="shared" ref="G76:G139" si="6">SUM(D76:F76)</f>
        <v>0</v>
      </c>
      <c r="H76" s="616"/>
      <c r="I76" s="616"/>
      <c r="J76" s="902">
        <f t="shared" ref="J76:J139" si="7">SUM(H76:I76)</f>
        <v>0</v>
      </c>
      <c r="K76" s="903"/>
      <c r="L76" s="904"/>
      <c r="M76" s="884"/>
      <c r="N76" s="633"/>
    </row>
    <row r="77" spans="1:14" ht="25.5" x14ac:dyDescent="0.25">
      <c r="A77" s="878">
        <v>67</v>
      </c>
      <c r="B77" s="593" t="s">
        <v>147</v>
      </c>
      <c r="C77" s="601" t="s">
        <v>642</v>
      </c>
      <c r="D77" s="884"/>
      <c r="E77" s="616"/>
      <c r="F77" s="616"/>
      <c r="G77" s="901">
        <f t="shared" si="6"/>
        <v>0</v>
      </c>
      <c r="H77" s="616"/>
      <c r="I77" s="616"/>
      <c r="J77" s="902">
        <f t="shared" si="7"/>
        <v>0</v>
      </c>
      <c r="K77" s="903"/>
      <c r="L77" s="904"/>
      <c r="M77" s="884"/>
      <c r="N77" s="633"/>
    </row>
    <row r="78" spans="1:14" ht="25.5" x14ac:dyDescent="0.25">
      <c r="A78" s="878">
        <v>68</v>
      </c>
      <c r="B78" s="593" t="s">
        <v>149</v>
      </c>
      <c r="C78" s="601" t="s">
        <v>463</v>
      </c>
      <c r="D78" s="884"/>
      <c r="E78" s="616"/>
      <c r="F78" s="616"/>
      <c r="G78" s="901">
        <f t="shared" si="6"/>
        <v>0</v>
      </c>
      <c r="H78" s="616"/>
      <c r="I78" s="616"/>
      <c r="J78" s="902">
        <f t="shared" si="7"/>
        <v>0</v>
      </c>
      <c r="K78" s="903"/>
      <c r="L78" s="904"/>
      <c r="M78" s="884"/>
      <c r="N78" s="633"/>
    </row>
    <row r="79" spans="1:14" ht="25.5" x14ac:dyDescent="0.25">
      <c r="A79" s="878">
        <v>69</v>
      </c>
      <c r="B79" s="593" t="s">
        <v>151</v>
      </c>
      <c r="C79" s="601" t="s">
        <v>643</v>
      </c>
      <c r="D79" s="884"/>
      <c r="E79" s="616"/>
      <c r="F79" s="616"/>
      <c r="G79" s="901">
        <f t="shared" si="6"/>
        <v>0</v>
      </c>
      <c r="H79" s="616"/>
      <c r="I79" s="616"/>
      <c r="J79" s="902">
        <f t="shared" si="7"/>
        <v>0</v>
      </c>
      <c r="K79" s="903"/>
      <c r="L79" s="904"/>
      <c r="M79" s="884"/>
      <c r="N79" s="633"/>
    </row>
    <row r="80" spans="1:14" ht="25.5" x14ac:dyDescent="0.25">
      <c r="A80" s="878">
        <v>70</v>
      </c>
      <c r="B80" s="593" t="s">
        <v>153</v>
      </c>
      <c r="C80" s="601" t="s">
        <v>644</v>
      </c>
      <c r="D80" s="884"/>
      <c r="E80" s="616"/>
      <c r="F80" s="616"/>
      <c r="G80" s="901">
        <f t="shared" si="6"/>
        <v>0</v>
      </c>
      <c r="H80" s="616"/>
      <c r="I80" s="616"/>
      <c r="J80" s="902">
        <f t="shared" si="7"/>
        <v>0</v>
      </c>
      <c r="K80" s="903"/>
      <c r="L80" s="904"/>
      <c r="M80" s="884"/>
      <c r="N80" s="633"/>
    </row>
    <row r="81" spans="1:14" ht="25.5" x14ac:dyDescent="0.25">
      <c r="A81" s="878">
        <v>71</v>
      </c>
      <c r="B81" s="600" t="s">
        <v>155</v>
      </c>
      <c r="C81" s="601" t="s">
        <v>645</v>
      </c>
      <c r="D81" s="884"/>
      <c r="E81" s="616"/>
      <c r="F81" s="616"/>
      <c r="G81" s="901">
        <f t="shared" si="6"/>
        <v>0</v>
      </c>
      <c r="H81" s="616"/>
      <c r="I81" s="616"/>
      <c r="J81" s="902">
        <f t="shared" si="7"/>
        <v>0</v>
      </c>
      <c r="K81" s="903"/>
      <c r="L81" s="904"/>
      <c r="M81" s="884"/>
      <c r="N81" s="633"/>
    </row>
    <row r="82" spans="1:14" ht="25.5" x14ac:dyDescent="0.25">
      <c r="A82" s="878">
        <v>72</v>
      </c>
      <c r="B82" s="593" t="s">
        <v>157</v>
      </c>
      <c r="C82" s="594" t="s">
        <v>646</v>
      </c>
      <c r="D82" s="884"/>
      <c r="E82" s="616"/>
      <c r="F82" s="616"/>
      <c r="G82" s="901">
        <f t="shared" si="6"/>
        <v>0</v>
      </c>
      <c r="H82" s="616"/>
      <c r="I82" s="616"/>
      <c r="J82" s="902">
        <f t="shared" si="7"/>
        <v>0</v>
      </c>
      <c r="K82" s="903"/>
      <c r="L82" s="904"/>
      <c r="M82" s="884"/>
      <c r="N82" s="633"/>
    </row>
    <row r="83" spans="1:14" ht="25.5" x14ac:dyDescent="0.25">
      <c r="A83" s="878">
        <v>73</v>
      </c>
      <c r="B83" s="600" t="s">
        <v>159</v>
      </c>
      <c r="C83" s="601" t="s">
        <v>647</v>
      </c>
      <c r="D83" s="884"/>
      <c r="E83" s="616"/>
      <c r="F83" s="616"/>
      <c r="G83" s="901">
        <f t="shared" si="6"/>
        <v>0</v>
      </c>
      <c r="H83" s="616"/>
      <c r="I83" s="616"/>
      <c r="J83" s="902">
        <f t="shared" si="7"/>
        <v>0</v>
      </c>
      <c r="K83" s="903"/>
      <c r="L83" s="904"/>
      <c r="M83" s="884"/>
      <c r="N83" s="633"/>
    </row>
    <row r="84" spans="1:14" x14ac:dyDescent="0.25">
      <c r="A84" s="878">
        <v>74</v>
      </c>
      <c r="B84" s="593" t="s">
        <v>161</v>
      </c>
      <c r="C84" s="601" t="s">
        <v>162</v>
      </c>
      <c r="D84" s="884"/>
      <c r="E84" s="616"/>
      <c r="F84" s="616"/>
      <c r="G84" s="901">
        <f t="shared" si="6"/>
        <v>0</v>
      </c>
      <c r="H84" s="616"/>
      <c r="I84" s="616"/>
      <c r="J84" s="902">
        <f t="shared" si="7"/>
        <v>0</v>
      </c>
      <c r="K84" s="903"/>
      <c r="L84" s="904"/>
      <c r="M84" s="884"/>
      <c r="N84" s="633"/>
    </row>
    <row r="85" spans="1:14" x14ac:dyDescent="0.25">
      <c r="A85" s="878">
        <v>75</v>
      </c>
      <c r="B85" s="600" t="s">
        <v>163</v>
      </c>
      <c r="C85" s="601" t="s">
        <v>458</v>
      </c>
      <c r="D85" s="884"/>
      <c r="E85" s="616"/>
      <c r="F85" s="616"/>
      <c r="G85" s="901">
        <f t="shared" si="6"/>
        <v>0</v>
      </c>
      <c r="H85" s="616"/>
      <c r="I85" s="616"/>
      <c r="J85" s="902">
        <f t="shared" si="7"/>
        <v>0</v>
      </c>
      <c r="K85" s="903"/>
      <c r="L85" s="904"/>
      <c r="M85" s="884"/>
      <c r="N85" s="633"/>
    </row>
    <row r="86" spans="1:14" x14ac:dyDescent="0.25">
      <c r="A86" s="878">
        <v>76</v>
      </c>
      <c r="B86" s="600" t="s">
        <v>165</v>
      </c>
      <c r="C86" s="601" t="s">
        <v>166</v>
      </c>
      <c r="D86" s="884"/>
      <c r="E86" s="616"/>
      <c r="F86" s="616"/>
      <c r="G86" s="901">
        <f t="shared" si="6"/>
        <v>0</v>
      </c>
      <c r="H86" s="616"/>
      <c r="I86" s="616"/>
      <c r="J86" s="902">
        <f t="shared" si="7"/>
        <v>0</v>
      </c>
      <c r="K86" s="903"/>
      <c r="L86" s="904"/>
      <c r="M86" s="884"/>
      <c r="N86" s="633"/>
    </row>
    <row r="87" spans="1:14" x14ac:dyDescent="0.25">
      <c r="A87" s="878">
        <v>77</v>
      </c>
      <c r="B87" s="593" t="s">
        <v>167</v>
      </c>
      <c r="C87" s="601" t="s">
        <v>168</v>
      </c>
      <c r="D87" s="884"/>
      <c r="E87" s="616"/>
      <c r="F87" s="616"/>
      <c r="G87" s="901">
        <f t="shared" si="6"/>
        <v>0</v>
      </c>
      <c r="H87" s="616"/>
      <c r="I87" s="616"/>
      <c r="J87" s="902">
        <f t="shared" si="7"/>
        <v>0</v>
      </c>
      <c r="K87" s="903"/>
      <c r="L87" s="904"/>
      <c r="M87" s="884"/>
      <c r="N87" s="633"/>
    </row>
    <row r="88" spans="1:14" x14ac:dyDescent="0.25">
      <c r="A88" s="878">
        <v>78</v>
      </c>
      <c r="B88" s="593" t="s">
        <v>169</v>
      </c>
      <c r="C88" s="601" t="s">
        <v>170</v>
      </c>
      <c r="D88" s="884"/>
      <c r="E88" s="616"/>
      <c r="F88" s="616"/>
      <c r="G88" s="901">
        <f t="shared" si="6"/>
        <v>0</v>
      </c>
      <c r="H88" s="616"/>
      <c r="I88" s="616"/>
      <c r="J88" s="902">
        <f t="shared" si="7"/>
        <v>0</v>
      </c>
      <c r="K88" s="903"/>
      <c r="L88" s="904"/>
      <c r="M88" s="884"/>
      <c r="N88" s="633"/>
    </row>
    <row r="89" spans="1:14" x14ac:dyDescent="0.25">
      <c r="A89" s="878">
        <v>79</v>
      </c>
      <c r="B89" s="593" t="s">
        <v>171</v>
      </c>
      <c r="C89" s="601" t="s">
        <v>172</v>
      </c>
      <c r="D89" s="884"/>
      <c r="E89" s="616"/>
      <c r="F89" s="616"/>
      <c r="G89" s="901">
        <f t="shared" si="6"/>
        <v>0</v>
      </c>
      <c r="H89" s="616"/>
      <c r="I89" s="616"/>
      <c r="J89" s="902">
        <f t="shared" si="7"/>
        <v>0</v>
      </c>
      <c r="K89" s="903"/>
      <c r="L89" s="904"/>
      <c r="M89" s="884"/>
      <c r="N89" s="633"/>
    </row>
    <row r="90" spans="1:14" x14ac:dyDescent="0.25">
      <c r="A90" s="878">
        <v>80</v>
      </c>
      <c r="B90" s="593" t="s">
        <v>173</v>
      </c>
      <c r="C90" s="601" t="s">
        <v>617</v>
      </c>
      <c r="D90" s="884"/>
      <c r="E90" s="616"/>
      <c r="F90" s="616"/>
      <c r="G90" s="901">
        <f t="shared" si="6"/>
        <v>0</v>
      </c>
      <c r="H90" s="616"/>
      <c r="I90" s="616"/>
      <c r="J90" s="902">
        <f t="shared" si="7"/>
        <v>0</v>
      </c>
      <c r="K90" s="903"/>
      <c r="L90" s="904"/>
      <c r="M90" s="884"/>
      <c r="N90" s="633"/>
    </row>
    <row r="91" spans="1:14" x14ac:dyDescent="0.25">
      <c r="A91" s="878">
        <v>81</v>
      </c>
      <c r="B91" s="593" t="s">
        <v>175</v>
      </c>
      <c r="C91" s="601" t="s">
        <v>176</v>
      </c>
      <c r="D91" s="884"/>
      <c r="E91" s="616"/>
      <c r="F91" s="616"/>
      <c r="G91" s="901">
        <f t="shared" si="6"/>
        <v>0</v>
      </c>
      <c r="H91" s="616"/>
      <c r="I91" s="616"/>
      <c r="J91" s="902">
        <f t="shared" si="7"/>
        <v>0</v>
      </c>
      <c r="K91" s="903"/>
      <c r="L91" s="904"/>
      <c r="M91" s="884"/>
      <c r="N91" s="633"/>
    </row>
    <row r="92" spans="1:14" x14ac:dyDescent="0.25">
      <c r="A92" s="878">
        <v>82</v>
      </c>
      <c r="B92" s="612" t="s">
        <v>177</v>
      </c>
      <c r="C92" s="611" t="s">
        <v>752</v>
      </c>
      <c r="D92" s="884"/>
      <c r="E92" s="616"/>
      <c r="F92" s="616"/>
      <c r="G92" s="901">
        <f t="shared" si="6"/>
        <v>0</v>
      </c>
      <c r="H92" s="616"/>
      <c r="I92" s="616"/>
      <c r="J92" s="902">
        <f t="shared" si="7"/>
        <v>0</v>
      </c>
      <c r="K92" s="903"/>
      <c r="L92" s="904"/>
      <c r="M92" s="884"/>
      <c r="N92" s="633"/>
    </row>
    <row r="93" spans="1:14" ht="25.5" x14ac:dyDescent="0.25">
      <c r="A93" s="1171">
        <v>83</v>
      </c>
      <c r="B93" s="1172" t="s">
        <v>178</v>
      </c>
      <c r="C93" s="613" t="s">
        <v>753</v>
      </c>
      <c r="D93" s="884"/>
      <c r="E93" s="616"/>
      <c r="F93" s="616"/>
      <c r="G93" s="901">
        <f t="shared" si="6"/>
        <v>0</v>
      </c>
      <c r="H93" s="616"/>
      <c r="I93" s="616"/>
      <c r="J93" s="902">
        <f t="shared" si="7"/>
        <v>0</v>
      </c>
      <c r="K93" s="903"/>
      <c r="L93" s="904"/>
      <c r="M93" s="884"/>
      <c r="N93" s="633"/>
    </row>
    <row r="94" spans="1:14" ht="25.5" x14ac:dyDescent="0.25">
      <c r="A94" s="1171"/>
      <c r="B94" s="1172"/>
      <c r="C94" s="611" t="s">
        <v>179</v>
      </c>
      <c r="D94" s="884"/>
      <c r="E94" s="616"/>
      <c r="F94" s="616"/>
      <c r="G94" s="901">
        <f t="shared" si="6"/>
        <v>0</v>
      </c>
      <c r="H94" s="616"/>
      <c r="I94" s="616"/>
      <c r="J94" s="902">
        <f t="shared" si="7"/>
        <v>0</v>
      </c>
      <c r="K94" s="903"/>
      <c r="L94" s="904"/>
      <c r="M94" s="884"/>
      <c r="N94" s="633"/>
    </row>
    <row r="95" spans="1:14" ht="25.5" x14ac:dyDescent="0.25">
      <c r="A95" s="1171"/>
      <c r="B95" s="1172"/>
      <c r="C95" s="611" t="s">
        <v>180</v>
      </c>
      <c r="D95" s="884"/>
      <c r="E95" s="616"/>
      <c r="F95" s="616"/>
      <c r="G95" s="901">
        <f t="shared" si="6"/>
        <v>0</v>
      </c>
      <c r="H95" s="616"/>
      <c r="I95" s="616"/>
      <c r="J95" s="902">
        <f t="shared" si="7"/>
        <v>0</v>
      </c>
      <c r="K95" s="903"/>
      <c r="L95" s="904"/>
      <c r="M95" s="884"/>
      <c r="N95" s="633"/>
    </row>
    <row r="96" spans="1:14" ht="38.25" x14ac:dyDescent="0.25">
      <c r="A96" s="1171"/>
      <c r="B96" s="1172"/>
      <c r="C96" s="614" t="s">
        <v>509</v>
      </c>
      <c r="D96" s="884"/>
      <c r="E96" s="616"/>
      <c r="F96" s="616"/>
      <c r="G96" s="901">
        <f t="shared" si="6"/>
        <v>0</v>
      </c>
      <c r="H96" s="616"/>
      <c r="I96" s="616"/>
      <c r="J96" s="902">
        <f t="shared" si="7"/>
        <v>0</v>
      </c>
      <c r="K96" s="903"/>
      <c r="L96" s="904"/>
      <c r="M96" s="884"/>
      <c r="N96" s="633"/>
    </row>
    <row r="97" spans="1:14" ht="25.5" x14ac:dyDescent="0.25">
      <c r="A97" s="878">
        <v>84</v>
      </c>
      <c r="B97" s="600" t="s">
        <v>181</v>
      </c>
      <c r="C97" s="601" t="s">
        <v>182</v>
      </c>
      <c r="D97" s="884"/>
      <c r="E97" s="616"/>
      <c r="F97" s="616"/>
      <c r="G97" s="901">
        <f t="shared" si="6"/>
        <v>0</v>
      </c>
      <c r="H97" s="616"/>
      <c r="I97" s="616"/>
      <c r="J97" s="902">
        <f t="shared" si="7"/>
        <v>0</v>
      </c>
      <c r="K97" s="903"/>
      <c r="L97" s="904"/>
      <c r="M97" s="884"/>
      <c r="N97" s="633"/>
    </row>
    <row r="98" spans="1:14" x14ac:dyDescent="0.25">
      <c r="A98" s="878">
        <v>85</v>
      </c>
      <c r="B98" s="593" t="s">
        <v>183</v>
      </c>
      <c r="C98" s="601" t="s">
        <v>184</v>
      </c>
      <c r="D98" s="884"/>
      <c r="E98" s="616"/>
      <c r="F98" s="616"/>
      <c r="G98" s="901">
        <f t="shared" si="6"/>
        <v>0</v>
      </c>
      <c r="H98" s="616"/>
      <c r="I98" s="616"/>
      <c r="J98" s="902">
        <f t="shared" si="7"/>
        <v>0</v>
      </c>
      <c r="K98" s="903"/>
      <c r="L98" s="904"/>
      <c r="M98" s="884"/>
      <c r="N98" s="633"/>
    </row>
    <row r="99" spans="1:14" x14ac:dyDescent="0.25">
      <c r="A99" s="878">
        <v>86</v>
      </c>
      <c r="B99" s="600" t="s">
        <v>185</v>
      </c>
      <c r="C99" s="601" t="s">
        <v>186</v>
      </c>
      <c r="D99" s="884"/>
      <c r="E99" s="616"/>
      <c r="F99" s="616"/>
      <c r="G99" s="901">
        <f t="shared" si="6"/>
        <v>0</v>
      </c>
      <c r="H99" s="616"/>
      <c r="I99" s="616"/>
      <c r="J99" s="902">
        <f t="shared" si="7"/>
        <v>0</v>
      </c>
      <c r="K99" s="903"/>
      <c r="L99" s="904"/>
      <c r="M99" s="884"/>
      <c r="N99" s="633"/>
    </row>
    <row r="100" spans="1:14" x14ac:dyDescent="0.25">
      <c r="A100" s="878">
        <v>87</v>
      </c>
      <c r="B100" s="883" t="s">
        <v>187</v>
      </c>
      <c r="C100" s="603" t="s">
        <v>188</v>
      </c>
      <c r="D100" s="884">
        <v>2475</v>
      </c>
      <c r="E100" s="616"/>
      <c r="F100" s="616"/>
      <c r="G100" s="901">
        <f t="shared" si="6"/>
        <v>2475</v>
      </c>
      <c r="H100" s="616">
        <v>413</v>
      </c>
      <c r="I100" s="616"/>
      <c r="J100" s="902">
        <f t="shared" si="7"/>
        <v>413</v>
      </c>
      <c r="K100" s="903"/>
      <c r="L100" s="904"/>
      <c r="M100" s="884"/>
      <c r="N100" s="633"/>
    </row>
    <row r="101" spans="1:14" x14ac:dyDescent="0.25">
      <c r="A101" s="878">
        <v>88</v>
      </c>
      <c r="B101" s="593" t="s">
        <v>189</v>
      </c>
      <c r="C101" s="601" t="s">
        <v>190</v>
      </c>
      <c r="D101" s="884">
        <v>3375</v>
      </c>
      <c r="E101" s="616"/>
      <c r="F101" s="616"/>
      <c r="G101" s="901">
        <f t="shared" si="6"/>
        <v>3375</v>
      </c>
      <c r="H101" s="616">
        <f>562+30</f>
        <v>592</v>
      </c>
      <c r="I101" s="616"/>
      <c r="J101" s="902">
        <f t="shared" si="7"/>
        <v>592</v>
      </c>
      <c r="K101" s="903"/>
      <c r="L101" s="904"/>
      <c r="M101" s="884"/>
      <c r="N101" s="633"/>
    </row>
    <row r="102" spans="1:14" x14ac:dyDescent="0.25">
      <c r="A102" s="878">
        <v>89</v>
      </c>
      <c r="B102" s="593" t="s">
        <v>191</v>
      </c>
      <c r="C102" s="601" t="s">
        <v>192</v>
      </c>
      <c r="D102" s="884">
        <v>6450</v>
      </c>
      <c r="E102" s="616"/>
      <c r="F102" s="616"/>
      <c r="G102" s="901">
        <f t="shared" si="6"/>
        <v>6450</v>
      </c>
      <c r="H102" s="616">
        <f>1075+60</f>
        <v>1135</v>
      </c>
      <c r="I102" s="616"/>
      <c r="J102" s="902">
        <f t="shared" si="7"/>
        <v>1135</v>
      </c>
      <c r="K102" s="903"/>
      <c r="L102" s="904"/>
      <c r="M102" s="884"/>
      <c r="N102" s="633"/>
    </row>
    <row r="103" spans="1:14" x14ac:dyDescent="0.25">
      <c r="A103" s="878">
        <v>90</v>
      </c>
      <c r="B103" s="883" t="s">
        <v>193</v>
      </c>
      <c r="C103" s="603" t="s">
        <v>194</v>
      </c>
      <c r="D103" s="884">
        <v>3375</v>
      </c>
      <c r="E103" s="616"/>
      <c r="F103" s="616"/>
      <c r="G103" s="901">
        <f t="shared" si="6"/>
        <v>3375</v>
      </c>
      <c r="H103" s="616">
        <v>562</v>
      </c>
      <c r="I103" s="616"/>
      <c r="J103" s="902">
        <f t="shared" si="7"/>
        <v>562</v>
      </c>
      <c r="K103" s="903"/>
      <c r="L103" s="904"/>
      <c r="M103" s="884"/>
      <c r="N103" s="633"/>
    </row>
    <row r="104" spans="1:14" x14ac:dyDescent="0.25">
      <c r="A104" s="878">
        <v>91</v>
      </c>
      <c r="B104" s="593" t="s">
        <v>195</v>
      </c>
      <c r="C104" s="601" t="s">
        <v>196</v>
      </c>
      <c r="D104" s="884">
        <f>3750+107</f>
        <v>3857</v>
      </c>
      <c r="E104" s="616"/>
      <c r="F104" s="616"/>
      <c r="G104" s="901">
        <f t="shared" si="6"/>
        <v>3857</v>
      </c>
      <c r="H104" s="616">
        <f>625+20</f>
        <v>645</v>
      </c>
      <c r="I104" s="616"/>
      <c r="J104" s="902">
        <f t="shared" si="7"/>
        <v>645</v>
      </c>
      <c r="K104" s="903"/>
      <c r="L104" s="904"/>
      <c r="M104" s="884"/>
      <c r="N104" s="633"/>
    </row>
    <row r="105" spans="1:14" x14ac:dyDescent="0.25">
      <c r="A105" s="878">
        <v>92</v>
      </c>
      <c r="B105" s="883" t="s">
        <v>197</v>
      </c>
      <c r="C105" s="603" t="s">
        <v>198</v>
      </c>
      <c r="D105" s="884">
        <v>6125</v>
      </c>
      <c r="E105" s="616"/>
      <c r="F105" s="616"/>
      <c r="G105" s="901">
        <f t="shared" si="6"/>
        <v>6125</v>
      </c>
      <c r="H105" s="616">
        <v>1028</v>
      </c>
      <c r="I105" s="616"/>
      <c r="J105" s="902">
        <f t="shared" si="7"/>
        <v>1028</v>
      </c>
      <c r="K105" s="903"/>
      <c r="L105" s="904"/>
      <c r="M105" s="884"/>
      <c r="N105" s="633"/>
    </row>
    <row r="106" spans="1:14" x14ac:dyDescent="0.25">
      <c r="A106" s="878">
        <v>93</v>
      </c>
      <c r="B106" s="593" t="s">
        <v>199</v>
      </c>
      <c r="C106" s="601" t="s">
        <v>200</v>
      </c>
      <c r="D106" s="884">
        <f>4125+28</f>
        <v>4153</v>
      </c>
      <c r="E106" s="616"/>
      <c r="F106" s="616"/>
      <c r="G106" s="901">
        <f t="shared" si="6"/>
        <v>4153</v>
      </c>
      <c r="H106" s="616">
        <v>687</v>
      </c>
      <c r="I106" s="616"/>
      <c r="J106" s="902">
        <f t="shared" si="7"/>
        <v>687</v>
      </c>
      <c r="K106" s="903"/>
      <c r="L106" s="904"/>
      <c r="M106" s="884"/>
      <c r="N106" s="633"/>
    </row>
    <row r="107" spans="1:14" x14ac:dyDescent="0.25">
      <c r="A107" s="878">
        <v>94</v>
      </c>
      <c r="B107" s="600" t="s">
        <v>201</v>
      </c>
      <c r="C107" s="601" t="s">
        <v>202</v>
      </c>
      <c r="D107" s="884">
        <v>2250</v>
      </c>
      <c r="E107" s="616"/>
      <c r="F107" s="616"/>
      <c r="G107" s="901">
        <f t="shared" si="6"/>
        <v>2250</v>
      </c>
      <c r="H107" s="616">
        <v>375</v>
      </c>
      <c r="I107" s="616"/>
      <c r="J107" s="902">
        <f t="shared" si="7"/>
        <v>375</v>
      </c>
      <c r="K107" s="903"/>
      <c r="L107" s="904"/>
      <c r="M107" s="884"/>
      <c r="N107" s="633"/>
    </row>
    <row r="108" spans="1:14" x14ac:dyDescent="0.25">
      <c r="A108" s="878">
        <v>95</v>
      </c>
      <c r="B108" s="593" t="s">
        <v>203</v>
      </c>
      <c r="C108" s="594" t="s">
        <v>204</v>
      </c>
      <c r="D108" s="884">
        <v>3000</v>
      </c>
      <c r="E108" s="616"/>
      <c r="F108" s="616"/>
      <c r="G108" s="901">
        <f t="shared" si="6"/>
        <v>3000</v>
      </c>
      <c r="H108" s="616">
        <v>500</v>
      </c>
      <c r="I108" s="616"/>
      <c r="J108" s="902">
        <f t="shared" si="7"/>
        <v>500</v>
      </c>
      <c r="K108" s="903"/>
      <c r="L108" s="904"/>
      <c r="M108" s="884"/>
      <c r="N108" s="633"/>
    </row>
    <row r="109" spans="1:14" x14ac:dyDescent="0.25">
      <c r="A109" s="878">
        <v>96</v>
      </c>
      <c r="B109" s="593" t="s">
        <v>205</v>
      </c>
      <c r="C109" s="603" t="s">
        <v>206</v>
      </c>
      <c r="D109" s="884">
        <v>3000</v>
      </c>
      <c r="E109" s="616"/>
      <c r="F109" s="616"/>
      <c r="G109" s="901">
        <f t="shared" si="6"/>
        <v>3000</v>
      </c>
      <c r="H109" s="616">
        <v>500</v>
      </c>
      <c r="I109" s="616"/>
      <c r="J109" s="902">
        <f t="shared" si="7"/>
        <v>500</v>
      </c>
      <c r="K109" s="903"/>
      <c r="L109" s="904"/>
      <c r="M109" s="884"/>
      <c r="N109" s="633"/>
    </row>
    <row r="110" spans="1:14" x14ac:dyDescent="0.25">
      <c r="A110" s="878">
        <v>97</v>
      </c>
      <c r="B110" s="600" t="s">
        <v>207</v>
      </c>
      <c r="C110" s="601" t="s">
        <v>208</v>
      </c>
      <c r="D110" s="884">
        <f>3750+83</f>
        <v>3833</v>
      </c>
      <c r="E110" s="616"/>
      <c r="F110" s="616"/>
      <c r="G110" s="901">
        <f t="shared" si="6"/>
        <v>3833</v>
      </c>
      <c r="H110" s="616">
        <f>625+100</f>
        <v>725</v>
      </c>
      <c r="I110" s="616"/>
      <c r="J110" s="902">
        <f t="shared" si="7"/>
        <v>725</v>
      </c>
      <c r="K110" s="903"/>
      <c r="L110" s="904"/>
      <c r="M110" s="884"/>
      <c r="N110" s="633"/>
    </row>
    <row r="111" spans="1:14" x14ac:dyDescent="0.25">
      <c r="A111" s="878">
        <v>98</v>
      </c>
      <c r="B111" s="593" t="s">
        <v>209</v>
      </c>
      <c r="C111" s="594" t="s">
        <v>210</v>
      </c>
      <c r="D111" s="884">
        <f>2850+51</f>
        <v>2901</v>
      </c>
      <c r="E111" s="616"/>
      <c r="F111" s="616"/>
      <c r="G111" s="901">
        <f t="shared" si="6"/>
        <v>2901</v>
      </c>
      <c r="H111" s="616">
        <v>475</v>
      </c>
      <c r="I111" s="616"/>
      <c r="J111" s="902">
        <f t="shared" si="7"/>
        <v>475</v>
      </c>
      <c r="K111" s="903"/>
      <c r="L111" s="904"/>
      <c r="M111" s="884"/>
      <c r="N111" s="633"/>
    </row>
    <row r="112" spans="1:14" x14ac:dyDescent="0.25">
      <c r="A112" s="878">
        <v>99</v>
      </c>
      <c r="B112" s="600" t="s">
        <v>211</v>
      </c>
      <c r="C112" s="601" t="s">
        <v>212</v>
      </c>
      <c r="D112" s="884">
        <v>4200</v>
      </c>
      <c r="E112" s="616"/>
      <c r="F112" s="616"/>
      <c r="G112" s="901">
        <f t="shared" si="6"/>
        <v>4200</v>
      </c>
      <c r="H112" s="616">
        <v>700</v>
      </c>
      <c r="I112" s="616"/>
      <c r="J112" s="902">
        <f t="shared" si="7"/>
        <v>700</v>
      </c>
      <c r="K112" s="903"/>
      <c r="L112" s="904"/>
      <c r="M112" s="884"/>
      <c r="N112" s="633"/>
    </row>
    <row r="113" spans="1:14" x14ac:dyDescent="0.25">
      <c r="A113" s="878">
        <v>100</v>
      </c>
      <c r="B113" s="600" t="s">
        <v>213</v>
      </c>
      <c r="C113" s="601" t="s">
        <v>214</v>
      </c>
      <c r="D113" s="884">
        <v>6750</v>
      </c>
      <c r="E113" s="616"/>
      <c r="F113" s="616"/>
      <c r="G113" s="901">
        <f t="shared" si="6"/>
        <v>6750</v>
      </c>
      <c r="H113" s="616">
        <v>1125</v>
      </c>
      <c r="I113" s="616"/>
      <c r="J113" s="902">
        <f t="shared" si="7"/>
        <v>1125</v>
      </c>
      <c r="K113" s="903"/>
      <c r="L113" s="904"/>
      <c r="M113" s="884"/>
      <c r="N113" s="633"/>
    </row>
    <row r="114" spans="1:14" x14ac:dyDescent="0.25">
      <c r="A114" s="878">
        <v>101</v>
      </c>
      <c r="B114" s="593" t="s">
        <v>215</v>
      </c>
      <c r="C114" s="603" t="s">
        <v>216</v>
      </c>
      <c r="D114" s="884">
        <v>3225</v>
      </c>
      <c r="E114" s="616"/>
      <c r="F114" s="616"/>
      <c r="G114" s="901">
        <f t="shared" si="6"/>
        <v>3225</v>
      </c>
      <c r="H114" s="616">
        <f>538+20</f>
        <v>558</v>
      </c>
      <c r="I114" s="616"/>
      <c r="J114" s="902">
        <f t="shared" si="7"/>
        <v>558</v>
      </c>
      <c r="K114" s="903"/>
      <c r="L114" s="904"/>
      <c r="M114" s="884"/>
      <c r="N114" s="633"/>
    </row>
    <row r="115" spans="1:14" x14ac:dyDescent="0.25">
      <c r="A115" s="878">
        <v>102</v>
      </c>
      <c r="B115" s="593" t="s">
        <v>217</v>
      </c>
      <c r="C115" s="594" t="s">
        <v>218</v>
      </c>
      <c r="D115" s="884"/>
      <c r="E115" s="616"/>
      <c r="F115" s="616"/>
      <c r="G115" s="901">
        <f t="shared" si="6"/>
        <v>0</v>
      </c>
      <c r="H115" s="616"/>
      <c r="I115" s="616"/>
      <c r="J115" s="902">
        <f t="shared" si="7"/>
        <v>0</v>
      </c>
      <c r="K115" s="903"/>
      <c r="L115" s="904"/>
      <c r="M115" s="884"/>
      <c r="N115" s="633"/>
    </row>
    <row r="116" spans="1:14" x14ac:dyDescent="0.25">
      <c r="A116" s="878">
        <v>103</v>
      </c>
      <c r="B116" s="593" t="s">
        <v>219</v>
      </c>
      <c r="C116" s="594" t="s">
        <v>220</v>
      </c>
      <c r="D116" s="884"/>
      <c r="E116" s="616"/>
      <c r="F116" s="616"/>
      <c r="G116" s="901">
        <f t="shared" si="6"/>
        <v>0</v>
      </c>
      <c r="H116" s="616"/>
      <c r="I116" s="616"/>
      <c r="J116" s="902">
        <f t="shared" si="7"/>
        <v>0</v>
      </c>
      <c r="K116" s="903"/>
      <c r="L116" s="904"/>
      <c r="M116" s="884"/>
      <c r="N116" s="633"/>
    </row>
    <row r="117" spans="1:14" x14ac:dyDescent="0.25">
      <c r="A117" s="878">
        <v>104</v>
      </c>
      <c r="B117" s="593" t="s">
        <v>221</v>
      </c>
      <c r="C117" s="594" t="s">
        <v>222</v>
      </c>
      <c r="D117" s="884"/>
      <c r="E117" s="616"/>
      <c r="F117" s="616"/>
      <c r="G117" s="901">
        <f t="shared" si="6"/>
        <v>0</v>
      </c>
      <c r="H117" s="616"/>
      <c r="I117" s="616"/>
      <c r="J117" s="902">
        <f t="shared" si="7"/>
        <v>0</v>
      </c>
      <c r="K117" s="903"/>
      <c r="L117" s="904"/>
      <c r="M117" s="884"/>
      <c r="N117" s="633"/>
    </row>
    <row r="118" spans="1:14" x14ac:dyDescent="0.25">
      <c r="A118" s="878">
        <v>105</v>
      </c>
      <c r="B118" s="600" t="s">
        <v>223</v>
      </c>
      <c r="C118" s="601" t="s">
        <v>224</v>
      </c>
      <c r="D118" s="884"/>
      <c r="E118" s="616"/>
      <c r="F118" s="616"/>
      <c r="G118" s="901">
        <f t="shared" si="6"/>
        <v>0</v>
      </c>
      <c r="H118" s="616"/>
      <c r="I118" s="616"/>
      <c r="J118" s="902">
        <f t="shared" si="7"/>
        <v>0</v>
      </c>
      <c r="K118" s="903"/>
      <c r="L118" s="904"/>
      <c r="M118" s="884"/>
      <c r="N118" s="633"/>
    </row>
    <row r="119" spans="1:14" x14ac:dyDescent="0.25">
      <c r="A119" s="878">
        <v>106</v>
      </c>
      <c r="B119" s="883" t="s">
        <v>225</v>
      </c>
      <c r="C119" s="603" t="s">
        <v>226</v>
      </c>
      <c r="D119" s="884"/>
      <c r="E119" s="616"/>
      <c r="F119" s="616"/>
      <c r="G119" s="901">
        <f t="shared" si="6"/>
        <v>0</v>
      </c>
      <c r="H119" s="616"/>
      <c r="I119" s="616"/>
      <c r="J119" s="902">
        <f t="shared" si="7"/>
        <v>0</v>
      </c>
      <c r="K119" s="903"/>
      <c r="L119" s="904"/>
      <c r="M119" s="884"/>
      <c r="N119" s="633"/>
    </row>
    <row r="120" spans="1:14" ht="25.5" x14ac:dyDescent="0.25">
      <c r="A120" s="878">
        <v>107</v>
      </c>
      <c r="B120" s="593" t="s">
        <v>227</v>
      </c>
      <c r="C120" s="594" t="s">
        <v>228</v>
      </c>
      <c r="D120" s="884"/>
      <c r="E120" s="616"/>
      <c r="F120" s="616"/>
      <c r="G120" s="901">
        <f t="shared" si="6"/>
        <v>0</v>
      </c>
      <c r="H120" s="616"/>
      <c r="I120" s="616"/>
      <c r="J120" s="902">
        <f t="shared" si="7"/>
        <v>0</v>
      </c>
      <c r="K120" s="903"/>
      <c r="L120" s="904"/>
      <c r="M120" s="884"/>
      <c r="N120" s="633"/>
    </row>
    <row r="121" spans="1:14" x14ac:dyDescent="0.25">
      <c r="A121" s="878">
        <v>108</v>
      </c>
      <c r="B121" s="593" t="s">
        <v>229</v>
      </c>
      <c r="C121" s="594" t="s">
        <v>230</v>
      </c>
      <c r="D121" s="884"/>
      <c r="E121" s="616"/>
      <c r="F121" s="616"/>
      <c r="G121" s="901">
        <f t="shared" si="6"/>
        <v>0</v>
      </c>
      <c r="H121" s="616"/>
      <c r="I121" s="616"/>
      <c r="J121" s="902">
        <f t="shared" si="7"/>
        <v>0</v>
      </c>
      <c r="K121" s="903"/>
      <c r="L121" s="904"/>
      <c r="M121" s="884"/>
      <c r="N121" s="633"/>
    </row>
    <row r="122" spans="1:14" x14ac:dyDescent="0.25">
      <c r="A122" s="878">
        <v>109</v>
      </c>
      <c r="B122" s="600" t="s">
        <v>231</v>
      </c>
      <c r="C122" s="601" t="s">
        <v>232</v>
      </c>
      <c r="D122" s="884"/>
      <c r="E122" s="616"/>
      <c r="F122" s="616"/>
      <c r="G122" s="901">
        <f t="shared" si="6"/>
        <v>0</v>
      </c>
      <c r="H122" s="616"/>
      <c r="I122" s="616"/>
      <c r="J122" s="902">
        <f t="shared" si="7"/>
        <v>0</v>
      </c>
      <c r="K122" s="903"/>
      <c r="L122" s="904"/>
      <c r="M122" s="884"/>
      <c r="N122" s="633"/>
    </row>
    <row r="123" spans="1:14" x14ac:dyDescent="0.25">
      <c r="A123" s="878">
        <v>110</v>
      </c>
      <c r="B123" s="600" t="s">
        <v>233</v>
      </c>
      <c r="C123" s="601" t="s">
        <v>234</v>
      </c>
      <c r="D123" s="884"/>
      <c r="E123" s="616"/>
      <c r="F123" s="616"/>
      <c r="G123" s="901">
        <f t="shared" si="6"/>
        <v>0</v>
      </c>
      <c r="H123" s="616"/>
      <c r="I123" s="616"/>
      <c r="J123" s="902">
        <f t="shared" si="7"/>
        <v>0</v>
      </c>
      <c r="K123" s="903"/>
      <c r="L123" s="904"/>
      <c r="M123" s="884"/>
      <c r="N123" s="633"/>
    </row>
    <row r="124" spans="1:14" x14ac:dyDescent="0.25">
      <c r="A124" s="878">
        <v>111</v>
      </c>
      <c r="B124" s="615" t="s">
        <v>235</v>
      </c>
      <c r="C124" s="594" t="s">
        <v>236</v>
      </c>
      <c r="D124" s="884"/>
      <c r="E124" s="616"/>
      <c r="F124" s="616"/>
      <c r="G124" s="901">
        <f t="shared" si="6"/>
        <v>0</v>
      </c>
      <c r="H124" s="616"/>
      <c r="I124" s="616"/>
      <c r="J124" s="902">
        <f t="shared" si="7"/>
        <v>0</v>
      </c>
      <c r="K124" s="903"/>
      <c r="L124" s="904"/>
      <c r="M124" s="884"/>
      <c r="N124" s="633"/>
    </row>
    <row r="125" spans="1:14" x14ac:dyDescent="0.25">
      <c r="A125" s="878">
        <v>112</v>
      </c>
      <c r="B125" s="593" t="s">
        <v>237</v>
      </c>
      <c r="C125" s="594" t="s">
        <v>238</v>
      </c>
      <c r="D125" s="884"/>
      <c r="E125" s="616"/>
      <c r="F125" s="616"/>
      <c r="G125" s="901">
        <f t="shared" si="6"/>
        <v>0</v>
      </c>
      <c r="H125" s="616"/>
      <c r="I125" s="616"/>
      <c r="J125" s="902">
        <f t="shared" si="7"/>
        <v>0</v>
      </c>
      <c r="K125" s="903"/>
      <c r="L125" s="904"/>
      <c r="M125" s="884"/>
      <c r="N125" s="633"/>
    </row>
    <row r="126" spans="1:14" x14ac:dyDescent="0.25">
      <c r="A126" s="878">
        <v>113</v>
      </c>
      <c r="B126" s="593" t="s">
        <v>239</v>
      </c>
      <c r="C126" s="601" t="s">
        <v>240</v>
      </c>
      <c r="D126" s="884"/>
      <c r="E126" s="616"/>
      <c r="F126" s="616"/>
      <c r="G126" s="901">
        <f t="shared" si="6"/>
        <v>0</v>
      </c>
      <c r="H126" s="616"/>
      <c r="I126" s="616"/>
      <c r="J126" s="902">
        <f t="shared" si="7"/>
        <v>0</v>
      </c>
      <c r="K126" s="903"/>
      <c r="L126" s="904"/>
      <c r="M126" s="884"/>
      <c r="N126" s="633"/>
    </row>
    <row r="127" spans="1:14" x14ac:dyDescent="0.25">
      <c r="A127" s="878">
        <v>114</v>
      </c>
      <c r="B127" s="593" t="s">
        <v>241</v>
      </c>
      <c r="C127" s="594" t="s">
        <v>242</v>
      </c>
      <c r="D127" s="884"/>
      <c r="E127" s="616"/>
      <c r="F127" s="616"/>
      <c r="G127" s="901">
        <f t="shared" si="6"/>
        <v>0</v>
      </c>
      <c r="H127" s="616"/>
      <c r="I127" s="616"/>
      <c r="J127" s="902">
        <f t="shared" si="7"/>
        <v>0</v>
      </c>
      <c r="K127" s="903"/>
      <c r="L127" s="904"/>
      <c r="M127" s="884"/>
      <c r="N127" s="633"/>
    </row>
    <row r="128" spans="1:14" x14ac:dyDescent="0.25">
      <c r="A128" s="878">
        <v>115</v>
      </c>
      <c r="B128" s="879" t="s">
        <v>243</v>
      </c>
      <c r="C128" s="611" t="s">
        <v>385</v>
      </c>
      <c r="D128" s="884"/>
      <c r="E128" s="616"/>
      <c r="F128" s="616"/>
      <c r="G128" s="901">
        <f t="shared" si="6"/>
        <v>0</v>
      </c>
      <c r="H128" s="616"/>
      <c r="I128" s="616"/>
      <c r="J128" s="902">
        <f t="shared" si="7"/>
        <v>0</v>
      </c>
      <c r="K128" s="903"/>
      <c r="L128" s="904"/>
      <c r="M128" s="884"/>
      <c r="N128" s="633"/>
    </row>
    <row r="129" spans="1:14" x14ac:dyDescent="0.25">
      <c r="A129" s="878">
        <v>116</v>
      </c>
      <c r="B129" s="600" t="s">
        <v>244</v>
      </c>
      <c r="C129" s="601" t="s">
        <v>649</v>
      </c>
      <c r="D129" s="884"/>
      <c r="E129" s="616"/>
      <c r="F129" s="616"/>
      <c r="G129" s="901">
        <f t="shared" si="6"/>
        <v>0</v>
      </c>
      <c r="H129" s="616"/>
      <c r="I129" s="616"/>
      <c r="J129" s="902">
        <f t="shared" si="7"/>
        <v>0</v>
      </c>
      <c r="K129" s="903"/>
      <c r="L129" s="904"/>
      <c r="M129" s="884"/>
      <c r="N129" s="633"/>
    </row>
    <row r="130" spans="1:14" x14ac:dyDescent="0.25">
      <c r="A130" s="878">
        <v>117</v>
      </c>
      <c r="B130" s="600" t="s">
        <v>246</v>
      </c>
      <c r="C130" s="601" t="s">
        <v>247</v>
      </c>
      <c r="D130" s="884"/>
      <c r="E130" s="616"/>
      <c r="F130" s="616"/>
      <c r="G130" s="901">
        <f t="shared" si="6"/>
        <v>0</v>
      </c>
      <c r="H130" s="616"/>
      <c r="I130" s="616"/>
      <c r="J130" s="902">
        <f t="shared" si="7"/>
        <v>0</v>
      </c>
      <c r="K130" s="903"/>
      <c r="L130" s="904"/>
      <c r="M130" s="884"/>
      <c r="N130" s="633"/>
    </row>
    <row r="131" spans="1:14" x14ac:dyDescent="0.25">
      <c r="A131" s="878">
        <v>118</v>
      </c>
      <c r="B131" s="600" t="s">
        <v>248</v>
      </c>
      <c r="C131" s="601" t="s">
        <v>249</v>
      </c>
      <c r="D131" s="884"/>
      <c r="E131" s="616"/>
      <c r="F131" s="616"/>
      <c r="G131" s="901">
        <f t="shared" si="6"/>
        <v>0</v>
      </c>
      <c r="H131" s="616"/>
      <c r="I131" s="616"/>
      <c r="J131" s="902">
        <f t="shared" si="7"/>
        <v>0</v>
      </c>
      <c r="K131" s="903"/>
      <c r="L131" s="904"/>
      <c r="M131" s="884"/>
      <c r="N131" s="633"/>
    </row>
    <row r="132" spans="1:14" x14ac:dyDescent="0.25">
      <c r="A132" s="878">
        <v>119</v>
      </c>
      <c r="B132" s="600" t="s">
        <v>250</v>
      </c>
      <c r="C132" s="601" t="s">
        <v>251</v>
      </c>
      <c r="D132" s="884"/>
      <c r="E132" s="616"/>
      <c r="F132" s="616"/>
      <c r="G132" s="901">
        <f t="shared" si="6"/>
        <v>0</v>
      </c>
      <c r="H132" s="616"/>
      <c r="I132" s="616"/>
      <c r="J132" s="902">
        <f t="shared" si="7"/>
        <v>0</v>
      </c>
      <c r="K132" s="903"/>
      <c r="L132" s="904"/>
      <c r="M132" s="884"/>
      <c r="N132" s="633"/>
    </row>
    <row r="133" spans="1:14" x14ac:dyDescent="0.25">
      <c r="A133" s="878">
        <v>120</v>
      </c>
      <c r="B133" s="616" t="s">
        <v>252</v>
      </c>
      <c r="C133" s="617" t="s">
        <v>253</v>
      </c>
      <c r="D133" s="884"/>
      <c r="E133" s="616"/>
      <c r="F133" s="616"/>
      <c r="G133" s="901">
        <f t="shared" si="6"/>
        <v>0</v>
      </c>
      <c r="H133" s="616"/>
      <c r="I133" s="616"/>
      <c r="J133" s="902">
        <f t="shared" si="7"/>
        <v>0</v>
      </c>
      <c r="K133" s="903"/>
      <c r="L133" s="904"/>
      <c r="M133" s="884"/>
      <c r="N133" s="633"/>
    </row>
    <row r="134" spans="1:14" x14ac:dyDescent="0.25">
      <c r="A134" s="878">
        <v>121</v>
      </c>
      <c r="B134" s="593" t="s">
        <v>254</v>
      </c>
      <c r="C134" s="594" t="s">
        <v>255</v>
      </c>
      <c r="D134" s="884"/>
      <c r="E134" s="616"/>
      <c r="F134" s="616"/>
      <c r="G134" s="901">
        <f t="shared" si="6"/>
        <v>0</v>
      </c>
      <c r="H134" s="616"/>
      <c r="I134" s="616"/>
      <c r="J134" s="902">
        <f t="shared" si="7"/>
        <v>0</v>
      </c>
      <c r="K134" s="903"/>
      <c r="L134" s="904"/>
      <c r="M134" s="884"/>
      <c r="N134" s="633"/>
    </row>
    <row r="135" spans="1:14" x14ac:dyDescent="0.25">
      <c r="A135" s="878">
        <v>122</v>
      </c>
      <c r="B135" s="600" t="s">
        <v>256</v>
      </c>
      <c r="C135" s="601" t="s">
        <v>257</v>
      </c>
      <c r="D135" s="884"/>
      <c r="E135" s="616"/>
      <c r="F135" s="616"/>
      <c r="G135" s="901">
        <f t="shared" si="6"/>
        <v>0</v>
      </c>
      <c r="H135" s="616"/>
      <c r="I135" s="616"/>
      <c r="J135" s="902">
        <f t="shared" si="7"/>
        <v>0</v>
      </c>
      <c r="K135" s="903"/>
      <c r="L135" s="904"/>
      <c r="M135" s="884"/>
      <c r="N135" s="633"/>
    </row>
    <row r="136" spans="1:14" x14ac:dyDescent="0.25">
      <c r="A136" s="878">
        <v>123</v>
      </c>
      <c r="B136" s="593" t="s">
        <v>258</v>
      </c>
      <c r="C136" s="601" t="s">
        <v>259</v>
      </c>
      <c r="D136" s="884"/>
      <c r="E136" s="616"/>
      <c r="F136" s="616"/>
      <c r="G136" s="901">
        <f t="shared" si="6"/>
        <v>0</v>
      </c>
      <c r="H136" s="616"/>
      <c r="I136" s="616"/>
      <c r="J136" s="902">
        <f t="shared" si="7"/>
        <v>0</v>
      </c>
      <c r="K136" s="903"/>
      <c r="L136" s="904"/>
      <c r="M136" s="884"/>
      <c r="N136" s="633"/>
    </row>
    <row r="137" spans="1:14" x14ac:dyDescent="0.25">
      <c r="A137" s="878">
        <v>124</v>
      </c>
      <c r="B137" s="600" t="s">
        <v>260</v>
      </c>
      <c r="C137" s="601" t="s">
        <v>261</v>
      </c>
      <c r="D137" s="884"/>
      <c r="E137" s="616"/>
      <c r="F137" s="616"/>
      <c r="G137" s="901">
        <f t="shared" si="6"/>
        <v>0</v>
      </c>
      <c r="H137" s="616"/>
      <c r="I137" s="616"/>
      <c r="J137" s="902">
        <f t="shared" si="7"/>
        <v>0</v>
      </c>
      <c r="K137" s="903"/>
      <c r="L137" s="904"/>
      <c r="M137" s="884"/>
      <c r="N137" s="633"/>
    </row>
    <row r="138" spans="1:14" x14ac:dyDescent="0.25">
      <c r="A138" s="878">
        <v>125</v>
      </c>
      <c r="B138" s="600" t="s">
        <v>262</v>
      </c>
      <c r="C138" s="601" t="s">
        <v>263</v>
      </c>
      <c r="D138" s="884"/>
      <c r="E138" s="616"/>
      <c r="F138" s="616"/>
      <c r="G138" s="901">
        <f t="shared" si="6"/>
        <v>0</v>
      </c>
      <c r="H138" s="616"/>
      <c r="I138" s="616"/>
      <c r="J138" s="902">
        <f t="shared" si="7"/>
        <v>0</v>
      </c>
      <c r="K138" s="903"/>
      <c r="L138" s="904"/>
      <c r="M138" s="884"/>
      <c r="N138" s="633"/>
    </row>
    <row r="139" spans="1:14" x14ac:dyDescent="0.25">
      <c r="A139" s="878">
        <v>126</v>
      </c>
      <c r="B139" s="593" t="s">
        <v>264</v>
      </c>
      <c r="C139" s="601" t="s">
        <v>265</v>
      </c>
      <c r="D139" s="884"/>
      <c r="E139" s="616"/>
      <c r="F139" s="616"/>
      <c r="G139" s="901">
        <f t="shared" si="6"/>
        <v>0</v>
      </c>
      <c r="H139" s="616"/>
      <c r="I139" s="616"/>
      <c r="J139" s="902">
        <f t="shared" si="7"/>
        <v>0</v>
      </c>
      <c r="K139" s="903"/>
      <c r="L139" s="904"/>
      <c r="M139" s="884"/>
      <c r="N139" s="633"/>
    </row>
    <row r="140" spans="1:14" x14ac:dyDescent="0.25">
      <c r="A140" s="878">
        <v>127</v>
      </c>
      <c r="B140" s="600" t="s">
        <v>266</v>
      </c>
      <c r="C140" s="601" t="s">
        <v>267</v>
      </c>
      <c r="D140" s="884"/>
      <c r="E140" s="616"/>
      <c r="F140" s="616"/>
      <c r="G140" s="901">
        <f t="shared" ref="G140:G153" si="8">SUM(D140:F140)</f>
        <v>0</v>
      </c>
      <c r="H140" s="616"/>
      <c r="I140" s="616"/>
      <c r="J140" s="902">
        <f t="shared" ref="J140:J153" si="9">SUM(H140:I140)</f>
        <v>0</v>
      </c>
      <c r="K140" s="903"/>
      <c r="L140" s="904"/>
      <c r="M140" s="884"/>
      <c r="N140" s="633"/>
    </row>
    <row r="141" spans="1:14" x14ac:dyDescent="0.25">
      <c r="A141" s="878">
        <v>128</v>
      </c>
      <c r="B141" s="593" t="s">
        <v>268</v>
      </c>
      <c r="C141" s="594" t="s">
        <v>269</v>
      </c>
      <c r="D141" s="884"/>
      <c r="E141" s="616"/>
      <c r="F141" s="616"/>
      <c r="G141" s="901">
        <f t="shared" si="8"/>
        <v>0</v>
      </c>
      <c r="H141" s="616"/>
      <c r="I141" s="616"/>
      <c r="J141" s="902">
        <f t="shared" si="9"/>
        <v>0</v>
      </c>
      <c r="K141" s="903"/>
      <c r="L141" s="904"/>
      <c r="M141" s="884"/>
      <c r="N141" s="633"/>
    </row>
    <row r="142" spans="1:14" x14ac:dyDescent="0.25">
      <c r="A142" s="878">
        <v>129</v>
      </c>
      <c r="B142" s="593" t="s">
        <v>270</v>
      </c>
      <c r="C142" s="594" t="s">
        <v>271</v>
      </c>
      <c r="D142" s="884"/>
      <c r="E142" s="616"/>
      <c r="F142" s="616"/>
      <c r="G142" s="901">
        <f t="shared" si="8"/>
        <v>0</v>
      </c>
      <c r="H142" s="616"/>
      <c r="I142" s="616"/>
      <c r="J142" s="902">
        <f t="shared" si="9"/>
        <v>0</v>
      </c>
      <c r="K142" s="903"/>
      <c r="L142" s="904"/>
      <c r="M142" s="884"/>
      <c r="N142" s="633"/>
    </row>
    <row r="143" spans="1:14" x14ac:dyDescent="0.25">
      <c r="A143" s="878">
        <v>130</v>
      </c>
      <c r="B143" s="600" t="s">
        <v>272</v>
      </c>
      <c r="C143" s="601" t="s">
        <v>273</v>
      </c>
      <c r="D143" s="884"/>
      <c r="E143" s="616"/>
      <c r="F143" s="616"/>
      <c r="G143" s="901">
        <f t="shared" si="8"/>
        <v>0</v>
      </c>
      <c r="H143" s="616"/>
      <c r="I143" s="616"/>
      <c r="J143" s="902">
        <f t="shared" si="9"/>
        <v>0</v>
      </c>
      <c r="K143" s="903"/>
      <c r="L143" s="904"/>
      <c r="M143" s="884"/>
      <c r="N143" s="633"/>
    </row>
    <row r="144" spans="1:14" x14ac:dyDescent="0.25">
      <c r="A144" s="878">
        <v>131</v>
      </c>
      <c r="B144" s="600" t="s">
        <v>274</v>
      </c>
      <c r="C144" s="601" t="s">
        <v>275</v>
      </c>
      <c r="D144" s="884"/>
      <c r="E144" s="616"/>
      <c r="F144" s="616"/>
      <c r="G144" s="901">
        <f t="shared" si="8"/>
        <v>0</v>
      </c>
      <c r="H144" s="616"/>
      <c r="I144" s="616"/>
      <c r="J144" s="902">
        <f t="shared" si="9"/>
        <v>0</v>
      </c>
      <c r="K144" s="903"/>
      <c r="L144" s="904"/>
      <c r="M144" s="884"/>
      <c r="N144" s="633"/>
    </row>
    <row r="145" spans="1:14" x14ac:dyDescent="0.25">
      <c r="A145" s="878">
        <v>132</v>
      </c>
      <c r="B145" s="600" t="s">
        <v>276</v>
      </c>
      <c r="C145" s="601" t="s">
        <v>277</v>
      </c>
      <c r="D145" s="884"/>
      <c r="E145" s="616"/>
      <c r="F145" s="616"/>
      <c r="G145" s="901">
        <f t="shared" si="8"/>
        <v>0</v>
      </c>
      <c r="H145" s="616"/>
      <c r="I145" s="616"/>
      <c r="J145" s="902">
        <f t="shared" si="9"/>
        <v>0</v>
      </c>
      <c r="K145" s="903"/>
      <c r="L145" s="904"/>
      <c r="M145" s="884"/>
      <c r="N145" s="633"/>
    </row>
    <row r="146" spans="1:14" x14ac:dyDescent="0.25">
      <c r="A146" s="878">
        <v>133</v>
      </c>
      <c r="B146" s="600" t="s">
        <v>278</v>
      </c>
      <c r="C146" s="601" t="s">
        <v>279</v>
      </c>
      <c r="D146" s="884">
        <v>6750</v>
      </c>
      <c r="E146" s="616"/>
      <c r="F146" s="616"/>
      <c r="G146" s="901">
        <f t="shared" si="8"/>
        <v>6750</v>
      </c>
      <c r="H146" s="616">
        <f>1125+40</f>
        <v>1165</v>
      </c>
      <c r="I146" s="616"/>
      <c r="J146" s="902">
        <f t="shared" si="9"/>
        <v>1165</v>
      </c>
      <c r="K146" s="903"/>
      <c r="L146" s="904"/>
      <c r="M146" s="884"/>
      <c r="N146" s="633"/>
    </row>
    <row r="147" spans="1:14" x14ac:dyDescent="0.25">
      <c r="A147" s="878">
        <v>134</v>
      </c>
      <c r="B147" s="600" t="s">
        <v>280</v>
      </c>
      <c r="C147" s="601" t="s">
        <v>281</v>
      </c>
      <c r="D147" s="884"/>
      <c r="E147" s="616"/>
      <c r="F147" s="616"/>
      <c r="G147" s="901">
        <f t="shared" si="8"/>
        <v>0</v>
      </c>
      <c r="H147" s="616"/>
      <c r="I147" s="616"/>
      <c r="J147" s="902">
        <f t="shared" si="9"/>
        <v>0</v>
      </c>
      <c r="K147" s="903"/>
      <c r="L147" s="904"/>
      <c r="M147" s="884"/>
      <c r="N147" s="633"/>
    </row>
    <row r="148" spans="1:14" x14ac:dyDescent="0.25">
      <c r="A148" s="878">
        <v>135</v>
      </c>
      <c r="B148" s="593" t="s">
        <v>282</v>
      </c>
      <c r="C148" s="594" t="s">
        <v>283</v>
      </c>
      <c r="D148" s="884"/>
      <c r="E148" s="616"/>
      <c r="F148" s="616"/>
      <c r="G148" s="901">
        <f t="shared" si="8"/>
        <v>0</v>
      </c>
      <c r="H148" s="616"/>
      <c r="I148" s="616"/>
      <c r="J148" s="902">
        <f t="shared" si="9"/>
        <v>0</v>
      </c>
      <c r="K148" s="903"/>
      <c r="L148" s="904"/>
      <c r="M148" s="884"/>
      <c r="N148" s="633"/>
    </row>
    <row r="149" spans="1:14" x14ac:dyDescent="0.25">
      <c r="A149" s="878">
        <v>136</v>
      </c>
      <c r="B149" s="600" t="s">
        <v>284</v>
      </c>
      <c r="C149" s="601" t="s">
        <v>285</v>
      </c>
      <c r="D149" s="884"/>
      <c r="E149" s="616"/>
      <c r="F149" s="616"/>
      <c r="G149" s="901">
        <f t="shared" si="8"/>
        <v>0</v>
      </c>
      <c r="H149" s="616"/>
      <c r="I149" s="616"/>
      <c r="J149" s="902">
        <f t="shared" si="9"/>
        <v>0</v>
      </c>
      <c r="K149" s="903"/>
      <c r="L149" s="904"/>
      <c r="M149" s="884"/>
      <c r="N149" s="633"/>
    </row>
    <row r="150" spans="1:14" x14ac:dyDescent="0.25">
      <c r="A150" s="878">
        <v>137</v>
      </c>
      <c r="B150" s="619" t="s">
        <v>387</v>
      </c>
      <c r="C150" s="609" t="s">
        <v>388</v>
      </c>
      <c r="D150" s="884"/>
      <c r="E150" s="616"/>
      <c r="F150" s="616"/>
      <c r="G150" s="901">
        <f t="shared" si="8"/>
        <v>0</v>
      </c>
      <c r="H150" s="616"/>
      <c r="I150" s="616"/>
      <c r="J150" s="902">
        <f t="shared" si="9"/>
        <v>0</v>
      </c>
      <c r="K150" s="903"/>
      <c r="L150" s="904"/>
      <c r="M150" s="884"/>
      <c r="N150" s="633"/>
    </row>
    <row r="151" spans="1:14" x14ac:dyDescent="0.25">
      <c r="A151" s="878">
        <v>138</v>
      </c>
      <c r="B151" s="620" t="s">
        <v>389</v>
      </c>
      <c r="C151" s="621" t="s">
        <v>390</v>
      </c>
      <c r="D151" s="884"/>
      <c r="E151" s="616"/>
      <c r="F151" s="616"/>
      <c r="G151" s="901">
        <f t="shared" si="8"/>
        <v>0</v>
      </c>
      <c r="H151" s="616"/>
      <c r="I151" s="616"/>
      <c r="J151" s="902">
        <f t="shared" si="9"/>
        <v>0</v>
      </c>
      <c r="K151" s="903"/>
      <c r="L151" s="904"/>
      <c r="M151" s="884"/>
      <c r="N151" s="633"/>
    </row>
    <row r="152" spans="1:14" x14ac:dyDescent="0.25">
      <c r="A152" s="878">
        <v>139</v>
      </c>
      <c r="B152" s="619" t="s">
        <v>391</v>
      </c>
      <c r="C152" s="609" t="s">
        <v>392</v>
      </c>
      <c r="D152" s="884"/>
      <c r="E152" s="616">
        <v>419945</v>
      </c>
      <c r="F152" s="616">
        <v>99924</v>
      </c>
      <c r="G152" s="901">
        <f t="shared" si="8"/>
        <v>519869</v>
      </c>
      <c r="H152" s="616"/>
      <c r="I152" s="616">
        <v>151965</v>
      </c>
      <c r="J152" s="902">
        <f t="shared" si="9"/>
        <v>151965</v>
      </c>
      <c r="K152" s="903">
        <v>6603</v>
      </c>
      <c r="L152" s="904">
        <v>526080</v>
      </c>
      <c r="M152" s="884">
        <v>799</v>
      </c>
      <c r="N152" s="633">
        <v>41540</v>
      </c>
    </row>
    <row r="153" spans="1:14" ht="13.5" thickBot="1" x14ac:dyDescent="0.3">
      <c r="A153" s="622">
        <v>140</v>
      </c>
      <c r="B153" s="623" t="s">
        <v>393</v>
      </c>
      <c r="C153" s="624" t="s">
        <v>394</v>
      </c>
      <c r="D153" s="891"/>
      <c r="E153" s="892"/>
      <c r="F153" s="892"/>
      <c r="G153" s="914">
        <f t="shared" si="8"/>
        <v>0</v>
      </c>
      <c r="H153" s="892"/>
      <c r="I153" s="892"/>
      <c r="J153" s="915">
        <f t="shared" si="9"/>
        <v>0</v>
      </c>
      <c r="K153" s="894"/>
      <c r="L153" s="895"/>
      <c r="M153" s="891"/>
      <c r="N153" s="893"/>
    </row>
    <row r="154" spans="1:14" x14ac:dyDescent="0.25">
      <c r="G154" s="887"/>
    </row>
    <row r="155" spans="1:14" x14ac:dyDescent="0.25">
      <c r="G155" s="887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60"/>
  <sheetViews>
    <sheetView zoomScale="80" zoomScaleNormal="80" workbookViewId="0">
      <pane xSplit="3" ySplit="7" topLeftCell="D20" activePane="bottomRight" state="frozen"/>
      <selection pane="topRight" activeCell="D1" sqref="D1"/>
      <selection pane="bottomLeft" activeCell="A8" sqref="A8"/>
      <selection pane="bottomRight" activeCell="D42" sqref="D42"/>
    </sheetView>
  </sheetViews>
  <sheetFormatPr defaultRowHeight="12.75" x14ac:dyDescent="0.25"/>
  <cols>
    <col min="1" max="1" width="6.140625" style="200" customWidth="1"/>
    <col min="2" max="2" width="10.5703125" style="201" customWidth="1"/>
    <col min="3" max="3" width="35.28515625" style="171" customWidth="1"/>
    <col min="4" max="4" width="10.7109375" style="171" customWidth="1"/>
    <col min="5" max="5" width="10.5703125" style="202" customWidth="1"/>
    <col min="6" max="6" width="11" style="202" customWidth="1"/>
    <col min="7" max="7" width="11.7109375" style="202" customWidth="1"/>
    <col min="8" max="8" width="10.85546875" style="202" customWidth="1"/>
    <col min="9" max="9" width="10.42578125" style="202" customWidth="1"/>
    <col min="10" max="10" width="9" style="202" customWidth="1"/>
    <col min="11" max="11" width="10.42578125" style="202" customWidth="1"/>
    <col min="12" max="12" width="13.85546875" style="202" customWidth="1"/>
    <col min="13" max="13" width="11.85546875" style="171" customWidth="1"/>
    <col min="14" max="16384" width="9.140625" style="171"/>
  </cols>
  <sheetData>
    <row r="1" spans="1:18" ht="22.5" customHeight="1" x14ac:dyDescent="0.25">
      <c r="A1" s="1250" t="s">
        <v>651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</row>
    <row r="3" spans="1:18" ht="15.75" customHeight="1" x14ac:dyDescent="0.25">
      <c r="A3" s="1251" t="s">
        <v>0</v>
      </c>
      <c r="B3" s="1252" t="s">
        <v>302</v>
      </c>
      <c r="C3" s="1251" t="s">
        <v>292</v>
      </c>
      <c r="D3" s="172"/>
      <c r="E3" s="173" t="s">
        <v>652</v>
      </c>
      <c r="F3" s="174"/>
      <c r="G3" s="174"/>
      <c r="H3" s="175"/>
      <c r="I3" s="172"/>
      <c r="J3" s="176" t="s">
        <v>653</v>
      </c>
      <c r="K3" s="177"/>
      <c r="L3" s="178"/>
    </row>
    <row r="4" spans="1:18" ht="28.5" customHeight="1" x14ac:dyDescent="0.25">
      <c r="A4" s="1251"/>
      <c r="B4" s="1253"/>
      <c r="C4" s="1251"/>
      <c r="D4" s="179" t="s">
        <v>654</v>
      </c>
      <c r="E4" s="180" t="s">
        <v>655</v>
      </c>
      <c r="F4" s="180" t="s">
        <v>656</v>
      </c>
      <c r="G4" s="181" t="s">
        <v>657</v>
      </c>
      <c r="H4" s="181" t="s">
        <v>6</v>
      </c>
      <c r="I4" s="180" t="s">
        <v>655</v>
      </c>
      <c r="J4" s="180" t="s">
        <v>656</v>
      </c>
      <c r="K4" s="181" t="s">
        <v>657</v>
      </c>
      <c r="L4" s="181" t="s">
        <v>6</v>
      </c>
    </row>
    <row r="5" spans="1:18" ht="12.75" customHeight="1" x14ac:dyDescent="0.25">
      <c r="A5" s="179"/>
      <c r="B5" s="182"/>
      <c r="C5" s="183" t="s">
        <v>6</v>
      </c>
      <c r="D5" s="184">
        <f>D6+D7</f>
        <v>13988</v>
      </c>
      <c r="E5" s="185">
        <f t="shared" ref="E5:L5" si="0">E6+E7</f>
        <v>140707</v>
      </c>
      <c r="F5" s="185">
        <f t="shared" si="0"/>
        <v>2212</v>
      </c>
      <c r="G5" s="184">
        <f t="shared" si="0"/>
        <v>31312</v>
      </c>
      <c r="H5" s="184">
        <f t="shared" si="0"/>
        <v>188219</v>
      </c>
      <c r="I5" s="185">
        <f t="shared" si="0"/>
        <v>61561</v>
      </c>
      <c r="J5" s="185">
        <f t="shared" si="0"/>
        <v>1860</v>
      </c>
      <c r="K5" s="184">
        <f t="shared" si="0"/>
        <v>4380</v>
      </c>
      <c r="L5" s="184">
        <f t="shared" si="0"/>
        <v>67801</v>
      </c>
    </row>
    <row r="6" spans="1:18" ht="12.75" customHeight="1" x14ac:dyDescent="0.25">
      <c r="A6" s="179"/>
      <c r="B6" s="182"/>
      <c r="C6" s="186" t="s">
        <v>14</v>
      </c>
      <c r="D6" s="187">
        <v>0</v>
      </c>
      <c r="E6" s="187">
        <v>0</v>
      </c>
      <c r="F6" s="187">
        <v>0</v>
      </c>
      <c r="G6" s="187">
        <v>0</v>
      </c>
      <c r="H6" s="180">
        <f>D6+E6+F6+G6</f>
        <v>0</v>
      </c>
      <c r="I6" s="180">
        <v>0</v>
      </c>
      <c r="J6" s="180">
        <v>0</v>
      </c>
      <c r="K6" s="180">
        <v>0</v>
      </c>
      <c r="L6" s="180">
        <f>I6+J6+K6</f>
        <v>0</v>
      </c>
    </row>
    <row r="7" spans="1:18" ht="12.75" customHeight="1" x14ac:dyDescent="0.25">
      <c r="A7" s="179"/>
      <c r="B7" s="182"/>
      <c r="C7" s="186" t="s">
        <v>15</v>
      </c>
      <c r="D7" s="184">
        <f t="shared" ref="D7:K7" si="1">SUM(D8:D54)</f>
        <v>13988</v>
      </c>
      <c r="E7" s="184">
        <f t="shared" si="1"/>
        <v>140707</v>
      </c>
      <c r="F7" s="184">
        <f t="shared" si="1"/>
        <v>2212</v>
      </c>
      <c r="G7" s="184">
        <f t="shared" si="1"/>
        <v>31312</v>
      </c>
      <c r="H7" s="184">
        <f t="shared" si="1"/>
        <v>188219</v>
      </c>
      <c r="I7" s="184">
        <f t="shared" si="1"/>
        <v>61561</v>
      </c>
      <c r="J7" s="184">
        <f t="shared" si="1"/>
        <v>1860</v>
      </c>
      <c r="K7" s="184">
        <f t="shared" si="1"/>
        <v>4380</v>
      </c>
      <c r="L7" s="184">
        <f>SUM(L8:L54)</f>
        <v>67801</v>
      </c>
    </row>
    <row r="8" spans="1:18" ht="12.75" customHeight="1" x14ac:dyDescent="0.25">
      <c r="A8" s="188">
        <v>1</v>
      </c>
      <c r="B8" s="189" t="s">
        <v>20</v>
      </c>
      <c r="C8" s="170" t="s">
        <v>21</v>
      </c>
      <c r="D8" s="187"/>
      <c r="E8" s="187">
        <v>1648</v>
      </c>
      <c r="F8" s="187">
        <v>0</v>
      </c>
      <c r="G8" s="187">
        <v>347</v>
      </c>
      <c r="H8" s="180">
        <f t="shared" ref="H8:H14" si="2">D8+E8+F8+G8</f>
        <v>1995</v>
      </c>
      <c r="I8" s="180">
        <v>0</v>
      </c>
      <c r="J8" s="180">
        <v>0</v>
      </c>
      <c r="K8" s="180">
        <v>0</v>
      </c>
      <c r="L8" s="180">
        <f t="shared" ref="L8:L54" si="3">I8+J8+K8</f>
        <v>0</v>
      </c>
      <c r="N8" s="203"/>
      <c r="O8" s="203"/>
      <c r="Q8" s="203"/>
      <c r="R8" s="203"/>
    </row>
    <row r="9" spans="1:18" ht="12.75" customHeight="1" x14ac:dyDescent="0.25">
      <c r="A9" s="188">
        <v>2</v>
      </c>
      <c r="B9" s="189" t="s">
        <v>26</v>
      </c>
      <c r="C9" s="170" t="s">
        <v>658</v>
      </c>
      <c r="D9" s="187"/>
      <c r="E9" s="187">
        <v>6167</v>
      </c>
      <c r="F9" s="187">
        <v>0</v>
      </c>
      <c r="G9" s="187">
        <v>2154</v>
      </c>
      <c r="H9" s="180">
        <f t="shared" si="2"/>
        <v>8321</v>
      </c>
      <c r="I9" s="180">
        <v>2590</v>
      </c>
      <c r="J9" s="180">
        <v>0</v>
      </c>
      <c r="K9" s="180">
        <v>0</v>
      </c>
      <c r="L9" s="180">
        <f t="shared" si="3"/>
        <v>2590</v>
      </c>
      <c r="N9" s="203"/>
      <c r="O9" s="203"/>
      <c r="Q9" s="203"/>
      <c r="R9" s="203"/>
    </row>
    <row r="10" spans="1:18" ht="12.75" customHeight="1" x14ac:dyDescent="0.25">
      <c r="A10" s="188">
        <v>3</v>
      </c>
      <c r="B10" s="189" t="s">
        <v>28</v>
      </c>
      <c r="C10" s="170" t="s">
        <v>29</v>
      </c>
      <c r="D10" s="187"/>
      <c r="E10" s="187">
        <v>2212</v>
      </c>
      <c r="F10" s="187">
        <v>0</v>
      </c>
      <c r="G10" s="187">
        <v>0</v>
      </c>
      <c r="H10" s="180">
        <f t="shared" si="2"/>
        <v>2212</v>
      </c>
      <c r="I10" s="180">
        <v>0</v>
      </c>
      <c r="J10" s="180">
        <v>0</v>
      </c>
      <c r="K10" s="180">
        <v>0</v>
      </c>
      <c r="L10" s="180">
        <f t="shared" si="3"/>
        <v>0</v>
      </c>
      <c r="N10" s="203"/>
      <c r="O10" s="203"/>
      <c r="Q10" s="203"/>
      <c r="R10" s="203"/>
    </row>
    <row r="11" spans="1:18" ht="12.75" customHeight="1" x14ac:dyDescent="0.25">
      <c r="A11" s="188">
        <v>4</v>
      </c>
      <c r="B11" s="189" t="s">
        <v>48</v>
      </c>
      <c r="C11" s="170" t="s">
        <v>49</v>
      </c>
      <c r="D11" s="187"/>
      <c r="E11" s="187">
        <v>1609</v>
      </c>
      <c r="F11" s="187">
        <v>59</v>
      </c>
      <c r="G11" s="187">
        <v>432</v>
      </c>
      <c r="H11" s="180">
        <f t="shared" si="2"/>
        <v>2100</v>
      </c>
      <c r="I11" s="180">
        <v>0</v>
      </c>
      <c r="J11" s="180">
        <v>0</v>
      </c>
      <c r="K11" s="180">
        <v>0</v>
      </c>
      <c r="L11" s="180">
        <f t="shared" si="3"/>
        <v>0</v>
      </c>
      <c r="N11" s="203"/>
      <c r="O11" s="203"/>
      <c r="Q11" s="203"/>
      <c r="R11" s="203"/>
    </row>
    <row r="12" spans="1:18" ht="12.75" customHeight="1" x14ac:dyDescent="0.25">
      <c r="A12" s="188">
        <v>5</v>
      </c>
      <c r="B12" s="189" t="s">
        <v>50</v>
      </c>
      <c r="C12" s="170" t="s">
        <v>51</v>
      </c>
      <c r="D12" s="187"/>
      <c r="E12" s="187">
        <v>4264</v>
      </c>
      <c r="F12" s="187">
        <v>0</v>
      </c>
      <c r="G12" s="187">
        <v>1546</v>
      </c>
      <c r="H12" s="180">
        <f t="shared" si="2"/>
        <v>5810</v>
      </c>
      <c r="I12" s="180">
        <v>1251</v>
      </c>
      <c r="J12" s="180">
        <v>0</v>
      </c>
      <c r="K12" s="180">
        <v>0</v>
      </c>
      <c r="L12" s="180">
        <f t="shared" si="3"/>
        <v>1251</v>
      </c>
      <c r="N12" s="203"/>
      <c r="O12" s="203"/>
      <c r="Q12" s="203"/>
      <c r="R12" s="203"/>
    </row>
    <row r="13" spans="1:18" ht="12.75" customHeight="1" x14ac:dyDescent="0.25">
      <c r="A13" s="188">
        <v>6</v>
      </c>
      <c r="B13" s="189" t="s">
        <v>56</v>
      </c>
      <c r="C13" s="170" t="s">
        <v>659</v>
      </c>
      <c r="D13" s="187"/>
      <c r="E13" s="187">
        <v>1695</v>
      </c>
      <c r="F13" s="187">
        <v>0</v>
      </c>
      <c r="G13" s="187">
        <v>0</v>
      </c>
      <c r="H13" s="180">
        <f t="shared" si="2"/>
        <v>1695</v>
      </c>
      <c r="I13" s="180">
        <v>0</v>
      </c>
      <c r="J13" s="180">
        <v>0</v>
      </c>
      <c r="K13" s="180">
        <v>0</v>
      </c>
      <c r="L13" s="180">
        <f t="shared" si="3"/>
        <v>0</v>
      </c>
      <c r="N13" s="203"/>
      <c r="O13" s="203"/>
      <c r="Q13" s="203"/>
      <c r="R13" s="203"/>
    </row>
    <row r="14" spans="1:18" ht="12.75" customHeight="1" x14ac:dyDescent="0.25">
      <c r="A14" s="188">
        <v>7</v>
      </c>
      <c r="B14" s="189" t="s">
        <v>58</v>
      </c>
      <c r="C14" s="170" t="s">
        <v>59</v>
      </c>
      <c r="D14" s="187"/>
      <c r="E14" s="187">
        <v>2094</v>
      </c>
      <c r="F14" s="187">
        <v>76</v>
      </c>
      <c r="G14" s="187">
        <v>561</v>
      </c>
      <c r="H14" s="180">
        <f t="shared" si="2"/>
        <v>2731</v>
      </c>
      <c r="I14" s="180">
        <v>1049</v>
      </c>
      <c r="J14" s="180">
        <v>338</v>
      </c>
      <c r="K14" s="180">
        <v>87</v>
      </c>
      <c r="L14" s="180">
        <f t="shared" si="3"/>
        <v>1474</v>
      </c>
      <c r="N14" s="203"/>
      <c r="O14" s="203"/>
      <c r="Q14" s="203"/>
      <c r="R14" s="203"/>
    </row>
    <row r="15" spans="1:18" ht="12.75" customHeight="1" x14ac:dyDescent="0.25">
      <c r="A15" s="188">
        <v>8</v>
      </c>
      <c r="B15" s="189" t="s">
        <v>62</v>
      </c>
      <c r="C15" s="170" t="s">
        <v>63</v>
      </c>
      <c r="D15" s="187"/>
      <c r="E15" s="187">
        <v>0</v>
      </c>
      <c r="F15" s="187">
        <v>0</v>
      </c>
      <c r="G15" s="187">
        <v>0</v>
      </c>
      <c r="H15" s="187">
        <v>0</v>
      </c>
      <c r="I15" s="180">
        <v>749</v>
      </c>
      <c r="J15" s="180">
        <v>242</v>
      </c>
      <c r="K15" s="180">
        <v>63</v>
      </c>
      <c r="L15" s="180">
        <f t="shared" si="3"/>
        <v>1054</v>
      </c>
      <c r="N15" s="203"/>
      <c r="O15" s="203"/>
      <c r="Q15" s="203"/>
      <c r="R15" s="203"/>
    </row>
    <row r="16" spans="1:18" ht="12.75" customHeight="1" x14ac:dyDescent="0.25">
      <c r="A16" s="188">
        <v>9</v>
      </c>
      <c r="B16" s="189" t="s">
        <v>66</v>
      </c>
      <c r="C16" s="170" t="s">
        <v>481</v>
      </c>
      <c r="D16" s="187"/>
      <c r="E16" s="187">
        <v>6892</v>
      </c>
      <c r="F16" s="187">
        <v>126</v>
      </c>
      <c r="G16" s="187">
        <v>1197</v>
      </c>
      <c r="H16" s="180">
        <f>D16+E16+F16+G16</f>
        <v>8215</v>
      </c>
      <c r="I16" s="180">
        <v>2849</v>
      </c>
      <c r="J16" s="180">
        <v>99</v>
      </c>
      <c r="K16" s="180">
        <v>0</v>
      </c>
      <c r="L16" s="180">
        <f t="shared" si="3"/>
        <v>2948</v>
      </c>
      <c r="N16" s="203"/>
      <c r="O16" s="203"/>
      <c r="Q16" s="203"/>
      <c r="R16" s="203"/>
    </row>
    <row r="17" spans="1:18" ht="12.75" customHeight="1" x14ac:dyDescent="0.25">
      <c r="A17" s="188">
        <v>10</v>
      </c>
      <c r="B17" s="189" t="s">
        <v>68</v>
      </c>
      <c r="C17" s="170" t="s">
        <v>69</v>
      </c>
      <c r="D17" s="187"/>
      <c r="E17" s="187">
        <v>1329</v>
      </c>
      <c r="F17" s="187">
        <v>124</v>
      </c>
      <c r="G17" s="187">
        <v>395</v>
      </c>
      <c r="H17" s="180">
        <f t="shared" ref="H17:H54" si="4">D17+E17+F17+G17</f>
        <v>1848</v>
      </c>
      <c r="I17" s="180">
        <v>0</v>
      </c>
      <c r="J17" s="180">
        <v>0</v>
      </c>
      <c r="K17" s="180">
        <v>0</v>
      </c>
      <c r="L17" s="180">
        <f t="shared" si="3"/>
        <v>0</v>
      </c>
      <c r="N17" s="203"/>
      <c r="O17" s="203"/>
      <c r="Q17" s="203"/>
      <c r="R17" s="203"/>
    </row>
    <row r="18" spans="1:18" ht="12.75" customHeight="1" x14ac:dyDescent="0.25">
      <c r="A18" s="188">
        <v>11</v>
      </c>
      <c r="B18" s="189" t="s">
        <v>77</v>
      </c>
      <c r="C18" s="170" t="s">
        <v>78</v>
      </c>
      <c r="D18" s="187"/>
      <c r="E18" s="187">
        <v>2712</v>
      </c>
      <c r="F18" s="187">
        <v>15</v>
      </c>
      <c r="G18" s="187">
        <v>78</v>
      </c>
      <c r="H18" s="180">
        <f t="shared" si="4"/>
        <v>2805</v>
      </c>
      <c r="I18" s="180">
        <v>0</v>
      </c>
      <c r="J18" s="180">
        <v>0</v>
      </c>
      <c r="K18" s="180">
        <v>0</v>
      </c>
      <c r="L18" s="180">
        <f t="shared" si="3"/>
        <v>0</v>
      </c>
      <c r="N18" s="203"/>
      <c r="O18" s="203"/>
      <c r="Q18" s="203"/>
      <c r="R18" s="203"/>
    </row>
    <row r="19" spans="1:18" ht="12.75" customHeight="1" x14ac:dyDescent="0.25">
      <c r="A19" s="188">
        <v>12</v>
      </c>
      <c r="B19" s="189" t="s">
        <v>79</v>
      </c>
      <c r="C19" s="170" t="s">
        <v>80</v>
      </c>
      <c r="D19" s="187"/>
      <c r="E19" s="187">
        <v>4085</v>
      </c>
      <c r="F19" s="187">
        <v>141</v>
      </c>
      <c r="G19" s="187">
        <v>0</v>
      </c>
      <c r="H19" s="180">
        <f t="shared" si="4"/>
        <v>4226</v>
      </c>
      <c r="I19" s="180">
        <v>0</v>
      </c>
      <c r="J19" s="180">
        <v>0</v>
      </c>
      <c r="K19" s="180">
        <v>0</v>
      </c>
      <c r="L19" s="180">
        <f t="shared" si="3"/>
        <v>0</v>
      </c>
      <c r="N19" s="203"/>
      <c r="O19" s="203"/>
      <c r="Q19" s="203"/>
      <c r="R19" s="203"/>
    </row>
    <row r="20" spans="1:18" ht="12.75" customHeight="1" x14ac:dyDescent="0.25">
      <c r="A20" s="188">
        <v>13</v>
      </c>
      <c r="B20" s="189" t="s">
        <v>83</v>
      </c>
      <c r="C20" s="170" t="s">
        <v>84</v>
      </c>
      <c r="D20" s="187"/>
      <c r="E20" s="187">
        <v>2843</v>
      </c>
      <c r="F20" s="187">
        <v>98</v>
      </c>
      <c r="G20" s="187">
        <v>0</v>
      </c>
      <c r="H20" s="180">
        <f t="shared" si="4"/>
        <v>2941</v>
      </c>
      <c r="I20" s="180">
        <v>0</v>
      </c>
      <c r="J20" s="180">
        <v>0</v>
      </c>
      <c r="K20" s="180">
        <v>0</v>
      </c>
      <c r="L20" s="180">
        <f t="shared" si="3"/>
        <v>0</v>
      </c>
      <c r="N20" s="203"/>
      <c r="O20" s="203"/>
      <c r="Q20" s="203"/>
      <c r="R20" s="203"/>
    </row>
    <row r="21" spans="1:18" ht="12.75" customHeight="1" x14ac:dyDescent="0.25">
      <c r="A21" s="188">
        <v>14</v>
      </c>
      <c r="B21" s="189" t="s">
        <v>87</v>
      </c>
      <c r="C21" s="170" t="s">
        <v>88</v>
      </c>
      <c r="D21" s="187"/>
      <c r="E21" s="187">
        <v>3131</v>
      </c>
      <c r="F21" s="187">
        <v>0</v>
      </c>
      <c r="G21" s="187">
        <v>798</v>
      </c>
      <c r="H21" s="180">
        <f t="shared" si="4"/>
        <v>3929</v>
      </c>
      <c r="I21" s="180">
        <v>0</v>
      </c>
      <c r="J21" s="180">
        <v>0</v>
      </c>
      <c r="K21" s="180">
        <v>0</v>
      </c>
      <c r="L21" s="180">
        <f t="shared" si="3"/>
        <v>0</v>
      </c>
      <c r="N21" s="203"/>
      <c r="O21" s="203"/>
      <c r="Q21" s="203"/>
      <c r="R21" s="203"/>
    </row>
    <row r="22" spans="1:18" ht="12.75" customHeight="1" x14ac:dyDescent="0.25">
      <c r="A22" s="188">
        <v>15</v>
      </c>
      <c r="B22" s="189" t="s">
        <v>97</v>
      </c>
      <c r="C22" s="170" t="s">
        <v>660</v>
      </c>
      <c r="D22" s="187"/>
      <c r="E22" s="187">
        <v>548</v>
      </c>
      <c r="F22" s="187">
        <v>15</v>
      </c>
      <c r="G22" s="187">
        <v>109</v>
      </c>
      <c r="H22" s="180">
        <f>D22+E22+F22+G22</f>
        <v>672</v>
      </c>
      <c r="I22" s="180">
        <v>210</v>
      </c>
      <c r="J22" s="180">
        <v>0</v>
      </c>
      <c r="K22" s="180">
        <v>0</v>
      </c>
      <c r="L22" s="180">
        <f t="shared" si="3"/>
        <v>210</v>
      </c>
      <c r="N22" s="203"/>
      <c r="O22" s="203"/>
      <c r="Q22" s="203"/>
      <c r="R22" s="203"/>
    </row>
    <row r="23" spans="1:18" ht="12.75" customHeight="1" x14ac:dyDescent="0.25">
      <c r="A23" s="188">
        <v>16</v>
      </c>
      <c r="B23" s="189" t="s">
        <v>99</v>
      </c>
      <c r="C23" s="170" t="s">
        <v>661</v>
      </c>
      <c r="D23" s="187"/>
      <c r="E23" s="187">
        <v>3663</v>
      </c>
      <c r="F23" s="187">
        <v>53</v>
      </c>
      <c r="G23" s="187">
        <v>76</v>
      </c>
      <c r="H23" s="180">
        <f>D23+E23+F23+G23</f>
        <v>3792</v>
      </c>
      <c r="I23" s="180">
        <v>2649</v>
      </c>
      <c r="J23" s="180">
        <v>28</v>
      </c>
      <c r="K23" s="180">
        <v>39</v>
      </c>
      <c r="L23" s="180">
        <f t="shared" si="3"/>
        <v>2716</v>
      </c>
      <c r="N23" s="203"/>
      <c r="O23" s="203"/>
      <c r="Q23" s="203"/>
      <c r="R23" s="203"/>
    </row>
    <row r="24" spans="1:18" ht="12.75" customHeight="1" x14ac:dyDescent="0.25">
      <c r="A24" s="188">
        <v>17</v>
      </c>
      <c r="B24" s="189" t="s">
        <v>103</v>
      </c>
      <c r="C24" s="170" t="s">
        <v>104</v>
      </c>
      <c r="D24" s="187"/>
      <c r="E24" s="187">
        <v>1093</v>
      </c>
      <c r="F24" s="187">
        <v>37</v>
      </c>
      <c r="G24" s="187">
        <v>0</v>
      </c>
      <c r="H24" s="180">
        <f t="shared" si="4"/>
        <v>1130</v>
      </c>
      <c r="I24" s="180">
        <v>0</v>
      </c>
      <c r="J24" s="180">
        <v>0</v>
      </c>
      <c r="K24" s="180">
        <v>0</v>
      </c>
      <c r="L24" s="180">
        <f t="shared" si="3"/>
        <v>0</v>
      </c>
      <c r="N24" s="203"/>
      <c r="O24" s="203"/>
      <c r="Q24" s="203"/>
      <c r="R24" s="203"/>
    </row>
    <row r="25" spans="1:18" ht="12.75" customHeight="1" x14ac:dyDescent="0.25">
      <c r="A25" s="188">
        <v>18</v>
      </c>
      <c r="B25" s="189" t="s">
        <v>109</v>
      </c>
      <c r="C25" s="170" t="s">
        <v>110</v>
      </c>
      <c r="D25" s="187"/>
      <c r="E25" s="187">
        <v>748</v>
      </c>
      <c r="F25" s="187">
        <v>0</v>
      </c>
      <c r="G25" s="187">
        <v>0</v>
      </c>
      <c r="H25" s="180">
        <f t="shared" si="4"/>
        <v>748</v>
      </c>
      <c r="I25" s="180">
        <v>0</v>
      </c>
      <c r="J25" s="180">
        <v>0</v>
      </c>
      <c r="K25" s="180">
        <v>0</v>
      </c>
      <c r="L25" s="180">
        <f t="shared" si="3"/>
        <v>0</v>
      </c>
      <c r="N25" s="203"/>
      <c r="O25" s="203"/>
      <c r="Q25" s="203"/>
      <c r="R25" s="203"/>
    </row>
    <row r="26" spans="1:18" ht="12.75" customHeight="1" x14ac:dyDescent="0.25">
      <c r="A26" s="188">
        <v>19</v>
      </c>
      <c r="B26" s="189" t="s">
        <v>117</v>
      </c>
      <c r="C26" s="170" t="s">
        <v>118</v>
      </c>
      <c r="D26" s="187"/>
      <c r="E26" s="187">
        <v>4255</v>
      </c>
      <c r="F26" s="187">
        <v>0</v>
      </c>
      <c r="G26" s="187">
        <v>0</v>
      </c>
      <c r="H26" s="180">
        <f t="shared" si="4"/>
        <v>4255</v>
      </c>
      <c r="I26" s="180">
        <v>0</v>
      </c>
      <c r="J26" s="180">
        <v>0</v>
      </c>
      <c r="K26" s="180">
        <v>0</v>
      </c>
      <c r="L26" s="180">
        <f t="shared" si="3"/>
        <v>0</v>
      </c>
      <c r="N26" s="203"/>
      <c r="O26" s="203"/>
      <c r="Q26" s="203"/>
      <c r="R26" s="203"/>
    </row>
    <row r="27" spans="1:18" ht="12.75" customHeight="1" x14ac:dyDescent="0.25">
      <c r="A27" s="188">
        <v>20</v>
      </c>
      <c r="B27" s="189" t="s">
        <v>143</v>
      </c>
      <c r="C27" s="170" t="s">
        <v>144</v>
      </c>
      <c r="D27" s="187"/>
      <c r="E27" s="187">
        <v>1214</v>
      </c>
      <c r="F27" s="187">
        <v>0</v>
      </c>
      <c r="G27" s="187">
        <v>0</v>
      </c>
      <c r="H27" s="180">
        <f t="shared" si="4"/>
        <v>1214</v>
      </c>
      <c r="I27" s="180">
        <v>0</v>
      </c>
      <c r="J27" s="180">
        <v>0</v>
      </c>
      <c r="K27" s="180">
        <v>0</v>
      </c>
      <c r="L27" s="180">
        <f t="shared" si="3"/>
        <v>0</v>
      </c>
      <c r="N27" s="203"/>
      <c r="O27" s="203"/>
      <c r="Q27" s="203"/>
      <c r="R27" s="203"/>
    </row>
    <row r="28" spans="1:18" ht="12.75" customHeight="1" x14ac:dyDescent="0.25">
      <c r="A28" s="188">
        <v>21</v>
      </c>
      <c r="B28" s="189" t="s">
        <v>161</v>
      </c>
      <c r="C28" s="170" t="s">
        <v>662</v>
      </c>
      <c r="D28" s="187"/>
      <c r="E28" s="187">
        <v>1909</v>
      </c>
      <c r="F28" s="187">
        <v>73</v>
      </c>
      <c r="G28" s="187">
        <v>0</v>
      </c>
      <c r="H28" s="180">
        <f t="shared" si="4"/>
        <v>1982</v>
      </c>
      <c r="I28" s="180">
        <v>0</v>
      </c>
      <c r="J28" s="180">
        <v>0</v>
      </c>
      <c r="K28" s="180">
        <v>0</v>
      </c>
      <c r="L28" s="180">
        <f t="shared" si="3"/>
        <v>0</v>
      </c>
      <c r="N28" s="203"/>
      <c r="O28" s="203"/>
      <c r="Q28" s="203"/>
      <c r="R28" s="203"/>
    </row>
    <row r="29" spans="1:18" ht="12.75" customHeight="1" x14ac:dyDescent="0.25">
      <c r="A29" s="188">
        <v>22</v>
      </c>
      <c r="B29" s="189" t="s">
        <v>163</v>
      </c>
      <c r="C29" s="170" t="s">
        <v>458</v>
      </c>
      <c r="D29" s="187"/>
      <c r="E29" s="187">
        <v>1683</v>
      </c>
      <c r="F29" s="187">
        <v>34</v>
      </c>
      <c r="G29" s="187">
        <v>0</v>
      </c>
      <c r="H29" s="180">
        <f t="shared" si="4"/>
        <v>1717</v>
      </c>
      <c r="I29" s="180">
        <v>0</v>
      </c>
      <c r="J29" s="180">
        <v>0</v>
      </c>
      <c r="K29" s="180">
        <v>0</v>
      </c>
      <c r="L29" s="180">
        <f t="shared" si="3"/>
        <v>0</v>
      </c>
      <c r="N29" s="203"/>
      <c r="O29" s="203"/>
      <c r="Q29" s="203"/>
      <c r="R29" s="203"/>
    </row>
    <row r="30" spans="1:18" ht="12.75" customHeight="1" x14ac:dyDescent="0.25">
      <c r="A30" s="188">
        <v>23</v>
      </c>
      <c r="B30" s="189" t="s">
        <v>165</v>
      </c>
      <c r="C30" s="170" t="s">
        <v>166</v>
      </c>
      <c r="D30" s="187">
        <v>440</v>
      </c>
      <c r="E30" s="187">
        <v>2934</v>
      </c>
      <c r="F30" s="187">
        <v>41</v>
      </c>
      <c r="G30" s="187">
        <v>272</v>
      </c>
      <c r="H30" s="180">
        <f t="shared" si="4"/>
        <v>3687</v>
      </c>
      <c r="I30" s="180">
        <v>0</v>
      </c>
      <c r="J30" s="180">
        <v>0</v>
      </c>
      <c r="K30" s="180">
        <v>0</v>
      </c>
      <c r="L30" s="180">
        <f t="shared" si="3"/>
        <v>0</v>
      </c>
      <c r="N30" s="203"/>
      <c r="O30" s="203"/>
      <c r="Q30" s="203"/>
      <c r="R30" s="203"/>
    </row>
    <row r="31" spans="1:18" ht="12.75" customHeight="1" x14ac:dyDescent="0.25">
      <c r="A31" s="188">
        <v>24</v>
      </c>
      <c r="B31" s="189" t="s">
        <v>169</v>
      </c>
      <c r="C31" s="170" t="s">
        <v>170</v>
      </c>
      <c r="D31" s="187">
        <v>5075</v>
      </c>
      <c r="E31" s="187">
        <v>10145</v>
      </c>
      <c r="F31" s="187">
        <v>271</v>
      </c>
      <c r="G31" s="187">
        <v>1560</v>
      </c>
      <c r="H31" s="180">
        <f t="shared" si="4"/>
        <v>17051</v>
      </c>
      <c r="I31" s="180">
        <v>0</v>
      </c>
      <c r="J31" s="180">
        <v>0</v>
      </c>
      <c r="K31" s="180">
        <v>0</v>
      </c>
      <c r="L31" s="180">
        <f t="shared" si="3"/>
        <v>0</v>
      </c>
      <c r="N31" s="203"/>
      <c r="O31" s="203"/>
      <c r="Q31" s="203"/>
      <c r="R31" s="203"/>
    </row>
    <row r="32" spans="1:18" x14ac:dyDescent="0.25">
      <c r="A32" s="188">
        <v>25</v>
      </c>
      <c r="B32" s="189" t="s">
        <v>171</v>
      </c>
      <c r="C32" s="170" t="s">
        <v>663</v>
      </c>
      <c r="D32" s="187"/>
      <c r="E32" s="187">
        <v>4566</v>
      </c>
      <c r="F32" s="187">
        <v>29</v>
      </c>
      <c r="G32" s="187">
        <v>216</v>
      </c>
      <c r="H32" s="180">
        <f t="shared" si="4"/>
        <v>4811</v>
      </c>
      <c r="I32" s="180">
        <v>1779</v>
      </c>
      <c r="J32" s="180">
        <v>0</v>
      </c>
      <c r="K32" s="180">
        <v>0</v>
      </c>
      <c r="L32" s="180">
        <f t="shared" si="3"/>
        <v>1779</v>
      </c>
      <c r="N32" s="203"/>
      <c r="O32" s="203"/>
      <c r="Q32" s="203"/>
      <c r="R32" s="203"/>
    </row>
    <row r="33" spans="1:18" ht="12.75" customHeight="1" x14ac:dyDescent="0.25">
      <c r="A33" s="188">
        <v>26</v>
      </c>
      <c r="B33" s="189" t="s">
        <v>173</v>
      </c>
      <c r="C33" s="170" t="s">
        <v>664</v>
      </c>
      <c r="D33" s="187"/>
      <c r="E33" s="187">
        <v>634</v>
      </c>
      <c r="F33" s="187">
        <v>17</v>
      </c>
      <c r="G33" s="187">
        <v>126</v>
      </c>
      <c r="H33" s="180">
        <f t="shared" si="4"/>
        <v>777</v>
      </c>
      <c r="I33" s="180">
        <v>0</v>
      </c>
      <c r="J33" s="180">
        <v>0</v>
      </c>
      <c r="K33" s="180">
        <v>0</v>
      </c>
      <c r="L33" s="180">
        <f t="shared" si="3"/>
        <v>0</v>
      </c>
      <c r="N33" s="203"/>
      <c r="O33" s="203"/>
      <c r="Q33" s="203"/>
      <c r="R33" s="203"/>
    </row>
    <row r="34" spans="1:18" ht="12.75" customHeight="1" x14ac:dyDescent="0.25">
      <c r="A34" s="188">
        <v>27</v>
      </c>
      <c r="B34" s="94" t="s">
        <v>178</v>
      </c>
      <c r="C34" s="170" t="s">
        <v>665</v>
      </c>
      <c r="D34" s="187"/>
      <c r="E34" s="187">
        <v>697</v>
      </c>
      <c r="F34" s="187">
        <v>0</v>
      </c>
      <c r="G34" s="187">
        <v>102</v>
      </c>
      <c r="H34" s="180">
        <f t="shared" si="4"/>
        <v>799</v>
      </c>
      <c r="I34" s="180">
        <v>111</v>
      </c>
      <c r="J34" s="180">
        <v>2</v>
      </c>
      <c r="K34" s="180">
        <v>0</v>
      </c>
      <c r="L34" s="180">
        <f t="shared" si="3"/>
        <v>113</v>
      </c>
      <c r="N34" s="203"/>
      <c r="O34" s="203"/>
      <c r="Q34" s="203"/>
      <c r="R34" s="203"/>
    </row>
    <row r="35" spans="1:18" ht="12.75" customHeight="1" x14ac:dyDescent="0.25">
      <c r="A35" s="188">
        <v>28</v>
      </c>
      <c r="B35" s="189" t="s">
        <v>185</v>
      </c>
      <c r="C35" s="170" t="s">
        <v>666</v>
      </c>
      <c r="D35" s="187"/>
      <c r="E35" s="187">
        <v>3584</v>
      </c>
      <c r="F35" s="187">
        <v>112</v>
      </c>
      <c r="G35" s="187">
        <v>0</v>
      </c>
      <c r="H35" s="180">
        <f t="shared" si="4"/>
        <v>3696</v>
      </c>
      <c r="I35" s="180">
        <v>0</v>
      </c>
      <c r="J35" s="180">
        <v>0</v>
      </c>
      <c r="K35" s="180">
        <v>0</v>
      </c>
      <c r="L35" s="180">
        <f t="shared" si="3"/>
        <v>0</v>
      </c>
      <c r="N35" s="203"/>
      <c r="O35" s="203"/>
      <c r="Q35" s="203"/>
      <c r="R35" s="203"/>
    </row>
    <row r="36" spans="1:18" ht="12.75" customHeight="1" x14ac:dyDescent="0.25">
      <c r="A36" s="188">
        <v>29</v>
      </c>
      <c r="B36" s="189" t="s">
        <v>191</v>
      </c>
      <c r="C36" s="170" t="s">
        <v>192</v>
      </c>
      <c r="D36" s="187"/>
      <c r="E36" s="187">
        <v>462</v>
      </c>
      <c r="F36" s="187">
        <v>0</v>
      </c>
      <c r="G36" s="187">
        <v>0</v>
      </c>
      <c r="H36" s="180">
        <f t="shared" si="4"/>
        <v>462</v>
      </c>
      <c r="I36" s="180">
        <v>0</v>
      </c>
      <c r="J36" s="180">
        <v>0</v>
      </c>
      <c r="K36" s="180">
        <v>0</v>
      </c>
      <c r="L36" s="180">
        <f t="shared" si="3"/>
        <v>0</v>
      </c>
      <c r="N36" s="203"/>
      <c r="O36" s="203"/>
      <c r="Q36" s="203"/>
      <c r="R36" s="203"/>
    </row>
    <row r="37" spans="1:18" ht="12.75" customHeight="1" x14ac:dyDescent="0.25">
      <c r="A37" s="188">
        <v>30</v>
      </c>
      <c r="B37" s="189" t="s">
        <v>193</v>
      </c>
      <c r="C37" s="170" t="s">
        <v>194</v>
      </c>
      <c r="D37" s="187"/>
      <c r="E37" s="187">
        <v>951</v>
      </c>
      <c r="F37" s="187">
        <v>0</v>
      </c>
      <c r="G37" s="187">
        <v>0</v>
      </c>
      <c r="H37" s="180">
        <f t="shared" si="4"/>
        <v>951</v>
      </c>
      <c r="I37" s="180">
        <v>0</v>
      </c>
      <c r="J37" s="180">
        <v>0</v>
      </c>
      <c r="K37" s="180">
        <v>0</v>
      </c>
      <c r="L37" s="180">
        <f t="shared" si="3"/>
        <v>0</v>
      </c>
      <c r="N37" s="203"/>
      <c r="O37" s="203"/>
      <c r="Q37" s="203"/>
      <c r="R37" s="203"/>
    </row>
    <row r="38" spans="1:18" ht="12.75" customHeight="1" x14ac:dyDescent="0.25">
      <c r="A38" s="188">
        <v>31</v>
      </c>
      <c r="B38" s="189" t="s">
        <v>195</v>
      </c>
      <c r="C38" s="170" t="s">
        <v>196</v>
      </c>
      <c r="D38" s="187"/>
      <c r="E38" s="187">
        <v>672</v>
      </c>
      <c r="F38" s="187">
        <v>22</v>
      </c>
      <c r="G38" s="187">
        <v>164</v>
      </c>
      <c r="H38" s="180">
        <f t="shared" si="4"/>
        <v>858</v>
      </c>
      <c r="I38" s="180">
        <v>0</v>
      </c>
      <c r="J38" s="180">
        <v>0</v>
      </c>
      <c r="K38" s="180">
        <v>0</v>
      </c>
      <c r="L38" s="180">
        <f t="shared" si="3"/>
        <v>0</v>
      </c>
      <c r="N38" s="203"/>
      <c r="O38" s="203"/>
      <c r="Q38" s="203"/>
      <c r="R38" s="203"/>
    </row>
    <row r="39" spans="1:18" ht="12.75" customHeight="1" x14ac:dyDescent="0.25">
      <c r="A39" s="188">
        <v>32</v>
      </c>
      <c r="B39" s="189" t="s">
        <v>207</v>
      </c>
      <c r="C39" s="170" t="s">
        <v>208</v>
      </c>
      <c r="D39" s="187"/>
      <c r="E39" s="187">
        <v>1661</v>
      </c>
      <c r="F39" s="187">
        <v>74</v>
      </c>
      <c r="G39" s="187">
        <v>682</v>
      </c>
      <c r="H39" s="180">
        <f>D39+E39+F39+G39</f>
        <v>2417</v>
      </c>
      <c r="I39" s="180">
        <v>0</v>
      </c>
      <c r="J39" s="180">
        <v>0</v>
      </c>
      <c r="K39" s="180">
        <v>0</v>
      </c>
      <c r="L39" s="180">
        <f t="shared" si="3"/>
        <v>0</v>
      </c>
      <c r="N39" s="203"/>
      <c r="O39" s="203"/>
      <c r="Q39" s="203"/>
      <c r="R39" s="203"/>
    </row>
    <row r="40" spans="1:18" ht="12.75" customHeight="1" x14ac:dyDescent="0.25">
      <c r="A40" s="188">
        <v>33</v>
      </c>
      <c r="B40" s="189" t="s">
        <v>213</v>
      </c>
      <c r="C40" s="170" t="s">
        <v>214</v>
      </c>
      <c r="D40" s="187"/>
      <c r="E40" s="187">
        <v>1182</v>
      </c>
      <c r="F40" s="187">
        <v>41</v>
      </c>
      <c r="G40" s="187">
        <v>0</v>
      </c>
      <c r="H40" s="180">
        <f>D40+E40+F40+G40</f>
        <v>1223</v>
      </c>
      <c r="I40" s="180">
        <v>0</v>
      </c>
      <c r="J40" s="180">
        <v>0</v>
      </c>
      <c r="K40" s="180">
        <v>0</v>
      </c>
      <c r="L40" s="180">
        <f t="shared" si="3"/>
        <v>0</v>
      </c>
      <c r="N40" s="203"/>
      <c r="O40" s="203"/>
      <c r="Q40" s="203"/>
      <c r="R40" s="203"/>
    </row>
    <row r="41" spans="1:18" ht="12.75" customHeight="1" x14ac:dyDescent="0.25">
      <c r="A41" s="188">
        <v>34</v>
      </c>
      <c r="B41" s="189" t="s">
        <v>229</v>
      </c>
      <c r="C41" s="170" t="s">
        <v>230</v>
      </c>
      <c r="D41" s="187"/>
      <c r="E41" s="187">
        <v>0</v>
      </c>
      <c r="F41" s="187">
        <v>0</v>
      </c>
      <c r="G41" s="187">
        <v>0</v>
      </c>
      <c r="H41" s="187">
        <v>0</v>
      </c>
      <c r="I41" s="180">
        <v>958</v>
      </c>
      <c r="J41" s="180">
        <v>0</v>
      </c>
      <c r="K41" s="180">
        <v>0</v>
      </c>
      <c r="L41" s="180">
        <f t="shared" si="3"/>
        <v>958</v>
      </c>
      <c r="N41" s="203"/>
      <c r="O41" s="203"/>
      <c r="Q41" s="203"/>
      <c r="R41" s="203"/>
    </row>
    <row r="42" spans="1:18" ht="12.75" customHeight="1" x14ac:dyDescent="0.25">
      <c r="A42" s="188">
        <v>35</v>
      </c>
      <c r="B42" s="189" t="s">
        <v>233</v>
      </c>
      <c r="C42" s="170" t="s">
        <v>667</v>
      </c>
      <c r="D42" s="187"/>
      <c r="E42" s="187">
        <v>6999</v>
      </c>
      <c r="F42" s="187">
        <v>108</v>
      </c>
      <c r="G42" s="187">
        <v>1511</v>
      </c>
      <c r="H42" s="180">
        <f>D42+E42+F42+G42</f>
        <v>8618</v>
      </c>
      <c r="I42" s="180">
        <v>10628</v>
      </c>
      <c r="J42" s="180">
        <v>239</v>
      </c>
      <c r="K42" s="180">
        <v>413</v>
      </c>
      <c r="L42" s="180">
        <f t="shared" si="3"/>
        <v>11280</v>
      </c>
      <c r="N42" s="203"/>
      <c r="O42" s="203"/>
      <c r="Q42" s="203"/>
      <c r="R42" s="203"/>
    </row>
    <row r="43" spans="1:18" ht="12.75" customHeight="1" x14ac:dyDescent="0.25">
      <c r="A43" s="188">
        <v>36</v>
      </c>
      <c r="B43" s="189" t="s">
        <v>237</v>
      </c>
      <c r="C43" s="170" t="s">
        <v>668</v>
      </c>
      <c r="D43" s="187"/>
      <c r="E43" s="187">
        <v>0</v>
      </c>
      <c r="F43" s="187">
        <v>0</v>
      </c>
      <c r="G43" s="187">
        <v>0</v>
      </c>
      <c r="H43" s="187">
        <v>0</v>
      </c>
      <c r="I43" s="180">
        <v>2031</v>
      </c>
      <c r="J43" s="180">
        <v>125</v>
      </c>
      <c r="K43" s="180">
        <v>0</v>
      </c>
      <c r="L43" s="180">
        <f t="shared" si="3"/>
        <v>2156</v>
      </c>
      <c r="N43" s="203"/>
      <c r="O43" s="203"/>
      <c r="Q43" s="203"/>
      <c r="R43" s="203"/>
    </row>
    <row r="44" spans="1:18" ht="12.75" customHeight="1" x14ac:dyDescent="0.25">
      <c r="A44" s="188">
        <v>37</v>
      </c>
      <c r="B44" s="189" t="s">
        <v>243</v>
      </c>
      <c r="C44" s="170" t="s">
        <v>385</v>
      </c>
      <c r="D44" s="187"/>
      <c r="E44" s="187">
        <v>0</v>
      </c>
      <c r="F44" s="187">
        <v>0</v>
      </c>
      <c r="G44" s="187">
        <v>0</v>
      </c>
      <c r="H44" s="187">
        <v>0</v>
      </c>
      <c r="I44" s="180">
        <v>1459</v>
      </c>
      <c r="J44" s="180">
        <v>0</v>
      </c>
      <c r="K44" s="180">
        <v>0</v>
      </c>
      <c r="L44" s="180">
        <f t="shared" si="3"/>
        <v>1459</v>
      </c>
      <c r="N44" s="203"/>
      <c r="O44" s="203"/>
      <c r="Q44" s="203"/>
      <c r="R44" s="203"/>
    </row>
    <row r="45" spans="1:18" ht="12.75" customHeight="1" x14ac:dyDescent="0.25">
      <c r="A45" s="188">
        <v>38</v>
      </c>
      <c r="B45" s="189" t="s">
        <v>244</v>
      </c>
      <c r="C45" s="170" t="s">
        <v>517</v>
      </c>
      <c r="D45" s="187"/>
      <c r="E45" s="187">
        <v>818</v>
      </c>
      <c r="F45" s="187">
        <v>47</v>
      </c>
      <c r="G45" s="187">
        <v>0</v>
      </c>
      <c r="H45" s="180">
        <f t="shared" ref="H45:H53" si="5">D45+E45+F45+G45</f>
        <v>865</v>
      </c>
      <c r="I45" s="180">
        <v>943</v>
      </c>
      <c r="J45" s="180">
        <v>29</v>
      </c>
      <c r="K45" s="180">
        <v>0</v>
      </c>
      <c r="L45" s="180">
        <f t="shared" si="3"/>
        <v>972</v>
      </c>
      <c r="N45" s="203"/>
      <c r="O45" s="203"/>
      <c r="Q45" s="203"/>
      <c r="R45" s="203"/>
    </row>
    <row r="46" spans="1:18" ht="12.75" customHeight="1" x14ac:dyDescent="0.25">
      <c r="A46" s="188">
        <v>39</v>
      </c>
      <c r="B46" s="93" t="s">
        <v>258</v>
      </c>
      <c r="C46" s="170" t="s">
        <v>259</v>
      </c>
      <c r="D46" s="187">
        <v>2733</v>
      </c>
      <c r="E46" s="187">
        <v>10788</v>
      </c>
      <c r="F46" s="187">
        <v>69</v>
      </c>
      <c r="G46" s="187">
        <v>4050</v>
      </c>
      <c r="H46" s="180">
        <f t="shared" si="5"/>
        <v>17640</v>
      </c>
      <c r="I46" s="180">
        <v>6000</v>
      </c>
      <c r="J46" s="180">
        <v>0</v>
      </c>
      <c r="K46" s="180">
        <v>1161</v>
      </c>
      <c r="L46" s="180">
        <f t="shared" si="3"/>
        <v>7161</v>
      </c>
      <c r="N46" s="203"/>
      <c r="O46" s="203"/>
      <c r="Q46" s="203"/>
      <c r="R46" s="203"/>
    </row>
    <row r="47" spans="1:18" ht="12.75" customHeight="1" x14ac:dyDescent="0.25">
      <c r="A47" s="188">
        <v>40</v>
      </c>
      <c r="B47" s="94" t="s">
        <v>260</v>
      </c>
      <c r="C47" s="170" t="s">
        <v>398</v>
      </c>
      <c r="D47" s="187"/>
      <c r="E47" s="187">
        <v>23000</v>
      </c>
      <c r="F47" s="187">
        <v>0</v>
      </c>
      <c r="G47" s="187">
        <v>9050</v>
      </c>
      <c r="H47" s="180">
        <f t="shared" si="5"/>
        <v>32050</v>
      </c>
      <c r="I47" s="180">
        <v>12090</v>
      </c>
      <c r="J47" s="180">
        <v>0</v>
      </c>
      <c r="K47" s="180">
        <v>2005</v>
      </c>
      <c r="L47" s="180">
        <f t="shared" si="3"/>
        <v>14095</v>
      </c>
      <c r="N47" s="203"/>
      <c r="O47" s="203"/>
      <c r="Q47" s="203"/>
      <c r="R47" s="203"/>
    </row>
    <row r="48" spans="1:18" ht="13.5" customHeight="1" x14ac:dyDescent="0.25">
      <c r="A48" s="188">
        <v>41</v>
      </c>
      <c r="B48" s="94" t="s">
        <v>262</v>
      </c>
      <c r="C48" s="170" t="s">
        <v>263</v>
      </c>
      <c r="D48" s="187"/>
      <c r="E48" s="187">
        <v>500</v>
      </c>
      <c r="F48" s="187">
        <v>0</v>
      </c>
      <c r="G48" s="187">
        <v>2100</v>
      </c>
      <c r="H48" s="180">
        <f t="shared" si="5"/>
        <v>2600</v>
      </c>
      <c r="I48" s="180">
        <v>0</v>
      </c>
      <c r="J48" s="180">
        <v>0</v>
      </c>
      <c r="K48" s="180">
        <v>0</v>
      </c>
      <c r="L48" s="180">
        <f t="shared" si="3"/>
        <v>0</v>
      </c>
      <c r="N48" s="203"/>
      <c r="O48" s="203"/>
      <c r="Q48" s="203"/>
      <c r="R48" s="203"/>
    </row>
    <row r="49" spans="1:18" ht="12.75" customHeight="1" x14ac:dyDescent="0.25">
      <c r="A49" s="188">
        <v>42</v>
      </c>
      <c r="B49" s="189" t="s">
        <v>264</v>
      </c>
      <c r="C49" s="170" t="s">
        <v>265</v>
      </c>
      <c r="D49" s="187"/>
      <c r="E49" s="187">
        <v>3690</v>
      </c>
      <c r="F49" s="187">
        <v>0</v>
      </c>
      <c r="G49" s="187">
        <v>0</v>
      </c>
      <c r="H49" s="180">
        <f t="shared" si="5"/>
        <v>3690</v>
      </c>
      <c r="I49" s="180">
        <v>2737</v>
      </c>
      <c r="J49" s="180">
        <v>0</v>
      </c>
      <c r="K49" s="180">
        <v>0</v>
      </c>
      <c r="L49" s="180">
        <f t="shared" si="3"/>
        <v>2737</v>
      </c>
      <c r="N49" s="203"/>
      <c r="O49" s="203"/>
      <c r="Q49" s="203"/>
      <c r="R49" s="203"/>
    </row>
    <row r="50" spans="1:18" ht="12.75" customHeight="1" x14ac:dyDescent="0.25">
      <c r="A50" s="188">
        <v>43</v>
      </c>
      <c r="B50" s="189" t="s">
        <v>268</v>
      </c>
      <c r="C50" s="170" t="s">
        <v>269</v>
      </c>
      <c r="D50" s="187"/>
      <c r="E50" s="187">
        <v>0</v>
      </c>
      <c r="F50" s="187">
        <v>0</v>
      </c>
      <c r="G50" s="187">
        <v>0</v>
      </c>
      <c r="H50" s="180">
        <f t="shared" si="5"/>
        <v>0</v>
      </c>
      <c r="I50" s="180">
        <v>3115</v>
      </c>
      <c r="J50" s="180">
        <v>0</v>
      </c>
      <c r="K50" s="180">
        <v>85</v>
      </c>
      <c r="L50" s="180">
        <f t="shared" si="3"/>
        <v>3200</v>
      </c>
      <c r="N50" s="203"/>
      <c r="O50" s="203"/>
      <c r="Q50" s="203"/>
      <c r="R50" s="203"/>
    </row>
    <row r="51" spans="1:18" ht="12.75" customHeight="1" x14ac:dyDescent="0.25">
      <c r="A51" s="188">
        <v>44</v>
      </c>
      <c r="B51" s="94" t="s">
        <v>274</v>
      </c>
      <c r="C51" s="170" t="s">
        <v>275</v>
      </c>
      <c r="D51" s="187"/>
      <c r="E51" s="187">
        <v>2407</v>
      </c>
      <c r="F51" s="187">
        <v>160</v>
      </c>
      <c r="G51" s="187">
        <v>500</v>
      </c>
      <c r="H51" s="180">
        <f t="shared" si="5"/>
        <v>3067</v>
      </c>
      <c r="I51" s="180">
        <v>0</v>
      </c>
      <c r="J51" s="180">
        <v>0</v>
      </c>
      <c r="K51" s="180">
        <v>0</v>
      </c>
      <c r="L51" s="180">
        <f t="shared" si="3"/>
        <v>0</v>
      </c>
      <c r="N51" s="203"/>
      <c r="O51" s="203"/>
      <c r="Q51" s="203"/>
      <c r="R51" s="203"/>
    </row>
    <row r="52" spans="1:18" ht="12.75" customHeight="1" x14ac:dyDescent="0.25">
      <c r="A52" s="188">
        <v>45</v>
      </c>
      <c r="B52" s="94" t="s">
        <v>276</v>
      </c>
      <c r="C52" s="170" t="s">
        <v>277</v>
      </c>
      <c r="D52" s="187"/>
      <c r="E52" s="187">
        <v>6186</v>
      </c>
      <c r="F52" s="187">
        <v>267</v>
      </c>
      <c r="G52" s="187">
        <v>2448</v>
      </c>
      <c r="H52" s="180">
        <f t="shared" si="5"/>
        <v>8901</v>
      </c>
      <c r="I52" s="180">
        <v>6352</v>
      </c>
      <c r="J52" s="180">
        <v>724</v>
      </c>
      <c r="K52" s="180">
        <v>527</v>
      </c>
      <c r="L52" s="180">
        <f t="shared" si="3"/>
        <v>7603</v>
      </c>
      <c r="N52" s="203"/>
      <c r="O52" s="203"/>
      <c r="Q52" s="203"/>
      <c r="R52" s="203"/>
    </row>
    <row r="53" spans="1:18" ht="12.75" customHeight="1" x14ac:dyDescent="0.25">
      <c r="A53" s="188">
        <v>46</v>
      </c>
      <c r="B53" s="189" t="s">
        <v>278</v>
      </c>
      <c r="C53" s="170" t="s">
        <v>669</v>
      </c>
      <c r="D53" s="187"/>
      <c r="E53" s="187">
        <v>3037</v>
      </c>
      <c r="F53" s="187">
        <v>103</v>
      </c>
      <c r="G53" s="187">
        <v>838</v>
      </c>
      <c r="H53" s="180">
        <f t="shared" si="5"/>
        <v>3978</v>
      </c>
      <c r="I53" s="180">
        <v>2011</v>
      </c>
      <c r="J53" s="180">
        <v>34</v>
      </c>
      <c r="K53" s="180">
        <v>0</v>
      </c>
      <c r="L53" s="180">
        <f t="shared" si="3"/>
        <v>2045</v>
      </c>
      <c r="N53" s="203"/>
      <c r="O53" s="203"/>
      <c r="Q53" s="203"/>
      <c r="R53" s="203"/>
    </row>
    <row r="54" spans="1:18" ht="12.75" customHeight="1" x14ac:dyDescent="0.25">
      <c r="A54" s="188">
        <v>47</v>
      </c>
      <c r="B54" s="189" t="s">
        <v>280</v>
      </c>
      <c r="C54" s="170" t="s">
        <v>468</v>
      </c>
      <c r="D54" s="187">
        <v>5740</v>
      </c>
      <c r="E54" s="187">
        <v>0</v>
      </c>
      <c r="F54" s="187">
        <v>0</v>
      </c>
      <c r="G54" s="187">
        <v>0</v>
      </c>
      <c r="H54" s="180">
        <f t="shared" si="4"/>
        <v>5740</v>
      </c>
      <c r="I54" s="180">
        <v>0</v>
      </c>
      <c r="J54" s="180">
        <v>0</v>
      </c>
      <c r="K54" s="180">
        <v>0</v>
      </c>
      <c r="L54" s="180">
        <f t="shared" si="3"/>
        <v>0</v>
      </c>
      <c r="N54" s="203"/>
      <c r="O54" s="203"/>
      <c r="Q54" s="203"/>
      <c r="R54" s="203"/>
    </row>
    <row r="55" spans="1:18" s="195" customFormat="1" x14ac:dyDescent="0.25">
      <c r="A55" s="191"/>
      <c r="B55" s="192"/>
      <c r="C55" s="193"/>
      <c r="D55" s="194"/>
      <c r="E55" s="194"/>
      <c r="F55" s="194"/>
      <c r="G55" s="194"/>
      <c r="H55" s="194"/>
      <c r="I55" s="194"/>
      <c r="J55" s="194"/>
      <c r="K55" s="194"/>
      <c r="L55" s="194"/>
      <c r="Q55" s="203"/>
      <c r="R55" s="203"/>
    </row>
    <row r="56" spans="1:18" s="199" customFormat="1" x14ac:dyDescent="0.25">
      <c r="A56" s="196"/>
      <c r="B56" s="197"/>
      <c r="C56" s="198"/>
      <c r="D56" s="194"/>
      <c r="E56" s="194"/>
      <c r="F56" s="194"/>
      <c r="G56" s="194"/>
      <c r="H56" s="194"/>
      <c r="I56" s="194"/>
      <c r="J56" s="194"/>
      <c r="K56" s="194"/>
      <c r="L56" s="194"/>
      <c r="Q56" s="203"/>
      <c r="R56" s="203"/>
    </row>
    <row r="60" spans="1:18" s="202" customFormat="1" x14ac:dyDescent="0.25">
      <c r="A60" s="200"/>
      <c r="B60" s="201"/>
      <c r="C60" s="171"/>
      <c r="D60" s="203"/>
    </row>
  </sheetData>
  <mergeCells count="4">
    <mergeCell ref="A1:L1"/>
    <mergeCell ref="A3:A4"/>
    <mergeCell ref="B3:B4"/>
    <mergeCell ref="C3:C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0"/>
  <sheetViews>
    <sheetView zoomScale="80" zoomScaleNormal="80" workbookViewId="0">
      <pane xSplit="3" ySplit="5" topLeftCell="E57" activePane="bottomRight" state="frozen"/>
      <selection pane="topRight" activeCell="D1" sqref="D1"/>
      <selection pane="bottomLeft" activeCell="A6" sqref="A6"/>
      <selection pane="bottomRight" activeCell="G82" sqref="G82:G83"/>
    </sheetView>
  </sheetViews>
  <sheetFormatPr defaultRowHeight="12.75" x14ac:dyDescent="0.25"/>
  <cols>
    <col min="1" max="1" width="4.5703125" style="202" customWidth="1"/>
    <col min="2" max="2" width="9" style="202" customWidth="1"/>
    <col min="3" max="3" width="37" style="204" customWidth="1"/>
    <col min="4" max="4" width="15.140625" style="202" customWidth="1"/>
    <col min="5" max="5" width="16.28515625" style="202" customWidth="1"/>
    <col min="6" max="6" width="19.140625" style="202" customWidth="1"/>
    <col min="7" max="7" width="15.42578125" style="202" customWidth="1"/>
    <col min="8" max="16384" width="9.140625" style="202"/>
  </cols>
  <sheetData>
    <row r="1" spans="1:7" ht="43.5" customHeight="1" x14ac:dyDescent="0.25">
      <c r="A1" s="1254" t="s">
        <v>670</v>
      </c>
      <c r="B1" s="1254"/>
      <c r="C1" s="1255"/>
      <c r="D1" s="1255"/>
      <c r="E1" s="1255"/>
      <c r="F1" s="1255"/>
      <c r="G1" s="1255"/>
    </row>
    <row r="2" spans="1:7" ht="17.25" customHeight="1" x14ac:dyDescent="0.25"/>
    <row r="3" spans="1:7" ht="15.75" customHeight="1" x14ac:dyDescent="0.25">
      <c r="A3" s="1256" t="s">
        <v>0</v>
      </c>
      <c r="B3" s="1256" t="s">
        <v>302</v>
      </c>
      <c r="C3" s="1257" t="s">
        <v>471</v>
      </c>
      <c r="D3" s="207" t="s">
        <v>671</v>
      </c>
      <c r="E3" s="207"/>
      <c r="F3" s="277"/>
      <c r="G3" s="277"/>
    </row>
    <row r="4" spans="1:7" ht="61.5" customHeight="1" x14ac:dyDescent="0.25">
      <c r="A4" s="1256"/>
      <c r="B4" s="1256"/>
      <c r="C4" s="1257"/>
      <c r="D4" s="181" t="s">
        <v>672</v>
      </c>
      <c r="E4" s="181" t="s">
        <v>673</v>
      </c>
      <c r="F4" s="181" t="s">
        <v>674</v>
      </c>
      <c r="G4" s="180" t="s">
        <v>6</v>
      </c>
    </row>
    <row r="5" spans="1:7" ht="11.25" customHeight="1" x14ac:dyDescent="0.25">
      <c r="A5" s="181"/>
      <c r="B5" s="278"/>
      <c r="C5" s="183" t="s">
        <v>6</v>
      </c>
      <c r="D5" s="184">
        <f>D7+D6</f>
        <v>194650</v>
      </c>
      <c r="E5" s="184">
        <f t="shared" ref="E5:F5" si="0">E7+E6</f>
        <v>95555</v>
      </c>
      <c r="F5" s="184">
        <f t="shared" si="0"/>
        <v>63704</v>
      </c>
      <c r="G5" s="184">
        <f>G7+G6</f>
        <v>353909</v>
      </c>
    </row>
    <row r="6" spans="1:7" ht="11.25" customHeight="1" x14ac:dyDescent="0.25">
      <c r="A6" s="181"/>
      <c r="B6" s="278"/>
      <c r="C6" s="205" t="s">
        <v>14</v>
      </c>
      <c r="D6" s="181">
        <v>0</v>
      </c>
      <c r="E6" s="181">
        <v>0</v>
      </c>
      <c r="F6" s="181">
        <v>0</v>
      </c>
      <c r="G6" s="180">
        <v>0</v>
      </c>
    </row>
    <row r="7" spans="1:7" ht="11.25" customHeight="1" x14ac:dyDescent="0.25">
      <c r="A7" s="181"/>
      <c r="B7" s="278"/>
      <c r="C7" s="205" t="s">
        <v>15</v>
      </c>
      <c r="D7" s="184">
        <f>SUM(D8:D91)</f>
        <v>194650</v>
      </c>
      <c r="E7" s="184">
        <f>SUM(E8:E91)</f>
        <v>95555</v>
      </c>
      <c r="F7" s="184">
        <f>SUM(F8:F91)</f>
        <v>63704</v>
      </c>
      <c r="G7" s="185">
        <f>SUM(G8:G91)</f>
        <v>353909</v>
      </c>
    </row>
    <row r="8" spans="1:7" ht="11.25" customHeight="1" x14ac:dyDescent="0.25">
      <c r="A8" s="181">
        <v>1</v>
      </c>
      <c r="B8" s="179" t="s">
        <v>16</v>
      </c>
      <c r="C8" s="206" t="s">
        <v>17</v>
      </c>
      <c r="D8" s="181">
        <v>882</v>
      </c>
      <c r="E8" s="634">
        <v>437</v>
      </c>
      <c r="F8" s="634">
        <v>215</v>
      </c>
      <c r="G8" s="180">
        <f>SUM(D8:F8)</f>
        <v>1534</v>
      </c>
    </row>
    <row r="9" spans="1:7" ht="11.25" customHeight="1" x14ac:dyDescent="0.25">
      <c r="A9" s="181">
        <v>2</v>
      </c>
      <c r="B9" s="179" t="s">
        <v>18</v>
      </c>
      <c r="C9" s="206" t="s">
        <v>19</v>
      </c>
      <c r="D9" s="805">
        <v>883</v>
      </c>
      <c r="E9" s="805">
        <v>455</v>
      </c>
      <c r="F9" s="805">
        <v>304</v>
      </c>
      <c r="G9" s="180">
        <f t="shared" ref="G9:G72" si="1">SUM(D9:F9)</f>
        <v>1642</v>
      </c>
    </row>
    <row r="10" spans="1:7" ht="11.25" customHeight="1" x14ac:dyDescent="0.25">
      <c r="A10" s="181">
        <v>3</v>
      </c>
      <c r="B10" s="179" t="s">
        <v>20</v>
      </c>
      <c r="C10" s="206" t="s">
        <v>21</v>
      </c>
      <c r="D10" s="805">
        <v>2734</v>
      </c>
      <c r="E10" s="805">
        <v>1319</v>
      </c>
      <c r="F10" s="805">
        <v>1219</v>
      </c>
      <c r="G10" s="180">
        <f t="shared" si="1"/>
        <v>5272</v>
      </c>
    </row>
    <row r="11" spans="1:7" ht="11.25" customHeight="1" x14ac:dyDescent="0.25">
      <c r="A11" s="181">
        <v>4</v>
      </c>
      <c r="B11" s="179" t="s">
        <v>22</v>
      </c>
      <c r="C11" s="206" t="s">
        <v>23</v>
      </c>
      <c r="D11" s="805">
        <v>747</v>
      </c>
      <c r="E11" s="805">
        <v>506</v>
      </c>
      <c r="F11" s="805">
        <v>0</v>
      </c>
      <c r="G11" s="180">
        <f t="shared" si="1"/>
        <v>1253</v>
      </c>
    </row>
    <row r="12" spans="1:7" ht="11.25" customHeight="1" x14ac:dyDescent="0.25">
      <c r="A12" s="181">
        <v>5</v>
      </c>
      <c r="B12" s="179" t="s">
        <v>24</v>
      </c>
      <c r="C12" s="206" t="s">
        <v>25</v>
      </c>
      <c r="D12" s="805">
        <v>1048</v>
      </c>
      <c r="E12" s="805">
        <v>525</v>
      </c>
      <c r="F12" s="805">
        <v>351</v>
      </c>
      <c r="G12" s="180">
        <f t="shared" si="1"/>
        <v>1924</v>
      </c>
    </row>
    <row r="13" spans="1:7" ht="11.25" customHeight="1" x14ac:dyDescent="0.25">
      <c r="A13" s="492">
        <v>6</v>
      </c>
      <c r="B13" s="179" t="s">
        <v>26</v>
      </c>
      <c r="C13" s="206" t="s">
        <v>27</v>
      </c>
      <c r="D13" s="805">
        <v>2655</v>
      </c>
      <c r="E13" s="805">
        <v>1799</v>
      </c>
      <c r="F13" s="805">
        <v>1202</v>
      </c>
      <c r="G13" s="180">
        <f t="shared" si="1"/>
        <v>5656</v>
      </c>
    </row>
    <row r="14" spans="1:7" ht="11.25" customHeight="1" x14ac:dyDescent="0.25">
      <c r="A14" s="492">
        <v>7</v>
      </c>
      <c r="B14" s="491" t="s">
        <v>30</v>
      </c>
      <c r="C14" s="206" t="s">
        <v>31</v>
      </c>
      <c r="D14" s="805">
        <v>0</v>
      </c>
      <c r="E14" s="805">
        <v>494</v>
      </c>
      <c r="F14" s="805">
        <v>328</v>
      </c>
      <c r="G14" s="180">
        <f t="shared" si="1"/>
        <v>822</v>
      </c>
    </row>
    <row r="15" spans="1:7" ht="11.25" customHeight="1" x14ac:dyDescent="0.25">
      <c r="A15" s="492">
        <v>8</v>
      </c>
      <c r="B15" s="179" t="s">
        <v>32</v>
      </c>
      <c r="C15" s="206" t="s">
        <v>33</v>
      </c>
      <c r="D15" s="805">
        <v>733</v>
      </c>
      <c r="E15" s="805">
        <v>497</v>
      </c>
      <c r="F15" s="805">
        <v>332</v>
      </c>
      <c r="G15" s="180">
        <f t="shared" si="1"/>
        <v>1562</v>
      </c>
    </row>
    <row r="16" spans="1:7" ht="11.25" customHeight="1" x14ac:dyDescent="0.25">
      <c r="A16" s="492">
        <v>9</v>
      </c>
      <c r="B16" s="179" t="s">
        <v>34</v>
      </c>
      <c r="C16" s="206" t="s">
        <v>35</v>
      </c>
      <c r="D16" s="805">
        <v>965</v>
      </c>
      <c r="E16" s="805">
        <v>654</v>
      </c>
      <c r="F16" s="805">
        <v>437</v>
      </c>
      <c r="G16" s="180">
        <f t="shared" si="1"/>
        <v>2056</v>
      </c>
    </row>
    <row r="17" spans="1:7" ht="11.25" customHeight="1" x14ac:dyDescent="0.25">
      <c r="A17" s="492">
        <v>10</v>
      </c>
      <c r="B17" s="179" t="s">
        <v>36</v>
      </c>
      <c r="C17" s="206" t="s">
        <v>37</v>
      </c>
      <c r="D17" s="805">
        <v>1026</v>
      </c>
      <c r="E17" s="805">
        <v>508</v>
      </c>
      <c r="F17" s="805">
        <v>339</v>
      </c>
      <c r="G17" s="180">
        <f t="shared" si="1"/>
        <v>1873</v>
      </c>
    </row>
    <row r="18" spans="1:7" ht="11.25" customHeight="1" x14ac:dyDescent="0.25">
      <c r="A18" s="492">
        <v>11</v>
      </c>
      <c r="B18" s="179" t="s">
        <v>38</v>
      </c>
      <c r="C18" s="206" t="s">
        <v>39</v>
      </c>
      <c r="D18" s="805">
        <v>1309</v>
      </c>
      <c r="E18" s="805">
        <v>1007</v>
      </c>
      <c r="F18" s="805">
        <v>0</v>
      </c>
      <c r="G18" s="180">
        <f t="shared" si="1"/>
        <v>2316</v>
      </c>
    </row>
    <row r="19" spans="1:7" ht="11.25" customHeight="1" x14ac:dyDescent="0.25">
      <c r="A19" s="492">
        <v>12</v>
      </c>
      <c r="B19" s="190" t="s">
        <v>40</v>
      </c>
      <c r="C19" s="207" t="s">
        <v>41</v>
      </c>
      <c r="D19" s="805">
        <v>3488</v>
      </c>
      <c r="E19" s="805">
        <v>1870</v>
      </c>
      <c r="F19" s="805">
        <v>1924</v>
      </c>
      <c r="G19" s="180">
        <f t="shared" si="1"/>
        <v>7282</v>
      </c>
    </row>
    <row r="20" spans="1:7" ht="11.25" customHeight="1" x14ac:dyDescent="0.25">
      <c r="A20" s="492">
        <v>13</v>
      </c>
      <c r="B20" s="278" t="s">
        <v>44</v>
      </c>
      <c r="C20" s="206" t="s">
        <v>45</v>
      </c>
      <c r="D20" s="805">
        <v>470</v>
      </c>
      <c r="E20" s="805">
        <v>0</v>
      </c>
      <c r="F20" s="805">
        <v>0</v>
      </c>
      <c r="G20" s="180">
        <f t="shared" si="1"/>
        <v>470</v>
      </c>
    </row>
    <row r="21" spans="1:7" ht="11.25" customHeight="1" x14ac:dyDescent="0.25">
      <c r="A21" s="492">
        <v>14</v>
      </c>
      <c r="B21" s="179" t="s">
        <v>48</v>
      </c>
      <c r="C21" s="206" t="s">
        <v>49</v>
      </c>
      <c r="D21" s="805">
        <v>2607</v>
      </c>
      <c r="E21" s="805">
        <v>1197</v>
      </c>
      <c r="F21" s="805">
        <v>799</v>
      </c>
      <c r="G21" s="180">
        <f t="shared" si="1"/>
        <v>4603</v>
      </c>
    </row>
    <row r="22" spans="1:7" ht="11.25" customHeight="1" x14ac:dyDescent="0.25">
      <c r="A22" s="492">
        <v>15</v>
      </c>
      <c r="B22" s="179" t="s">
        <v>50</v>
      </c>
      <c r="C22" s="206" t="s">
        <v>51</v>
      </c>
      <c r="D22" s="805">
        <v>6202</v>
      </c>
      <c r="E22" s="805">
        <v>3572</v>
      </c>
      <c r="F22" s="805">
        <v>2385</v>
      </c>
      <c r="G22" s="180">
        <f t="shared" si="1"/>
        <v>12159</v>
      </c>
    </row>
    <row r="23" spans="1:7" ht="11.25" customHeight="1" x14ac:dyDescent="0.25">
      <c r="A23" s="492">
        <v>16</v>
      </c>
      <c r="B23" s="179" t="s">
        <v>52</v>
      </c>
      <c r="C23" s="206" t="s">
        <v>53</v>
      </c>
      <c r="D23" s="805">
        <v>542</v>
      </c>
      <c r="E23" s="805">
        <v>0</v>
      </c>
      <c r="F23" s="805">
        <v>0</v>
      </c>
      <c r="G23" s="180">
        <f t="shared" si="1"/>
        <v>542</v>
      </c>
    </row>
    <row r="24" spans="1:7" ht="11.25" customHeight="1" x14ac:dyDescent="0.25">
      <c r="A24" s="492">
        <v>17</v>
      </c>
      <c r="B24" s="179" t="s">
        <v>56</v>
      </c>
      <c r="C24" s="206" t="s">
        <v>57</v>
      </c>
      <c r="D24" s="805">
        <v>2619</v>
      </c>
      <c r="E24" s="805">
        <v>1590</v>
      </c>
      <c r="F24" s="805">
        <v>1062</v>
      </c>
      <c r="G24" s="180">
        <f t="shared" si="1"/>
        <v>5271</v>
      </c>
    </row>
    <row r="25" spans="1:7" ht="11.25" customHeight="1" x14ac:dyDescent="0.25">
      <c r="A25" s="492">
        <v>18</v>
      </c>
      <c r="B25" s="179" t="s">
        <v>58</v>
      </c>
      <c r="C25" s="206" t="s">
        <v>59</v>
      </c>
      <c r="D25" s="805">
        <v>4180</v>
      </c>
      <c r="E25" s="805">
        <v>2277</v>
      </c>
      <c r="F25" s="805">
        <v>1521</v>
      </c>
      <c r="G25" s="180">
        <f t="shared" si="1"/>
        <v>7978</v>
      </c>
    </row>
    <row r="26" spans="1:7" ht="11.25" customHeight="1" x14ac:dyDescent="0.25">
      <c r="A26" s="492">
        <v>19</v>
      </c>
      <c r="B26" s="179" t="s">
        <v>60</v>
      </c>
      <c r="C26" s="206" t="s">
        <v>61</v>
      </c>
      <c r="D26" s="805">
        <v>475</v>
      </c>
      <c r="E26" s="805">
        <v>322</v>
      </c>
      <c r="F26" s="805">
        <v>215</v>
      </c>
      <c r="G26" s="180">
        <f t="shared" si="1"/>
        <v>1012</v>
      </c>
    </row>
    <row r="27" spans="1:7" ht="11.25" customHeight="1" x14ac:dyDescent="0.25">
      <c r="A27" s="492">
        <v>20</v>
      </c>
      <c r="B27" s="179" t="s">
        <v>66</v>
      </c>
      <c r="C27" s="206" t="s">
        <v>67</v>
      </c>
      <c r="D27" s="805">
        <v>7348</v>
      </c>
      <c r="E27" s="805">
        <v>6392</v>
      </c>
      <c r="F27" s="805">
        <v>4154</v>
      </c>
      <c r="G27" s="180">
        <f t="shared" si="1"/>
        <v>17894</v>
      </c>
    </row>
    <row r="28" spans="1:7" ht="11.25" customHeight="1" x14ac:dyDescent="0.25">
      <c r="A28" s="492">
        <v>21</v>
      </c>
      <c r="B28" s="179" t="s">
        <v>68</v>
      </c>
      <c r="C28" s="206" t="s">
        <v>69</v>
      </c>
      <c r="D28" s="805">
        <v>3251</v>
      </c>
      <c r="E28" s="805">
        <v>1303</v>
      </c>
      <c r="F28" s="805">
        <v>1131</v>
      </c>
      <c r="G28" s="180">
        <f t="shared" si="1"/>
        <v>5685</v>
      </c>
    </row>
    <row r="29" spans="1:7" ht="11.25" customHeight="1" x14ac:dyDescent="0.25">
      <c r="A29" s="492">
        <v>22</v>
      </c>
      <c r="B29" s="179" t="s">
        <v>70</v>
      </c>
      <c r="C29" s="206" t="s">
        <v>71</v>
      </c>
      <c r="D29" s="805">
        <v>4971</v>
      </c>
      <c r="E29" s="805">
        <v>0</v>
      </c>
      <c r="F29" s="805">
        <v>0</v>
      </c>
      <c r="G29" s="180">
        <f t="shared" si="1"/>
        <v>4971</v>
      </c>
    </row>
    <row r="30" spans="1:7" ht="11.25" customHeight="1" x14ac:dyDescent="0.25">
      <c r="A30" s="492">
        <v>23</v>
      </c>
      <c r="B30" s="179" t="s">
        <v>75</v>
      </c>
      <c r="C30" s="206" t="s">
        <v>76</v>
      </c>
      <c r="D30" s="805">
        <v>385</v>
      </c>
      <c r="E30" s="805">
        <v>261</v>
      </c>
      <c r="F30" s="805">
        <v>174</v>
      </c>
      <c r="G30" s="180">
        <f t="shared" si="1"/>
        <v>820</v>
      </c>
    </row>
    <row r="31" spans="1:7" ht="11.25" customHeight="1" x14ac:dyDescent="0.25">
      <c r="A31" s="492">
        <v>24</v>
      </c>
      <c r="B31" s="179" t="s">
        <v>77</v>
      </c>
      <c r="C31" s="206" t="s">
        <v>78</v>
      </c>
      <c r="D31" s="805">
        <v>3708</v>
      </c>
      <c r="E31" s="805">
        <v>2350</v>
      </c>
      <c r="F31" s="805">
        <v>1570</v>
      </c>
      <c r="G31" s="180">
        <f t="shared" si="1"/>
        <v>7628</v>
      </c>
    </row>
    <row r="32" spans="1:7" ht="11.25" customHeight="1" x14ac:dyDescent="0.25">
      <c r="A32" s="492">
        <v>25</v>
      </c>
      <c r="B32" s="179" t="s">
        <v>79</v>
      </c>
      <c r="C32" s="206" t="s">
        <v>80</v>
      </c>
      <c r="D32" s="805">
        <v>5204</v>
      </c>
      <c r="E32" s="805">
        <v>3339</v>
      </c>
      <c r="F32" s="805">
        <v>2231</v>
      </c>
      <c r="G32" s="180">
        <f t="shared" si="1"/>
        <v>10774</v>
      </c>
    </row>
    <row r="33" spans="1:7" ht="11.25" customHeight="1" x14ac:dyDescent="0.25">
      <c r="A33" s="492">
        <v>26</v>
      </c>
      <c r="B33" s="179" t="s">
        <v>81</v>
      </c>
      <c r="C33" s="206" t="s">
        <v>82</v>
      </c>
      <c r="D33" s="805">
        <v>324</v>
      </c>
      <c r="E33" s="805">
        <v>0</v>
      </c>
      <c r="F33" s="805">
        <v>0</v>
      </c>
      <c r="G33" s="180">
        <f t="shared" si="1"/>
        <v>324</v>
      </c>
    </row>
    <row r="34" spans="1:7" ht="11.25" customHeight="1" x14ac:dyDescent="0.25">
      <c r="A34" s="492">
        <v>27</v>
      </c>
      <c r="B34" s="179" t="s">
        <v>83</v>
      </c>
      <c r="C34" s="206" t="s">
        <v>84</v>
      </c>
      <c r="D34" s="805">
        <v>2816</v>
      </c>
      <c r="E34" s="805">
        <v>1383</v>
      </c>
      <c r="F34" s="805">
        <v>923</v>
      </c>
      <c r="G34" s="180">
        <f t="shared" si="1"/>
        <v>5122</v>
      </c>
    </row>
    <row r="35" spans="1:7" ht="11.25" customHeight="1" x14ac:dyDescent="0.25">
      <c r="A35" s="492">
        <v>28</v>
      </c>
      <c r="B35" s="179" t="s">
        <v>85</v>
      </c>
      <c r="C35" s="206" t="s">
        <v>86</v>
      </c>
      <c r="D35" s="805">
        <v>1493</v>
      </c>
      <c r="E35" s="805">
        <v>728</v>
      </c>
      <c r="F35" s="805">
        <v>487</v>
      </c>
      <c r="G35" s="180">
        <f t="shared" si="1"/>
        <v>2708</v>
      </c>
    </row>
    <row r="36" spans="1:7" ht="11.25" customHeight="1" x14ac:dyDescent="0.25">
      <c r="A36" s="492">
        <v>29</v>
      </c>
      <c r="B36" s="179" t="s">
        <v>87</v>
      </c>
      <c r="C36" s="206" t="s">
        <v>88</v>
      </c>
      <c r="D36" s="805">
        <v>4120</v>
      </c>
      <c r="E36" s="805">
        <v>1906</v>
      </c>
      <c r="F36" s="805">
        <v>1273</v>
      </c>
      <c r="G36" s="180">
        <f t="shared" si="1"/>
        <v>7299</v>
      </c>
    </row>
    <row r="37" spans="1:7" ht="11.25" customHeight="1" x14ac:dyDescent="0.25">
      <c r="A37" s="492">
        <v>30</v>
      </c>
      <c r="B37" s="179" t="s">
        <v>89</v>
      </c>
      <c r="C37" s="206" t="s">
        <v>90</v>
      </c>
      <c r="D37" s="805">
        <v>1353</v>
      </c>
      <c r="E37" s="805">
        <v>485</v>
      </c>
      <c r="F37" s="805">
        <v>324</v>
      </c>
      <c r="G37" s="180">
        <f t="shared" si="1"/>
        <v>2162</v>
      </c>
    </row>
    <row r="38" spans="1:7" ht="11.25" customHeight="1" x14ac:dyDescent="0.25">
      <c r="A38" s="492">
        <v>31</v>
      </c>
      <c r="B38" s="190" t="s">
        <v>91</v>
      </c>
      <c r="C38" s="207" t="s">
        <v>92</v>
      </c>
      <c r="D38" s="805">
        <v>319</v>
      </c>
      <c r="E38" s="805">
        <v>216</v>
      </c>
      <c r="F38" s="805">
        <v>0</v>
      </c>
      <c r="G38" s="180">
        <f t="shared" si="1"/>
        <v>535</v>
      </c>
    </row>
    <row r="39" spans="1:7" ht="11.25" customHeight="1" x14ac:dyDescent="0.25">
      <c r="A39" s="492">
        <v>32</v>
      </c>
      <c r="B39" s="179" t="s">
        <v>93</v>
      </c>
      <c r="C39" s="206" t="s">
        <v>94</v>
      </c>
      <c r="D39" s="805">
        <v>1120</v>
      </c>
      <c r="E39" s="805">
        <v>0</v>
      </c>
      <c r="F39" s="805">
        <v>0</v>
      </c>
      <c r="G39" s="180">
        <f t="shared" si="1"/>
        <v>1120</v>
      </c>
    </row>
    <row r="40" spans="1:7" ht="11.25" customHeight="1" x14ac:dyDescent="0.25">
      <c r="A40" s="492">
        <v>33</v>
      </c>
      <c r="B40" s="179" t="s">
        <v>95</v>
      </c>
      <c r="C40" s="206" t="s">
        <v>96</v>
      </c>
      <c r="D40" s="805">
        <v>331</v>
      </c>
      <c r="E40" s="805">
        <v>181</v>
      </c>
      <c r="F40" s="805">
        <v>121</v>
      </c>
      <c r="G40" s="180">
        <f t="shared" si="1"/>
        <v>633</v>
      </c>
    </row>
    <row r="41" spans="1:7" ht="11.25" customHeight="1" x14ac:dyDescent="0.25">
      <c r="A41" s="492">
        <v>34</v>
      </c>
      <c r="B41" s="179" t="s">
        <v>97</v>
      </c>
      <c r="C41" s="206" t="s">
        <v>98</v>
      </c>
      <c r="D41" s="805">
        <v>759</v>
      </c>
      <c r="E41" s="805">
        <v>514</v>
      </c>
      <c r="F41" s="805">
        <v>343</v>
      </c>
      <c r="G41" s="180">
        <f t="shared" si="1"/>
        <v>1616</v>
      </c>
    </row>
    <row r="42" spans="1:7" ht="11.25" customHeight="1" x14ac:dyDescent="0.25">
      <c r="A42" s="492">
        <v>35</v>
      </c>
      <c r="B42" s="179" t="s">
        <v>99</v>
      </c>
      <c r="C42" s="206" t="s">
        <v>100</v>
      </c>
      <c r="D42" s="805">
        <v>5013</v>
      </c>
      <c r="E42" s="805">
        <v>2409</v>
      </c>
      <c r="F42" s="805">
        <v>1609</v>
      </c>
      <c r="G42" s="180">
        <f t="shared" si="1"/>
        <v>9031</v>
      </c>
    </row>
    <row r="43" spans="1:7" ht="11.25" customHeight="1" x14ac:dyDescent="0.25">
      <c r="A43" s="492">
        <v>36</v>
      </c>
      <c r="B43" s="179" t="s">
        <v>101</v>
      </c>
      <c r="C43" s="206" t="s">
        <v>102</v>
      </c>
      <c r="D43" s="805">
        <v>928</v>
      </c>
      <c r="E43" s="805">
        <v>628</v>
      </c>
      <c r="F43" s="805">
        <v>420</v>
      </c>
      <c r="G43" s="180">
        <f t="shared" si="1"/>
        <v>1976</v>
      </c>
    </row>
    <row r="44" spans="1:7" ht="11.25" customHeight="1" x14ac:dyDescent="0.25">
      <c r="A44" s="492">
        <v>37</v>
      </c>
      <c r="B44" s="179" t="s">
        <v>103</v>
      </c>
      <c r="C44" s="206" t="s">
        <v>104</v>
      </c>
      <c r="D44" s="805">
        <v>4373</v>
      </c>
      <c r="E44" s="805">
        <v>2362</v>
      </c>
      <c r="F44" s="805">
        <v>1427</v>
      </c>
      <c r="G44" s="180">
        <f t="shared" si="1"/>
        <v>8162</v>
      </c>
    </row>
    <row r="45" spans="1:7" ht="11.25" customHeight="1" x14ac:dyDescent="0.25">
      <c r="A45" s="492">
        <v>38</v>
      </c>
      <c r="B45" s="179" t="s">
        <v>105</v>
      </c>
      <c r="C45" s="206" t="s">
        <v>106</v>
      </c>
      <c r="D45" s="805">
        <v>737</v>
      </c>
      <c r="E45" s="805">
        <v>470</v>
      </c>
      <c r="F45" s="805">
        <v>314</v>
      </c>
      <c r="G45" s="180">
        <f t="shared" si="1"/>
        <v>1521</v>
      </c>
    </row>
    <row r="46" spans="1:7" ht="11.25" customHeight="1" x14ac:dyDescent="0.25">
      <c r="A46" s="492">
        <v>39</v>
      </c>
      <c r="B46" s="179" t="s">
        <v>107</v>
      </c>
      <c r="C46" s="206" t="s">
        <v>108</v>
      </c>
      <c r="D46" s="805">
        <v>1071</v>
      </c>
      <c r="E46" s="805">
        <v>0</v>
      </c>
      <c r="F46" s="805">
        <v>0</v>
      </c>
      <c r="G46" s="180">
        <f t="shared" si="1"/>
        <v>1071</v>
      </c>
    </row>
    <row r="47" spans="1:7" ht="11.25" customHeight="1" x14ac:dyDescent="0.25">
      <c r="A47" s="492">
        <v>40</v>
      </c>
      <c r="B47" s="179" t="s">
        <v>109</v>
      </c>
      <c r="C47" s="206" t="s">
        <v>110</v>
      </c>
      <c r="D47" s="805">
        <v>1834</v>
      </c>
      <c r="E47" s="805">
        <v>861</v>
      </c>
      <c r="F47" s="805">
        <v>575</v>
      </c>
      <c r="G47" s="180">
        <f t="shared" si="1"/>
        <v>3270</v>
      </c>
    </row>
    <row r="48" spans="1:7" ht="11.25" customHeight="1" x14ac:dyDescent="0.25">
      <c r="A48" s="492">
        <v>41</v>
      </c>
      <c r="B48" s="491" t="s">
        <v>111</v>
      </c>
      <c r="C48" s="206" t="s">
        <v>112</v>
      </c>
      <c r="D48" s="805">
        <v>212</v>
      </c>
      <c r="E48" s="805">
        <v>0</v>
      </c>
      <c r="F48" s="805">
        <v>150</v>
      </c>
      <c r="G48" s="180">
        <f t="shared" si="1"/>
        <v>362</v>
      </c>
    </row>
    <row r="49" spans="1:7" ht="11.25" customHeight="1" x14ac:dyDescent="0.25">
      <c r="A49" s="492">
        <v>42</v>
      </c>
      <c r="B49" s="179" t="s">
        <v>113</v>
      </c>
      <c r="C49" s="206" t="s">
        <v>114</v>
      </c>
      <c r="D49" s="805">
        <v>504</v>
      </c>
      <c r="E49" s="805">
        <v>585</v>
      </c>
      <c r="F49" s="805">
        <v>391</v>
      </c>
      <c r="G49" s="180">
        <f t="shared" si="1"/>
        <v>1480</v>
      </c>
    </row>
    <row r="50" spans="1:7" ht="11.25" customHeight="1" x14ac:dyDescent="0.25">
      <c r="A50" s="492">
        <v>43</v>
      </c>
      <c r="B50" s="179" t="s">
        <v>115</v>
      </c>
      <c r="C50" s="206" t="s">
        <v>116</v>
      </c>
      <c r="D50" s="805">
        <v>1740</v>
      </c>
      <c r="E50" s="805">
        <v>882</v>
      </c>
      <c r="F50" s="805">
        <v>589</v>
      </c>
      <c r="G50" s="180">
        <f t="shared" si="1"/>
        <v>3211</v>
      </c>
    </row>
    <row r="51" spans="1:7" ht="11.25" customHeight="1" x14ac:dyDescent="0.25">
      <c r="A51" s="492">
        <v>44</v>
      </c>
      <c r="B51" s="179" t="s">
        <v>117</v>
      </c>
      <c r="C51" s="207" t="s">
        <v>118</v>
      </c>
      <c r="D51" s="805">
        <v>4278</v>
      </c>
      <c r="E51" s="805">
        <v>2967</v>
      </c>
      <c r="F51" s="805">
        <v>1981</v>
      </c>
      <c r="G51" s="180">
        <f t="shared" si="1"/>
        <v>9226</v>
      </c>
    </row>
    <row r="52" spans="1:7" ht="11.25" customHeight="1" x14ac:dyDescent="0.25">
      <c r="A52" s="492">
        <v>45</v>
      </c>
      <c r="B52" s="179" t="s">
        <v>119</v>
      </c>
      <c r="C52" s="206" t="s">
        <v>120</v>
      </c>
      <c r="D52" s="805">
        <v>951</v>
      </c>
      <c r="E52" s="805">
        <v>490</v>
      </c>
      <c r="F52" s="805">
        <v>327</v>
      </c>
      <c r="G52" s="180">
        <f t="shared" si="1"/>
        <v>1768</v>
      </c>
    </row>
    <row r="53" spans="1:7" ht="11.25" customHeight="1" x14ac:dyDescent="0.25">
      <c r="A53" s="492">
        <v>46</v>
      </c>
      <c r="B53" s="179" t="s">
        <v>127</v>
      </c>
      <c r="C53" s="206" t="s">
        <v>128</v>
      </c>
      <c r="D53" s="805">
        <v>2324</v>
      </c>
      <c r="E53" s="805">
        <v>0</v>
      </c>
      <c r="F53" s="805">
        <v>0</v>
      </c>
      <c r="G53" s="180">
        <f t="shared" si="1"/>
        <v>2324</v>
      </c>
    </row>
    <row r="54" spans="1:7" ht="11.25" customHeight="1" x14ac:dyDescent="0.25">
      <c r="A54" s="492">
        <v>47</v>
      </c>
      <c r="B54" s="179" t="s">
        <v>129</v>
      </c>
      <c r="C54" s="206" t="s">
        <v>459</v>
      </c>
      <c r="D54" s="805">
        <v>1976</v>
      </c>
      <c r="E54" s="805">
        <v>0</v>
      </c>
      <c r="F54" s="805">
        <v>0</v>
      </c>
      <c r="G54" s="180">
        <f t="shared" si="1"/>
        <v>1976</v>
      </c>
    </row>
    <row r="55" spans="1:7" ht="11.25" customHeight="1" x14ac:dyDescent="0.25">
      <c r="A55" s="492">
        <v>48</v>
      </c>
      <c r="B55" s="179" t="s">
        <v>131</v>
      </c>
      <c r="C55" s="206" t="s">
        <v>132</v>
      </c>
      <c r="D55" s="805">
        <v>3224</v>
      </c>
      <c r="E55" s="805">
        <v>0</v>
      </c>
      <c r="F55" s="805">
        <v>0</v>
      </c>
      <c r="G55" s="180">
        <f t="shared" si="1"/>
        <v>3224</v>
      </c>
    </row>
    <row r="56" spans="1:7" ht="11.25" customHeight="1" x14ac:dyDescent="0.25">
      <c r="A56" s="492">
        <v>49</v>
      </c>
      <c r="B56" s="179" t="s">
        <v>133</v>
      </c>
      <c r="C56" s="206" t="s">
        <v>299</v>
      </c>
      <c r="D56" s="805">
        <v>3321</v>
      </c>
      <c r="E56" s="805">
        <v>0</v>
      </c>
      <c r="F56" s="805">
        <v>0</v>
      </c>
      <c r="G56" s="180">
        <f t="shared" si="1"/>
        <v>3321</v>
      </c>
    </row>
    <row r="57" spans="1:7" ht="11.25" customHeight="1" x14ac:dyDescent="0.25">
      <c r="A57" s="492">
        <v>50</v>
      </c>
      <c r="B57" s="279" t="s">
        <v>135</v>
      </c>
      <c r="C57" s="280" t="s">
        <v>675</v>
      </c>
      <c r="D57" s="805">
        <v>1633</v>
      </c>
      <c r="E57" s="805">
        <v>0</v>
      </c>
      <c r="F57" s="805">
        <v>0</v>
      </c>
      <c r="G57" s="180">
        <f t="shared" si="1"/>
        <v>1633</v>
      </c>
    </row>
    <row r="58" spans="1:7" ht="11.25" customHeight="1" x14ac:dyDescent="0.25">
      <c r="A58" s="492">
        <v>51</v>
      </c>
      <c r="B58" s="179" t="s">
        <v>141</v>
      </c>
      <c r="C58" s="206" t="s">
        <v>456</v>
      </c>
      <c r="D58" s="805">
        <v>3570</v>
      </c>
      <c r="E58" s="805">
        <v>2419</v>
      </c>
      <c r="F58" s="805">
        <v>1616</v>
      </c>
      <c r="G58" s="180">
        <f t="shared" si="1"/>
        <v>7605</v>
      </c>
    </row>
    <row r="59" spans="1:7" ht="11.25" customHeight="1" x14ac:dyDescent="0.25">
      <c r="A59" s="492">
        <v>52</v>
      </c>
      <c r="B59" s="179" t="s">
        <v>143</v>
      </c>
      <c r="C59" s="206" t="s">
        <v>144</v>
      </c>
      <c r="D59" s="805">
        <v>2242</v>
      </c>
      <c r="E59" s="805">
        <v>1519</v>
      </c>
      <c r="F59" s="805">
        <v>1014</v>
      </c>
      <c r="G59" s="180">
        <f t="shared" si="1"/>
        <v>4775</v>
      </c>
    </row>
    <row r="60" spans="1:7" ht="11.25" customHeight="1" x14ac:dyDescent="0.25">
      <c r="A60" s="492">
        <v>53</v>
      </c>
      <c r="B60" s="179" t="s">
        <v>145</v>
      </c>
      <c r="C60" s="206" t="s">
        <v>457</v>
      </c>
      <c r="D60" s="805">
        <v>5019</v>
      </c>
      <c r="E60" s="805">
        <v>3332</v>
      </c>
      <c r="F60" s="805">
        <v>2225</v>
      </c>
      <c r="G60" s="180">
        <f t="shared" si="1"/>
        <v>10576</v>
      </c>
    </row>
    <row r="61" spans="1:7" ht="11.25" customHeight="1" x14ac:dyDescent="0.25">
      <c r="A61" s="492">
        <v>54</v>
      </c>
      <c r="B61" s="190" t="s">
        <v>161</v>
      </c>
      <c r="C61" s="207" t="s">
        <v>162</v>
      </c>
      <c r="D61" s="805">
        <v>4082</v>
      </c>
      <c r="E61" s="805">
        <v>1790</v>
      </c>
      <c r="F61" s="805">
        <v>1196</v>
      </c>
      <c r="G61" s="180">
        <f t="shared" si="1"/>
        <v>7068</v>
      </c>
    </row>
    <row r="62" spans="1:7" ht="11.25" customHeight="1" x14ac:dyDescent="0.25">
      <c r="A62" s="492">
        <v>55</v>
      </c>
      <c r="B62" s="190" t="s">
        <v>163</v>
      </c>
      <c r="C62" s="207" t="s">
        <v>458</v>
      </c>
      <c r="D62" s="805">
        <v>7088</v>
      </c>
      <c r="E62" s="805">
        <v>4482</v>
      </c>
      <c r="F62" s="805">
        <v>2993</v>
      </c>
      <c r="G62" s="180">
        <f t="shared" si="1"/>
        <v>14563</v>
      </c>
    </row>
    <row r="63" spans="1:7" ht="11.25" customHeight="1" x14ac:dyDescent="0.25">
      <c r="A63" s="492">
        <v>56</v>
      </c>
      <c r="B63" s="190" t="s">
        <v>165</v>
      </c>
      <c r="C63" s="207" t="s">
        <v>166</v>
      </c>
      <c r="D63" s="805">
        <v>5752</v>
      </c>
      <c r="E63" s="805">
        <v>3897</v>
      </c>
      <c r="F63" s="805">
        <v>2603</v>
      </c>
      <c r="G63" s="180">
        <f t="shared" si="1"/>
        <v>12252</v>
      </c>
    </row>
    <row r="64" spans="1:7" ht="11.25" customHeight="1" x14ac:dyDescent="0.25">
      <c r="A64" s="492">
        <v>57</v>
      </c>
      <c r="B64" s="190" t="s">
        <v>167</v>
      </c>
      <c r="C64" s="207" t="s">
        <v>168</v>
      </c>
      <c r="D64" s="805">
        <v>1131</v>
      </c>
      <c r="E64" s="805">
        <v>766</v>
      </c>
      <c r="F64" s="805">
        <v>512</v>
      </c>
      <c r="G64" s="180">
        <f t="shared" si="1"/>
        <v>2409</v>
      </c>
    </row>
    <row r="65" spans="1:7" ht="11.25" customHeight="1" x14ac:dyDescent="0.25">
      <c r="A65" s="492">
        <v>58</v>
      </c>
      <c r="B65" s="190" t="s">
        <v>169</v>
      </c>
      <c r="C65" s="207" t="s">
        <v>170</v>
      </c>
      <c r="D65" s="805">
        <v>6253</v>
      </c>
      <c r="E65" s="805">
        <v>4237</v>
      </c>
      <c r="F65" s="805">
        <v>2830</v>
      </c>
      <c r="G65" s="180">
        <f t="shared" si="1"/>
        <v>13320</v>
      </c>
    </row>
    <row r="66" spans="1:7" ht="11.25" customHeight="1" x14ac:dyDescent="0.25">
      <c r="A66" s="492">
        <v>59</v>
      </c>
      <c r="B66" s="190" t="s">
        <v>171</v>
      </c>
      <c r="C66" s="207" t="s">
        <v>172</v>
      </c>
      <c r="D66" s="805">
        <v>1921</v>
      </c>
      <c r="E66" s="805">
        <v>0</v>
      </c>
      <c r="F66" s="805">
        <v>0</v>
      </c>
      <c r="G66" s="180">
        <f t="shared" si="1"/>
        <v>1921</v>
      </c>
    </row>
    <row r="67" spans="1:7" ht="11.25" customHeight="1" x14ac:dyDescent="0.25">
      <c r="A67" s="492">
        <v>60</v>
      </c>
      <c r="B67" s="190" t="s">
        <v>173</v>
      </c>
      <c r="C67" s="207" t="s">
        <v>617</v>
      </c>
      <c r="D67" s="805">
        <v>5420</v>
      </c>
      <c r="E67" s="805">
        <v>3454</v>
      </c>
      <c r="F67" s="805">
        <v>2307</v>
      </c>
      <c r="G67" s="180">
        <f t="shared" si="1"/>
        <v>11181</v>
      </c>
    </row>
    <row r="68" spans="1:7" ht="11.25" customHeight="1" x14ac:dyDescent="0.25">
      <c r="A68" s="492">
        <v>61</v>
      </c>
      <c r="B68" s="190" t="s">
        <v>178</v>
      </c>
      <c r="C68" s="207" t="s">
        <v>324</v>
      </c>
      <c r="D68" s="805">
        <v>292</v>
      </c>
      <c r="E68" s="805">
        <v>198</v>
      </c>
      <c r="F68" s="805">
        <v>132</v>
      </c>
      <c r="G68" s="180">
        <f t="shared" si="1"/>
        <v>622</v>
      </c>
    </row>
    <row r="69" spans="1:7" ht="11.25" customHeight="1" x14ac:dyDescent="0.25">
      <c r="A69" s="492">
        <v>62</v>
      </c>
      <c r="B69" s="190" t="s">
        <v>183</v>
      </c>
      <c r="C69" s="207" t="s">
        <v>184</v>
      </c>
      <c r="D69" s="805">
        <v>234</v>
      </c>
      <c r="E69" s="805">
        <v>159</v>
      </c>
      <c r="F69" s="805">
        <v>106</v>
      </c>
      <c r="G69" s="180">
        <f t="shared" si="1"/>
        <v>499</v>
      </c>
    </row>
    <row r="70" spans="1:7" ht="11.25" customHeight="1" x14ac:dyDescent="0.25">
      <c r="A70" s="492">
        <v>63</v>
      </c>
      <c r="B70" s="190" t="s">
        <v>185</v>
      </c>
      <c r="C70" s="207" t="s">
        <v>186</v>
      </c>
      <c r="D70" s="805">
        <v>3232</v>
      </c>
      <c r="E70" s="805">
        <v>2916</v>
      </c>
      <c r="F70" s="805">
        <v>2229</v>
      </c>
      <c r="G70" s="180">
        <f t="shared" si="1"/>
        <v>8377</v>
      </c>
    </row>
    <row r="71" spans="1:7" ht="11.25" customHeight="1" x14ac:dyDescent="0.25">
      <c r="A71" s="492">
        <v>64</v>
      </c>
      <c r="B71" s="190" t="s">
        <v>187</v>
      </c>
      <c r="C71" s="206" t="s">
        <v>188</v>
      </c>
      <c r="D71" s="805">
        <v>815</v>
      </c>
      <c r="E71" s="805">
        <v>409</v>
      </c>
      <c r="F71" s="805">
        <v>273</v>
      </c>
      <c r="G71" s="180">
        <f t="shared" si="1"/>
        <v>1497</v>
      </c>
    </row>
    <row r="72" spans="1:7" ht="11.25" customHeight="1" x14ac:dyDescent="0.25">
      <c r="A72" s="492">
        <v>65</v>
      </c>
      <c r="B72" s="179" t="s">
        <v>189</v>
      </c>
      <c r="C72" s="206" t="s">
        <v>190</v>
      </c>
      <c r="D72" s="805">
        <v>0</v>
      </c>
      <c r="E72" s="805">
        <v>203</v>
      </c>
      <c r="F72" s="805">
        <v>136</v>
      </c>
      <c r="G72" s="180">
        <f t="shared" si="1"/>
        <v>339</v>
      </c>
    </row>
    <row r="73" spans="1:7" ht="11.25" customHeight="1" x14ac:dyDescent="0.25">
      <c r="A73" s="492">
        <v>66</v>
      </c>
      <c r="B73" s="190" t="s">
        <v>191</v>
      </c>
      <c r="C73" s="206" t="s">
        <v>192</v>
      </c>
      <c r="D73" s="805">
        <v>2345</v>
      </c>
      <c r="E73" s="805">
        <v>1122</v>
      </c>
      <c r="F73" s="805">
        <v>749</v>
      </c>
      <c r="G73" s="180">
        <f t="shared" ref="G73:G91" si="2">SUM(D73:F73)</f>
        <v>4216</v>
      </c>
    </row>
    <row r="74" spans="1:7" ht="11.25" customHeight="1" x14ac:dyDescent="0.25">
      <c r="A74" s="492">
        <v>67</v>
      </c>
      <c r="B74" s="190" t="s">
        <v>193</v>
      </c>
      <c r="C74" s="206" t="s">
        <v>194</v>
      </c>
      <c r="D74" s="805">
        <v>717</v>
      </c>
      <c r="E74" s="805">
        <v>486</v>
      </c>
      <c r="F74" s="805">
        <v>324</v>
      </c>
      <c r="G74" s="180">
        <f t="shared" si="2"/>
        <v>1527</v>
      </c>
    </row>
    <row r="75" spans="1:7" ht="11.25" customHeight="1" x14ac:dyDescent="0.25">
      <c r="A75" s="492">
        <v>68</v>
      </c>
      <c r="B75" s="190" t="s">
        <v>195</v>
      </c>
      <c r="C75" s="206" t="s">
        <v>196</v>
      </c>
      <c r="D75" s="805">
        <v>1204</v>
      </c>
      <c r="E75" s="805">
        <v>631</v>
      </c>
      <c r="F75" s="805">
        <v>421</v>
      </c>
      <c r="G75" s="180">
        <f t="shared" si="2"/>
        <v>2256</v>
      </c>
    </row>
    <row r="76" spans="1:7" ht="11.25" customHeight="1" x14ac:dyDescent="0.25">
      <c r="A76" s="492">
        <v>69</v>
      </c>
      <c r="B76" s="190" t="s">
        <v>201</v>
      </c>
      <c r="C76" s="207" t="s">
        <v>202</v>
      </c>
      <c r="D76" s="805">
        <v>550</v>
      </c>
      <c r="E76" s="805">
        <v>210</v>
      </c>
      <c r="F76" s="805">
        <v>127</v>
      </c>
      <c r="G76" s="180">
        <f t="shared" si="2"/>
        <v>887</v>
      </c>
    </row>
    <row r="77" spans="1:7" ht="11.25" customHeight="1" x14ac:dyDescent="0.25">
      <c r="A77" s="492">
        <v>70</v>
      </c>
      <c r="B77" s="190" t="s">
        <v>203</v>
      </c>
      <c r="C77" s="207" t="s">
        <v>204</v>
      </c>
      <c r="D77" s="805">
        <v>621</v>
      </c>
      <c r="E77" s="805">
        <v>421</v>
      </c>
      <c r="F77" s="805">
        <v>0</v>
      </c>
      <c r="G77" s="180">
        <f t="shared" si="2"/>
        <v>1042</v>
      </c>
    </row>
    <row r="78" spans="1:7" ht="11.25" customHeight="1" x14ac:dyDescent="0.25">
      <c r="A78" s="492">
        <v>71</v>
      </c>
      <c r="B78" s="190" t="s">
        <v>205</v>
      </c>
      <c r="C78" s="207" t="s">
        <v>206</v>
      </c>
      <c r="D78" s="805">
        <v>1213</v>
      </c>
      <c r="E78" s="805">
        <v>550</v>
      </c>
      <c r="F78" s="805">
        <v>367</v>
      </c>
      <c r="G78" s="180">
        <f t="shared" si="2"/>
        <v>2130</v>
      </c>
    </row>
    <row r="79" spans="1:7" ht="11.25" customHeight="1" x14ac:dyDescent="0.25">
      <c r="A79" s="492">
        <v>72</v>
      </c>
      <c r="B79" s="190" t="s">
        <v>207</v>
      </c>
      <c r="C79" s="207" t="s">
        <v>208</v>
      </c>
      <c r="D79" s="805">
        <v>2088</v>
      </c>
      <c r="E79" s="805">
        <v>1002</v>
      </c>
      <c r="F79" s="805">
        <v>683</v>
      </c>
      <c r="G79" s="180">
        <f t="shared" si="2"/>
        <v>3773</v>
      </c>
    </row>
    <row r="80" spans="1:7" ht="11.25" customHeight="1" x14ac:dyDescent="0.25">
      <c r="A80" s="492">
        <v>73</v>
      </c>
      <c r="B80" s="190" t="s">
        <v>209</v>
      </c>
      <c r="C80" s="207" t="s">
        <v>210</v>
      </c>
      <c r="D80" s="805">
        <v>635</v>
      </c>
      <c r="E80" s="805">
        <v>430</v>
      </c>
      <c r="F80" s="805">
        <v>288</v>
      </c>
      <c r="G80" s="180">
        <f t="shared" si="2"/>
        <v>1353</v>
      </c>
    </row>
    <row r="81" spans="1:7" ht="11.25" customHeight="1" x14ac:dyDescent="0.25">
      <c r="A81" s="492">
        <v>74</v>
      </c>
      <c r="B81" s="190" t="s">
        <v>211</v>
      </c>
      <c r="C81" s="207" t="s">
        <v>212</v>
      </c>
      <c r="D81" s="805">
        <v>1265</v>
      </c>
      <c r="E81" s="805">
        <v>642</v>
      </c>
      <c r="F81" s="805">
        <v>429</v>
      </c>
      <c r="G81" s="180">
        <f t="shared" si="2"/>
        <v>2336</v>
      </c>
    </row>
    <row r="82" spans="1:7" ht="11.25" customHeight="1" x14ac:dyDescent="0.25">
      <c r="A82" s="492">
        <v>75</v>
      </c>
      <c r="B82" s="190" t="s">
        <v>213</v>
      </c>
      <c r="C82" s="207" t="s">
        <v>214</v>
      </c>
      <c r="D82" s="805">
        <v>2487</v>
      </c>
      <c r="E82" s="805">
        <v>1441</v>
      </c>
      <c r="F82" s="805">
        <v>947</v>
      </c>
      <c r="G82" s="180">
        <f t="shared" si="2"/>
        <v>4875</v>
      </c>
    </row>
    <row r="83" spans="1:7" ht="11.25" customHeight="1" x14ac:dyDescent="0.25">
      <c r="A83" s="805">
        <v>76</v>
      </c>
      <c r="B83" s="190" t="s">
        <v>215</v>
      </c>
      <c r="C83" s="207" t="s">
        <v>216</v>
      </c>
      <c r="D83" s="805"/>
      <c r="E83" s="805">
        <v>174</v>
      </c>
      <c r="F83" s="805">
        <v>132</v>
      </c>
      <c r="G83" s="180">
        <f t="shared" si="2"/>
        <v>306</v>
      </c>
    </row>
    <row r="84" spans="1:7" ht="11.25" customHeight="1" x14ac:dyDescent="0.25">
      <c r="A84" s="805">
        <v>77</v>
      </c>
      <c r="B84" s="190" t="s">
        <v>258</v>
      </c>
      <c r="C84" s="207" t="s">
        <v>676</v>
      </c>
      <c r="D84" s="805">
        <v>3000</v>
      </c>
      <c r="E84" s="805">
        <v>2130</v>
      </c>
      <c r="F84" s="805">
        <v>1666</v>
      </c>
      <c r="G84" s="180">
        <f t="shared" si="2"/>
        <v>6796</v>
      </c>
    </row>
    <row r="85" spans="1:7" ht="11.25" customHeight="1" x14ac:dyDescent="0.25">
      <c r="A85" s="805">
        <v>78</v>
      </c>
      <c r="B85" s="190" t="s">
        <v>260</v>
      </c>
      <c r="C85" s="207" t="s">
        <v>261</v>
      </c>
      <c r="D85" s="805">
        <v>3000</v>
      </c>
      <c r="E85" s="805">
        <v>0</v>
      </c>
      <c r="F85" s="805">
        <v>0</v>
      </c>
      <c r="G85" s="180">
        <f t="shared" si="2"/>
        <v>3000</v>
      </c>
    </row>
    <row r="86" spans="1:7" ht="11.25" customHeight="1" x14ac:dyDescent="0.25">
      <c r="A86" s="805">
        <v>79</v>
      </c>
      <c r="B86" s="190" t="s">
        <v>262</v>
      </c>
      <c r="C86" s="207" t="s">
        <v>263</v>
      </c>
      <c r="D86" s="805">
        <v>10500</v>
      </c>
      <c r="E86" s="805">
        <v>1200</v>
      </c>
      <c r="F86" s="805">
        <v>500</v>
      </c>
      <c r="G86" s="180">
        <f t="shared" si="2"/>
        <v>12200</v>
      </c>
    </row>
    <row r="87" spans="1:7" ht="11.25" customHeight="1" x14ac:dyDescent="0.25">
      <c r="A87" s="805">
        <v>80</v>
      </c>
      <c r="B87" s="190" t="s">
        <v>264</v>
      </c>
      <c r="C87" s="207" t="s">
        <v>265</v>
      </c>
      <c r="D87" s="805">
        <v>3264</v>
      </c>
      <c r="E87" s="805">
        <v>0</v>
      </c>
      <c r="F87" s="805">
        <v>0</v>
      </c>
      <c r="G87" s="180">
        <f t="shared" si="2"/>
        <v>3264</v>
      </c>
    </row>
    <row r="88" spans="1:7" ht="11.25" customHeight="1" x14ac:dyDescent="0.25">
      <c r="A88" s="805">
        <v>81</v>
      </c>
      <c r="B88" s="190" t="s">
        <v>268</v>
      </c>
      <c r="C88" s="207" t="s">
        <v>269</v>
      </c>
      <c r="D88" s="805">
        <v>700</v>
      </c>
      <c r="E88" s="805">
        <v>0</v>
      </c>
      <c r="F88" s="805">
        <v>0</v>
      </c>
      <c r="G88" s="180">
        <f t="shared" si="2"/>
        <v>700</v>
      </c>
    </row>
    <row r="89" spans="1:7" ht="11.25" customHeight="1" x14ac:dyDescent="0.25">
      <c r="A89" s="805">
        <v>82</v>
      </c>
      <c r="B89" s="190" t="s">
        <v>274</v>
      </c>
      <c r="C89" s="207" t="s">
        <v>275</v>
      </c>
      <c r="D89" s="805">
        <v>432</v>
      </c>
      <c r="E89" s="805">
        <v>850</v>
      </c>
      <c r="F89" s="805">
        <v>550</v>
      </c>
      <c r="G89" s="180">
        <f t="shared" si="2"/>
        <v>1832</v>
      </c>
    </row>
    <row r="90" spans="1:7" ht="11.25" customHeight="1" x14ac:dyDescent="0.25">
      <c r="A90" s="805">
        <v>83</v>
      </c>
      <c r="B90" s="190" t="s">
        <v>276</v>
      </c>
      <c r="C90" s="170" t="s">
        <v>277</v>
      </c>
      <c r="D90" s="805">
        <v>2798</v>
      </c>
      <c r="E90" s="805">
        <v>1896</v>
      </c>
      <c r="F90" s="805">
        <v>1300</v>
      </c>
      <c r="G90" s="180">
        <f t="shared" si="2"/>
        <v>5994</v>
      </c>
    </row>
    <row r="91" spans="1:7" ht="11.25" customHeight="1" x14ac:dyDescent="0.25">
      <c r="A91" s="805">
        <v>84</v>
      </c>
      <c r="B91" s="190" t="s">
        <v>278</v>
      </c>
      <c r="C91" s="207" t="s">
        <v>279</v>
      </c>
      <c r="D91" s="805">
        <v>5594</v>
      </c>
      <c r="E91" s="805">
        <v>2848</v>
      </c>
      <c r="F91" s="805">
        <v>1902</v>
      </c>
      <c r="G91" s="180">
        <f t="shared" si="2"/>
        <v>10344</v>
      </c>
    </row>
    <row r="92" spans="1:7" ht="11.25" customHeight="1" x14ac:dyDescent="0.25">
      <c r="C92" s="202"/>
    </row>
    <row r="93" spans="1:7" ht="11.25" customHeight="1" x14ac:dyDescent="0.25">
      <c r="C93" s="208"/>
      <c r="D93" s="493"/>
      <c r="E93" s="493"/>
      <c r="F93" s="493"/>
    </row>
    <row r="94" spans="1:7" ht="11.25" customHeight="1" x14ac:dyDescent="0.25">
      <c r="C94" s="208"/>
    </row>
    <row r="95" spans="1:7" ht="11.25" customHeight="1" x14ac:dyDescent="0.25"/>
    <row r="97" spans="5:5" ht="11.25" customHeight="1" x14ac:dyDescent="0.25"/>
    <row r="98" spans="5:5" ht="11.25" customHeight="1" x14ac:dyDescent="0.25">
      <c r="E98" s="202">
        <f>95555-E5</f>
        <v>0</v>
      </c>
    </row>
    <row r="99" spans="5:5" ht="15.75" customHeight="1" x14ac:dyDescent="0.25"/>
    <row r="100" spans="5:5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3"/>
  <sheetViews>
    <sheetView zoomScale="90" zoomScaleNormal="90" zoomScaleSheetLayoutView="85" workbookViewId="0">
      <pane xSplit="3" ySplit="5" topLeftCell="V6" activePane="bottomRight" state="frozen"/>
      <selection activeCell="D11" sqref="D11"/>
      <selection pane="topRight" activeCell="D11" sqref="D11"/>
      <selection pane="bottomLeft" activeCell="D11" sqref="D11"/>
      <selection pane="bottomRight" activeCell="H99" sqref="H99"/>
    </sheetView>
  </sheetViews>
  <sheetFormatPr defaultRowHeight="15" x14ac:dyDescent="0.25"/>
  <cols>
    <col min="1" max="1" width="4" style="209" customWidth="1"/>
    <col min="2" max="2" width="8.28515625" style="209" customWidth="1"/>
    <col min="3" max="3" width="35.42578125" style="255" customWidth="1"/>
    <col min="4" max="4" width="11.42578125" style="256" customWidth="1"/>
    <col min="5" max="5" width="9.140625" style="253" customWidth="1"/>
    <col min="6" max="6" width="11.42578125" style="212" customWidth="1"/>
    <col min="7" max="7" width="15.85546875" style="212" customWidth="1"/>
    <col min="8" max="8" width="8.140625" style="209" customWidth="1"/>
    <col min="9" max="10" width="9" style="209" customWidth="1"/>
    <col min="11" max="11" width="12.7109375" style="209" customWidth="1"/>
    <col min="12" max="12" width="8.7109375" style="209" customWidth="1"/>
    <col min="13" max="13" width="8.5703125" style="209" customWidth="1"/>
    <col min="14" max="14" width="9.140625" style="209" customWidth="1"/>
    <col min="15" max="15" width="8.7109375" style="209" customWidth="1"/>
    <col min="16" max="16" width="11.140625" style="209" customWidth="1"/>
    <col min="17" max="22" width="13.42578125" style="209" customWidth="1"/>
    <col min="23" max="23" width="17.85546875" style="209" customWidth="1"/>
    <col min="24" max="24" width="9.5703125" style="209" customWidth="1"/>
    <col min="25" max="25" width="10.140625" style="209" customWidth="1"/>
    <col min="26" max="26" width="34.42578125" style="209" customWidth="1"/>
    <col min="27" max="16384" width="9.140625" style="209"/>
  </cols>
  <sheetData>
    <row r="1" spans="1:26" ht="27" customHeight="1" x14ac:dyDescent="0.25">
      <c r="A1" s="1260" t="s">
        <v>754</v>
      </c>
      <c r="B1" s="1260"/>
      <c r="C1" s="1260"/>
      <c r="D1" s="1260"/>
      <c r="E1" s="1260"/>
      <c r="F1" s="1260"/>
      <c r="G1" s="1260"/>
      <c r="H1" s="1260"/>
      <c r="I1" s="1260"/>
      <c r="J1" s="1260"/>
      <c r="K1" s="1260"/>
      <c r="L1" s="1260"/>
      <c r="M1" s="1260"/>
      <c r="N1" s="1260"/>
      <c r="O1" s="1260"/>
      <c r="P1" s="1260"/>
      <c r="Q1" s="1260"/>
      <c r="R1" s="1260"/>
      <c r="S1" s="1260"/>
      <c r="T1" s="1260"/>
      <c r="U1" s="1260"/>
      <c r="V1" s="1260"/>
      <c r="W1" s="1260"/>
      <c r="X1" s="1260"/>
      <c r="Y1" s="1260"/>
    </row>
    <row r="2" spans="1:26" ht="2.25" customHeight="1" thickBot="1" x14ac:dyDescent="0.3">
      <c r="C2" s="210"/>
      <c r="D2" s="211"/>
      <c r="E2" s="211"/>
      <c r="P2" s="213"/>
      <c r="Q2" s="213"/>
      <c r="R2" s="213"/>
      <c r="S2" s="213"/>
      <c r="T2" s="213"/>
      <c r="U2" s="213"/>
      <c r="V2" s="213"/>
      <c r="W2" s="1261" t="s">
        <v>326</v>
      </c>
      <c r="X2" s="1261"/>
      <c r="Y2" s="1261"/>
    </row>
    <row r="3" spans="1:26" s="216" customFormat="1" ht="72" customHeight="1" x14ac:dyDescent="0.25">
      <c r="A3" s="1262" t="s">
        <v>0</v>
      </c>
      <c r="B3" s="1264" t="s">
        <v>302</v>
      </c>
      <c r="C3" s="1264" t="s">
        <v>292</v>
      </c>
      <c r="D3" s="281" t="s">
        <v>677</v>
      </c>
      <c r="E3" s="214"/>
      <c r="F3" s="214"/>
      <c r="G3" s="214"/>
      <c r="H3" s="214"/>
      <c r="I3" s="214"/>
      <c r="J3" s="214"/>
      <c r="K3" s="215"/>
      <c r="L3" s="1266" t="s">
        <v>678</v>
      </c>
      <c r="M3" s="1266"/>
      <c r="N3" s="1266"/>
      <c r="O3" s="1266"/>
      <c r="P3" s="1267"/>
      <c r="Q3" s="1268" t="s">
        <v>679</v>
      </c>
      <c r="R3" s="1269"/>
      <c r="S3" s="1269"/>
      <c r="T3" s="1269"/>
      <c r="U3" s="1269"/>
      <c r="V3" s="1269"/>
      <c r="W3" s="1269"/>
      <c r="X3" s="1270"/>
      <c r="Y3" s="1271"/>
    </row>
    <row r="4" spans="1:26" s="216" customFormat="1" ht="67.5" customHeight="1" x14ac:dyDescent="0.25">
      <c r="A4" s="1263"/>
      <c r="B4" s="1265"/>
      <c r="C4" s="1265"/>
      <c r="D4" s="1272" t="s">
        <v>680</v>
      </c>
      <c r="E4" s="1274" t="s">
        <v>681</v>
      </c>
      <c r="F4" s="217" t="s">
        <v>755</v>
      </c>
      <c r="G4" s="1276" t="s">
        <v>756</v>
      </c>
      <c r="H4" s="1265" t="s">
        <v>4</v>
      </c>
      <c r="I4" s="1265"/>
      <c r="J4" s="1265"/>
      <c r="K4" s="1278" t="s">
        <v>6</v>
      </c>
      <c r="L4" s="1280" t="s">
        <v>682</v>
      </c>
      <c r="M4" s="1258" t="s">
        <v>683</v>
      </c>
      <c r="N4" s="1258" t="s">
        <v>684</v>
      </c>
      <c r="O4" s="1258" t="s">
        <v>685</v>
      </c>
      <c r="P4" s="1290" t="s">
        <v>6</v>
      </c>
      <c r="Q4" s="1291" t="s">
        <v>686</v>
      </c>
      <c r="R4" s="1282" t="s">
        <v>687</v>
      </c>
      <c r="S4" s="1282" t="s">
        <v>688</v>
      </c>
      <c r="T4" s="1282" t="s">
        <v>689</v>
      </c>
      <c r="U4" s="1282" t="s">
        <v>690</v>
      </c>
      <c r="V4" s="1282" t="s">
        <v>691</v>
      </c>
      <c r="W4" s="1284" t="s">
        <v>692</v>
      </c>
      <c r="X4" s="1286" t="s">
        <v>693</v>
      </c>
      <c r="Y4" s="1288" t="s">
        <v>6</v>
      </c>
    </row>
    <row r="5" spans="1:26" s="216" customFormat="1" ht="51.75" customHeight="1" x14ac:dyDescent="0.25">
      <c r="A5" s="1263"/>
      <c r="B5" s="1265"/>
      <c r="C5" s="1265"/>
      <c r="D5" s="1273"/>
      <c r="E5" s="1275"/>
      <c r="F5" s="218" t="s">
        <v>694</v>
      </c>
      <c r="G5" s="1277"/>
      <c r="H5" s="219" t="s">
        <v>695</v>
      </c>
      <c r="I5" s="219" t="s">
        <v>696</v>
      </c>
      <c r="J5" s="219" t="s">
        <v>697</v>
      </c>
      <c r="K5" s="1279"/>
      <c r="L5" s="1281"/>
      <c r="M5" s="1259"/>
      <c r="N5" s="1259"/>
      <c r="O5" s="1259"/>
      <c r="P5" s="1289"/>
      <c r="Q5" s="1292"/>
      <c r="R5" s="1283"/>
      <c r="S5" s="1283"/>
      <c r="T5" s="1283"/>
      <c r="U5" s="1283"/>
      <c r="V5" s="1283"/>
      <c r="W5" s="1285"/>
      <c r="X5" s="1287"/>
      <c r="Y5" s="1289"/>
    </row>
    <row r="6" spans="1:26" s="230" customFormat="1" ht="12.75" customHeight="1" x14ac:dyDescent="0.25">
      <c r="A6" s="284"/>
      <c r="B6" s="237"/>
      <c r="C6" s="221" t="s">
        <v>6</v>
      </c>
      <c r="D6" s="282">
        <f>D7+D8</f>
        <v>88793</v>
      </c>
      <c r="E6" s="222">
        <f t="shared" ref="E6:Y6" si="0">E7+E8</f>
        <v>4613</v>
      </c>
      <c r="F6" s="223">
        <f t="shared" si="0"/>
        <v>11235</v>
      </c>
      <c r="G6" s="223">
        <f t="shared" si="0"/>
        <v>10675</v>
      </c>
      <c r="H6" s="224">
        <f t="shared" si="0"/>
        <v>8260</v>
      </c>
      <c r="I6" s="224">
        <f t="shared" si="0"/>
        <v>549</v>
      </c>
      <c r="J6" s="224">
        <f t="shared" si="0"/>
        <v>1866</v>
      </c>
      <c r="K6" s="225">
        <f t="shared" si="0"/>
        <v>115316</v>
      </c>
      <c r="L6" s="810">
        <f t="shared" si="0"/>
        <v>1477</v>
      </c>
      <c r="M6" s="226">
        <f t="shared" si="0"/>
        <v>7254</v>
      </c>
      <c r="N6" s="226">
        <f t="shared" si="0"/>
        <v>26049</v>
      </c>
      <c r="O6" s="226">
        <f t="shared" si="0"/>
        <v>16953</v>
      </c>
      <c r="P6" s="227">
        <f t="shared" si="0"/>
        <v>51733</v>
      </c>
      <c r="Q6" s="228">
        <f t="shared" si="0"/>
        <v>183</v>
      </c>
      <c r="R6" s="229">
        <f t="shared" si="0"/>
        <v>479</v>
      </c>
      <c r="S6" s="229">
        <f t="shared" si="0"/>
        <v>290</v>
      </c>
      <c r="T6" s="229">
        <f t="shared" si="0"/>
        <v>290</v>
      </c>
      <c r="U6" s="229">
        <f t="shared" si="0"/>
        <v>393</v>
      </c>
      <c r="V6" s="229">
        <f t="shared" si="0"/>
        <v>1050</v>
      </c>
      <c r="W6" s="229">
        <f t="shared" si="0"/>
        <v>1119</v>
      </c>
      <c r="X6" s="229">
        <f t="shared" si="0"/>
        <v>10</v>
      </c>
      <c r="Y6" s="227">
        <f t="shared" si="0"/>
        <v>3814</v>
      </c>
    </row>
    <row r="7" spans="1:26" s="230" customFormat="1" ht="12.75" customHeight="1" x14ac:dyDescent="0.25">
      <c r="A7" s="284"/>
      <c r="B7" s="237"/>
      <c r="C7" s="283" t="s">
        <v>14</v>
      </c>
      <c r="D7" s="282">
        <v>0</v>
      </c>
      <c r="E7" s="222">
        <v>0</v>
      </c>
      <c r="F7" s="223">
        <v>0</v>
      </c>
      <c r="G7" s="223">
        <v>0</v>
      </c>
      <c r="H7" s="224">
        <v>0</v>
      </c>
      <c r="I7" s="224">
        <v>0</v>
      </c>
      <c r="J7" s="224">
        <v>0</v>
      </c>
      <c r="K7" s="225">
        <v>0</v>
      </c>
      <c r="L7" s="810">
        <v>0</v>
      </c>
      <c r="M7" s="226">
        <v>0</v>
      </c>
      <c r="N7" s="226">
        <v>0</v>
      </c>
      <c r="O7" s="226">
        <v>0</v>
      </c>
      <c r="P7" s="227">
        <v>0</v>
      </c>
      <c r="Q7" s="228">
        <v>0</v>
      </c>
      <c r="R7" s="229">
        <v>0</v>
      </c>
      <c r="S7" s="229">
        <v>0</v>
      </c>
      <c r="T7" s="229">
        <v>0</v>
      </c>
      <c r="U7" s="229">
        <v>0</v>
      </c>
      <c r="V7" s="229">
        <v>0</v>
      </c>
      <c r="W7" s="229">
        <v>0</v>
      </c>
      <c r="X7" s="229">
        <v>0</v>
      </c>
      <c r="Y7" s="227">
        <v>0</v>
      </c>
    </row>
    <row r="8" spans="1:26" s="230" customFormat="1" ht="12" customHeight="1" x14ac:dyDescent="0.25">
      <c r="A8" s="284"/>
      <c r="B8" s="237"/>
      <c r="C8" s="283" t="s">
        <v>15</v>
      </c>
      <c r="D8" s="282">
        <f t="shared" ref="D8:Y8" si="1">SUM(D9:D96)</f>
        <v>88793</v>
      </c>
      <c r="E8" s="222">
        <f t="shared" si="1"/>
        <v>4613</v>
      </c>
      <c r="F8" s="223">
        <f t="shared" si="1"/>
        <v>11235</v>
      </c>
      <c r="G8" s="223">
        <f t="shared" si="1"/>
        <v>10675</v>
      </c>
      <c r="H8" s="224">
        <f>SUM(H9:H96)</f>
        <v>8260</v>
      </c>
      <c r="I8" s="224">
        <f t="shared" ref="I8:J8" si="2">SUM(I9:I96)</f>
        <v>549</v>
      </c>
      <c r="J8" s="224">
        <f t="shared" si="2"/>
        <v>1866</v>
      </c>
      <c r="K8" s="225">
        <f t="shared" si="1"/>
        <v>115316</v>
      </c>
      <c r="L8" s="810">
        <f t="shared" si="1"/>
        <v>1477</v>
      </c>
      <c r="M8" s="226">
        <f t="shared" si="1"/>
        <v>7254</v>
      </c>
      <c r="N8" s="226">
        <f t="shared" si="1"/>
        <v>26049</v>
      </c>
      <c r="O8" s="226">
        <f t="shared" si="1"/>
        <v>16953</v>
      </c>
      <c r="P8" s="227">
        <f t="shared" si="1"/>
        <v>51733</v>
      </c>
      <c r="Q8" s="228">
        <f t="shared" si="1"/>
        <v>183</v>
      </c>
      <c r="R8" s="229">
        <f t="shared" si="1"/>
        <v>479</v>
      </c>
      <c r="S8" s="229">
        <f t="shared" si="1"/>
        <v>290</v>
      </c>
      <c r="T8" s="229">
        <f t="shared" si="1"/>
        <v>290</v>
      </c>
      <c r="U8" s="229">
        <f t="shared" si="1"/>
        <v>393</v>
      </c>
      <c r="V8" s="229">
        <f t="shared" si="1"/>
        <v>1050</v>
      </c>
      <c r="W8" s="229">
        <f t="shared" si="1"/>
        <v>1119</v>
      </c>
      <c r="X8" s="229">
        <f t="shared" si="1"/>
        <v>10</v>
      </c>
      <c r="Y8" s="231">
        <f t="shared" si="1"/>
        <v>3814</v>
      </c>
    </row>
    <row r="9" spans="1:26" s="216" customFormat="1" ht="13.5" customHeight="1" x14ac:dyDescent="0.25">
      <c r="A9" s="285">
        <v>1</v>
      </c>
      <c r="B9" s="234" t="s">
        <v>16</v>
      </c>
      <c r="C9" s="234" t="s">
        <v>17</v>
      </c>
      <c r="D9" s="813">
        <v>353</v>
      </c>
      <c r="E9" s="235">
        <v>0</v>
      </c>
      <c r="F9" s="236">
        <v>0</v>
      </c>
      <c r="G9" s="236">
        <f t="shared" ref="G9:G13" si="3">H9+I9+J9</f>
        <v>0</v>
      </c>
      <c r="H9" s="237"/>
      <c r="I9" s="237"/>
      <c r="J9" s="237"/>
      <c r="K9" s="238">
        <f t="shared" ref="K9:K72" si="4">D9+E9+F9+G9</f>
        <v>353</v>
      </c>
      <c r="L9" s="811">
        <v>0</v>
      </c>
      <c r="M9" s="239">
        <v>0</v>
      </c>
      <c r="N9" s="239">
        <v>0</v>
      </c>
      <c r="O9" s="239">
        <v>0</v>
      </c>
      <c r="P9" s="240">
        <f t="shared" ref="P9:P72" si="5">L9+M9+N9+O9</f>
        <v>0</v>
      </c>
      <c r="Q9" s="220"/>
      <c r="R9" s="235"/>
      <c r="S9" s="235"/>
      <c r="T9" s="235"/>
      <c r="U9" s="235"/>
      <c r="V9" s="235"/>
      <c r="W9" s="235"/>
      <c r="X9" s="241"/>
      <c r="Y9" s="294"/>
      <c r="Z9" s="242"/>
    </row>
    <row r="10" spans="1:26" s="216" customFormat="1" ht="13.5" customHeight="1" x14ac:dyDescent="0.25">
      <c r="A10" s="285">
        <v>2</v>
      </c>
      <c r="B10" s="234" t="s">
        <v>18</v>
      </c>
      <c r="C10" s="234" t="s">
        <v>19</v>
      </c>
      <c r="D10" s="813">
        <v>374</v>
      </c>
      <c r="E10" s="235">
        <v>0</v>
      </c>
      <c r="F10" s="236">
        <v>0</v>
      </c>
      <c r="G10" s="236">
        <f t="shared" si="3"/>
        <v>0</v>
      </c>
      <c r="H10" s="237"/>
      <c r="I10" s="237"/>
      <c r="J10" s="237"/>
      <c r="K10" s="238">
        <f t="shared" si="4"/>
        <v>374</v>
      </c>
      <c r="L10" s="811">
        <v>0</v>
      </c>
      <c r="M10" s="239">
        <v>0</v>
      </c>
      <c r="N10" s="239">
        <v>0</v>
      </c>
      <c r="O10" s="239">
        <v>0</v>
      </c>
      <c r="P10" s="240">
        <f t="shared" si="5"/>
        <v>0</v>
      </c>
      <c r="Q10" s="220"/>
      <c r="R10" s="235"/>
      <c r="S10" s="235"/>
      <c r="T10" s="235"/>
      <c r="U10" s="235"/>
      <c r="V10" s="235"/>
      <c r="W10" s="235"/>
      <c r="X10" s="241"/>
      <c r="Y10" s="295"/>
      <c r="Z10" s="242"/>
    </row>
    <row r="11" spans="1:26" s="216" customFormat="1" ht="13.5" customHeight="1" x14ac:dyDescent="0.25">
      <c r="A11" s="285">
        <v>3</v>
      </c>
      <c r="B11" s="234" t="s">
        <v>20</v>
      </c>
      <c r="C11" s="234" t="s">
        <v>21</v>
      </c>
      <c r="D11" s="813">
        <v>1066</v>
      </c>
      <c r="E11" s="235">
        <v>48</v>
      </c>
      <c r="F11" s="236">
        <v>261</v>
      </c>
      <c r="G11" s="236">
        <f t="shared" si="3"/>
        <v>0</v>
      </c>
      <c r="H11" s="236"/>
      <c r="I11" s="243"/>
      <c r="J11" s="243"/>
      <c r="K11" s="238">
        <f t="shared" si="4"/>
        <v>1375</v>
      </c>
      <c r="L11" s="811">
        <v>25</v>
      </c>
      <c r="M11" s="239">
        <v>173</v>
      </c>
      <c r="N11" s="239">
        <v>497</v>
      </c>
      <c r="O11" s="239">
        <v>337</v>
      </c>
      <c r="P11" s="240">
        <f t="shared" si="5"/>
        <v>1032</v>
      </c>
      <c r="Q11" s="220"/>
      <c r="R11" s="235"/>
      <c r="S11" s="235"/>
      <c r="T11" s="235"/>
      <c r="U11" s="235"/>
      <c r="V11" s="235"/>
      <c r="W11" s="235"/>
      <c r="X11" s="241"/>
      <c r="Y11" s="295"/>
      <c r="Z11" s="242"/>
    </row>
    <row r="12" spans="1:26" s="216" customFormat="1" ht="13.5" customHeight="1" x14ac:dyDescent="0.25">
      <c r="A12" s="285">
        <v>4</v>
      </c>
      <c r="B12" s="234" t="s">
        <v>22</v>
      </c>
      <c r="C12" s="234" t="s">
        <v>23</v>
      </c>
      <c r="D12" s="813">
        <v>417</v>
      </c>
      <c r="E12" s="235">
        <v>0</v>
      </c>
      <c r="F12" s="236">
        <v>0</v>
      </c>
      <c r="G12" s="236">
        <f t="shared" si="3"/>
        <v>0</v>
      </c>
      <c r="H12" s="244"/>
      <c r="I12" s="244"/>
      <c r="J12" s="244"/>
      <c r="K12" s="238">
        <f t="shared" si="4"/>
        <v>417</v>
      </c>
      <c r="L12" s="811">
        <v>0</v>
      </c>
      <c r="M12" s="239">
        <v>0</v>
      </c>
      <c r="N12" s="239">
        <v>0</v>
      </c>
      <c r="O12" s="239">
        <v>0</v>
      </c>
      <c r="P12" s="240">
        <f t="shared" si="5"/>
        <v>0</v>
      </c>
      <c r="Q12" s="220"/>
      <c r="R12" s="235"/>
      <c r="S12" s="235"/>
      <c r="T12" s="235"/>
      <c r="U12" s="235"/>
      <c r="V12" s="235"/>
      <c r="W12" s="235"/>
      <c r="X12" s="241"/>
      <c r="Y12" s="295"/>
      <c r="Z12" s="242"/>
    </row>
    <row r="13" spans="1:26" s="216" customFormat="1" ht="13.5" customHeight="1" x14ac:dyDescent="0.25">
      <c r="A13" s="285">
        <v>5</v>
      </c>
      <c r="B13" s="234" t="s">
        <v>24</v>
      </c>
      <c r="C13" s="234" t="s">
        <v>25</v>
      </c>
      <c r="D13" s="813">
        <v>425</v>
      </c>
      <c r="E13" s="235">
        <v>9</v>
      </c>
      <c r="F13" s="236">
        <v>51</v>
      </c>
      <c r="G13" s="236">
        <f t="shared" si="3"/>
        <v>0</v>
      </c>
      <c r="H13" s="236"/>
      <c r="I13" s="243"/>
      <c r="J13" s="243"/>
      <c r="K13" s="238">
        <f t="shared" si="4"/>
        <v>485</v>
      </c>
      <c r="L13" s="811">
        <v>0</v>
      </c>
      <c r="M13" s="239">
        <v>0</v>
      </c>
      <c r="N13" s="239">
        <v>0</v>
      </c>
      <c r="O13" s="239">
        <v>0</v>
      </c>
      <c r="P13" s="240">
        <f t="shared" si="5"/>
        <v>0</v>
      </c>
      <c r="Q13" s="220"/>
      <c r="R13" s="235"/>
      <c r="S13" s="235"/>
      <c r="T13" s="235"/>
      <c r="U13" s="235"/>
      <c r="V13" s="235"/>
      <c r="W13" s="235"/>
      <c r="X13" s="241"/>
      <c r="Y13" s="295"/>
      <c r="Z13" s="242"/>
    </row>
    <row r="14" spans="1:26" s="216" customFormat="1" ht="13.5" customHeight="1" x14ac:dyDescent="0.25">
      <c r="A14" s="232">
        <v>6</v>
      </c>
      <c r="B14" s="233" t="s">
        <v>26</v>
      </c>
      <c r="C14" s="234" t="s">
        <v>27</v>
      </c>
      <c r="D14" s="813">
        <v>2892</v>
      </c>
      <c r="E14" s="235">
        <v>62</v>
      </c>
      <c r="F14" s="236">
        <v>411</v>
      </c>
      <c r="G14" s="236">
        <f t="shared" ref="G14:G77" si="6">H14+I14+J14</f>
        <v>598</v>
      </c>
      <c r="H14" s="236">
        <v>450</v>
      </c>
      <c r="I14" s="243">
        <v>58</v>
      </c>
      <c r="J14" s="243">
        <v>90</v>
      </c>
      <c r="K14" s="238">
        <f t="shared" si="4"/>
        <v>3963</v>
      </c>
      <c r="L14" s="811">
        <v>59</v>
      </c>
      <c r="M14" s="239">
        <v>452</v>
      </c>
      <c r="N14" s="239">
        <v>1383</v>
      </c>
      <c r="O14" s="239">
        <v>937</v>
      </c>
      <c r="P14" s="240">
        <f t="shared" si="5"/>
        <v>2831</v>
      </c>
      <c r="Q14" s="220"/>
      <c r="R14" s="235"/>
      <c r="S14" s="235"/>
      <c r="T14" s="235"/>
      <c r="U14" s="235"/>
      <c r="V14" s="235"/>
      <c r="W14" s="235"/>
      <c r="X14" s="241"/>
      <c r="Y14" s="295"/>
      <c r="Z14" s="242"/>
    </row>
    <row r="15" spans="1:26" s="216" customFormat="1" ht="13.5" customHeight="1" x14ac:dyDescent="0.25">
      <c r="A15" s="232">
        <v>7</v>
      </c>
      <c r="B15" s="233" t="s">
        <v>28</v>
      </c>
      <c r="C15" s="234" t="s">
        <v>29</v>
      </c>
      <c r="D15" s="813">
        <v>1112</v>
      </c>
      <c r="E15" s="235">
        <v>23</v>
      </c>
      <c r="F15" s="236">
        <v>130</v>
      </c>
      <c r="G15" s="236">
        <f t="shared" si="6"/>
        <v>314</v>
      </c>
      <c r="H15" s="237">
        <v>289</v>
      </c>
      <c r="I15" s="237">
        <v>5</v>
      </c>
      <c r="J15" s="237">
        <v>20</v>
      </c>
      <c r="K15" s="238">
        <f t="shared" si="4"/>
        <v>1579</v>
      </c>
      <c r="L15" s="811">
        <v>0</v>
      </c>
      <c r="M15" s="239">
        <v>0</v>
      </c>
      <c r="N15" s="239">
        <v>0</v>
      </c>
      <c r="O15" s="239">
        <v>0</v>
      </c>
      <c r="P15" s="240">
        <f t="shared" si="5"/>
        <v>0</v>
      </c>
      <c r="Q15" s="220"/>
      <c r="R15" s="235"/>
      <c r="S15" s="235"/>
      <c r="T15" s="235"/>
      <c r="U15" s="235"/>
      <c r="V15" s="235"/>
      <c r="W15" s="235"/>
      <c r="X15" s="241"/>
      <c r="Y15" s="295"/>
      <c r="Z15" s="242"/>
    </row>
    <row r="16" spans="1:26" s="216" customFormat="1" ht="13.5" customHeight="1" x14ac:dyDescent="0.25">
      <c r="A16" s="232">
        <v>8</v>
      </c>
      <c r="B16" s="233" t="s">
        <v>30</v>
      </c>
      <c r="C16" s="234" t="s">
        <v>31</v>
      </c>
      <c r="D16" s="813">
        <v>418</v>
      </c>
      <c r="E16" s="235">
        <v>0</v>
      </c>
      <c r="F16" s="236">
        <v>0</v>
      </c>
      <c r="G16" s="236">
        <f t="shared" si="6"/>
        <v>0</v>
      </c>
      <c r="H16" s="237"/>
      <c r="I16" s="237"/>
      <c r="J16" s="237"/>
      <c r="K16" s="238">
        <f t="shared" si="4"/>
        <v>418</v>
      </c>
      <c r="L16" s="811">
        <v>0</v>
      </c>
      <c r="M16" s="239">
        <v>0</v>
      </c>
      <c r="N16" s="239">
        <v>0</v>
      </c>
      <c r="O16" s="239">
        <v>0</v>
      </c>
      <c r="P16" s="240">
        <f t="shared" si="5"/>
        <v>0</v>
      </c>
      <c r="Q16" s="220"/>
      <c r="R16" s="235"/>
      <c r="S16" s="235"/>
      <c r="T16" s="235"/>
      <c r="U16" s="235"/>
      <c r="V16" s="235"/>
      <c r="W16" s="235"/>
      <c r="X16" s="241"/>
      <c r="Y16" s="295"/>
      <c r="Z16" s="242"/>
    </row>
    <row r="17" spans="1:26" s="216" customFormat="1" ht="13.5" customHeight="1" x14ac:dyDescent="0.25">
      <c r="A17" s="232">
        <v>9</v>
      </c>
      <c r="B17" s="233" t="s">
        <v>32</v>
      </c>
      <c r="C17" s="234" t="s">
        <v>33</v>
      </c>
      <c r="D17" s="813">
        <v>402</v>
      </c>
      <c r="E17" s="235">
        <v>0</v>
      </c>
      <c r="F17" s="236">
        <v>0</v>
      </c>
      <c r="G17" s="236">
        <f t="shared" si="6"/>
        <v>0</v>
      </c>
      <c r="H17" s="237"/>
      <c r="I17" s="237"/>
      <c r="J17" s="237"/>
      <c r="K17" s="238">
        <f t="shared" si="4"/>
        <v>402</v>
      </c>
      <c r="L17" s="811">
        <v>0</v>
      </c>
      <c r="M17" s="239">
        <v>0</v>
      </c>
      <c r="N17" s="239">
        <v>0</v>
      </c>
      <c r="O17" s="239">
        <v>0</v>
      </c>
      <c r="P17" s="240">
        <f t="shared" si="5"/>
        <v>0</v>
      </c>
      <c r="Q17" s="220"/>
      <c r="R17" s="235"/>
      <c r="S17" s="235"/>
      <c r="T17" s="235"/>
      <c r="U17" s="235"/>
      <c r="V17" s="235"/>
      <c r="W17" s="235"/>
      <c r="X17" s="241"/>
      <c r="Y17" s="295"/>
      <c r="Z17" s="242"/>
    </row>
    <row r="18" spans="1:26" s="216" customFormat="1" ht="13.5" customHeight="1" x14ac:dyDescent="0.25">
      <c r="A18" s="232">
        <v>10</v>
      </c>
      <c r="B18" s="233" t="s">
        <v>34</v>
      </c>
      <c r="C18" s="234" t="s">
        <v>35</v>
      </c>
      <c r="D18" s="813">
        <v>529</v>
      </c>
      <c r="E18" s="235">
        <v>0</v>
      </c>
      <c r="F18" s="236">
        <v>0</v>
      </c>
      <c r="G18" s="236">
        <f t="shared" si="6"/>
        <v>0</v>
      </c>
      <c r="H18" s="237"/>
      <c r="I18" s="237"/>
      <c r="J18" s="237"/>
      <c r="K18" s="238">
        <f t="shared" si="4"/>
        <v>529</v>
      </c>
      <c r="L18" s="811">
        <v>0</v>
      </c>
      <c r="M18" s="239">
        <v>0</v>
      </c>
      <c r="N18" s="239">
        <v>0</v>
      </c>
      <c r="O18" s="239">
        <v>0</v>
      </c>
      <c r="P18" s="240">
        <f t="shared" si="5"/>
        <v>0</v>
      </c>
      <c r="Q18" s="220"/>
      <c r="R18" s="235"/>
      <c r="S18" s="235"/>
      <c r="T18" s="235"/>
      <c r="U18" s="235"/>
      <c r="V18" s="235"/>
      <c r="W18" s="235"/>
      <c r="X18" s="241"/>
      <c r="Y18" s="295"/>
      <c r="Z18" s="242"/>
    </row>
    <row r="19" spans="1:26" s="216" customFormat="1" ht="13.5" customHeight="1" x14ac:dyDescent="0.25">
      <c r="A19" s="232">
        <v>11</v>
      </c>
      <c r="B19" s="233" t="s">
        <v>36</v>
      </c>
      <c r="C19" s="234" t="s">
        <v>37</v>
      </c>
      <c r="D19" s="813">
        <v>411</v>
      </c>
      <c r="E19" s="235">
        <v>0</v>
      </c>
      <c r="F19" s="236">
        <v>49</v>
      </c>
      <c r="G19" s="236">
        <f t="shared" si="6"/>
        <v>0</v>
      </c>
      <c r="H19" s="237"/>
      <c r="I19" s="237"/>
      <c r="J19" s="237"/>
      <c r="K19" s="238">
        <f t="shared" si="4"/>
        <v>460</v>
      </c>
      <c r="L19" s="811">
        <v>0</v>
      </c>
      <c r="M19" s="239">
        <v>0</v>
      </c>
      <c r="N19" s="239">
        <v>0</v>
      </c>
      <c r="O19" s="239">
        <v>0</v>
      </c>
      <c r="P19" s="240">
        <f t="shared" si="5"/>
        <v>0</v>
      </c>
      <c r="Q19" s="220"/>
      <c r="R19" s="235"/>
      <c r="S19" s="235"/>
      <c r="T19" s="235"/>
      <c r="U19" s="235"/>
      <c r="V19" s="235"/>
      <c r="W19" s="235"/>
      <c r="X19" s="241"/>
      <c r="Y19" s="295"/>
      <c r="Z19" s="242"/>
    </row>
    <row r="20" spans="1:26" s="216" customFormat="1" ht="13.5" customHeight="1" x14ac:dyDescent="0.25">
      <c r="A20" s="232">
        <v>12</v>
      </c>
      <c r="B20" s="233" t="s">
        <v>38</v>
      </c>
      <c r="C20" s="234" t="s">
        <v>39</v>
      </c>
      <c r="D20" s="813">
        <v>814</v>
      </c>
      <c r="E20" s="235">
        <v>0</v>
      </c>
      <c r="F20" s="236">
        <v>97</v>
      </c>
      <c r="G20" s="236">
        <f t="shared" si="6"/>
        <v>91</v>
      </c>
      <c r="H20" s="237">
        <v>79</v>
      </c>
      <c r="I20" s="237">
        <v>4</v>
      </c>
      <c r="J20" s="237">
        <v>8</v>
      </c>
      <c r="K20" s="238">
        <f t="shared" si="4"/>
        <v>1002</v>
      </c>
      <c r="L20" s="811">
        <v>0</v>
      </c>
      <c r="M20" s="239">
        <v>0</v>
      </c>
      <c r="N20" s="239">
        <v>0</v>
      </c>
      <c r="O20" s="239">
        <v>0</v>
      </c>
      <c r="P20" s="240">
        <f t="shared" si="5"/>
        <v>0</v>
      </c>
      <c r="Q20" s="220"/>
      <c r="R20" s="235"/>
      <c r="S20" s="235"/>
      <c r="T20" s="235"/>
      <c r="U20" s="235"/>
      <c r="V20" s="235"/>
      <c r="W20" s="235"/>
      <c r="X20" s="241"/>
      <c r="Y20" s="295"/>
      <c r="Z20" s="242"/>
    </row>
    <row r="21" spans="1:26" s="216" customFormat="1" ht="13.5" customHeight="1" x14ac:dyDescent="0.25">
      <c r="A21" s="232">
        <v>13</v>
      </c>
      <c r="B21" s="245">
        <v>20163</v>
      </c>
      <c r="C21" s="234" t="s">
        <v>698</v>
      </c>
      <c r="D21" s="813">
        <v>55</v>
      </c>
      <c r="E21" s="235">
        <v>0</v>
      </c>
      <c r="F21" s="236">
        <v>55</v>
      </c>
      <c r="G21" s="236">
        <f t="shared" si="6"/>
        <v>0</v>
      </c>
      <c r="H21" s="237"/>
      <c r="I21" s="237"/>
      <c r="J21" s="237"/>
      <c r="K21" s="238">
        <f>D21+E21+F21+G21</f>
        <v>110</v>
      </c>
      <c r="L21" s="811">
        <v>0</v>
      </c>
      <c r="M21" s="239">
        <v>0</v>
      </c>
      <c r="N21" s="239">
        <v>0</v>
      </c>
      <c r="O21" s="239">
        <v>0</v>
      </c>
      <c r="P21" s="240">
        <f>L21+M21+N21+O21</f>
        <v>0</v>
      </c>
      <c r="Q21" s="220"/>
      <c r="R21" s="235"/>
      <c r="S21" s="235"/>
      <c r="T21" s="235"/>
      <c r="U21" s="235"/>
      <c r="V21" s="235"/>
      <c r="W21" s="235"/>
      <c r="X21" s="241"/>
      <c r="Y21" s="295"/>
      <c r="Z21" s="242"/>
    </row>
    <row r="22" spans="1:26" s="216" customFormat="1" ht="13.5" customHeight="1" x14ac:dyDescent="0.25">
      <c r="A22" s="232">
        <v>14</v>
      </c>
      <c r="B22" s="233" t="s">
        <v>44</v>
      </c>
      <c r="C22" s="234" t="s">
        <v>45</v>
      </c>
      <c r="D22" s="813">
        <v>515</v>
      </c>
      <c r="E22" s="235">
        <v>0</v>
      </c>
      <c r="F22" s="236">
        <v>62</v>
      </c>
      <c r="G22" s="236">
        <f t="shared" si="6"/>
        <v>110</v>
      </c>
      <c r="H22" s="237">
        <v>106</v>
      </c>
      <c r="I22" s="237">
        <v>0</v>
      </c>
      <c r="J22" s="237">
        <v>4</v>
      </c>
      <c r="K22" s="238">
        <f t="shared" si="4"/>
        <v>687</v>
      </c>
      <c r="L22" s="811">
        <v>0</v>
      </c>
      <c r="M22" s="239">
        <v>0</v>
      </c>
      <c r="N22" s="239">
        <v>0</v>
      </c>
      <c r="O22" s="239">
        <v>0</v>
      </c>
      <c r="P22" s="240">
        <f t="shared" si="5"/>
        <v>0</v>
      </c>
      <c r="Q22" s="220"/>
      <c r="R22" s="235"/>
      <c r="S22" s="235"/>
      <c r="T22" s="235"/>
      <c r="U22" s="235"/>
      <c r="V22" s="235"/>
      <c r="W22" s="235"/>
      <c r="X22" s="241"/>
      <c r="Y22" s="295"/>
      <c r="Z22" s="242"/>
    </row>
    <row r="23" spans="1:26" s="216" customFormat="1" ht="13.5" customHeight="1" x14ac:dyDescent="0.25">
      <c r="A23" s="232">
        <v>15</v>
      </c>
      <c r="B23" s="233" t="s">
        <v>46</v>
      </c>
      <c r="C23" s="234" t="s">
        <v>47</v>
      </c>
      <c r="D23" s="813">
        <v>733</v>
      </c>
      <c r="E23" s="235">
        <v>0</v>
      </c>
      <c r="F23" s="236">
        <v>0</v>
      </c>
      <c r="G23" s="236">
        <f t="shared" si="6"/>
        <v>0</v>
      </c>
      <c r="H23" s="237"/>
      <c r="I23" s="237"/>
      <c r="J23" s="237"/>
      <c r="K23" s="238">
        <f t="shared" si="4"/>
        <v>733</v>
      </c>
      <c r="L23" s="811">
        <v>0</v>
      </c>
      <c r="M23" s="239">
        <v>0</v>
      </c>
      <c r="N23" s="239">
        <v>0</v>
      </c>
      <c r="O23" s="239">
        <v>0</v>
      </c>
      <c r="P23" s="240">
        <f t="shared" si="5"/>
        <v>0</v>
      </c>
      <c r="Q23" s="220"/>
      <c r="R23" s="235"/>
      <c r="S23" s="235"/>
      <c r="T23" s="235"/>
      <c r="U23" s="235"/>
      <c r="V23" s="235"/>
      <c r="W23" s="235"/>
      <c r="X23" s="241"/>
      <c r="Y23" s="295"/>
      <c r="Z23" s="242"/>
    </row>
    <row r="24" spans="1:26" s="216" customFormat="1" ht="13.5" customHeight="1" x14ac:dyDescent="0.25">
      <c r="A24" s="232">
        <v>16</v>
      </c>
      <c r="B24" s="233" t="s">
        <v>48</v>
      </c>
      <c r="C24" s="234" t="s">
        <v>49</v>
      </c>
      <c r="D24" s="813">
        <v>968</v>
      </c>
      <c r="E24" s="235">
        <v>21</v>
      </c>
      <c r="F24" s="236">
        <v>93</v>
      </c>
      <c r="G24" s="236">
        <f t="shared" si="6"/>
        <v>132</v>
      </c>
      <c r="H24" s="237">
        <v>117</v>
      </c>
      <c r="I24" s="237">
        <v>5</v>
      </c>
      <c r="J24" s="237">
        <v>10</v>
      </c>
      <c r="K24" s="238">
        <f t="shared" si="4"/>
        <v>1214</v>
      </c>
      <c r="L24" s="811">
        <v>0</v>
      </c>
      <c r="M24" s="239">
        <v>0</v>
      </c>
      <c r="N24" s="239">
        <v>0</v>
      </c>
      <c r="O24" s="239">
        <v>0</v>
      </c>
      <c r="P24" s="240">
        <f t="shared" si="5"/>
        <v>0</v>
      </c>
      <c r="Q24" s="220"/>
      <c r="R24" s="235"/>
      <c r="S24" s="235"/>
      <c r="T24" s="235"/>
      <c r="U24" s="235"/>
      <c r="V24" s="235"/>
      <c r="W24" s="235"/>
      <c r="X24" s="241"/>
      <c r="Y24" s="295"/>
      <c r="Z24" s="242"/>
    </row>
    <row r="25" spans="1:26" s="216" customFormat="1" ht="13.5" customHeight="1" x14ac:dyDescent="0.25">
      <c r="A25" s="232">
        <v>17</v>
      </c>
      <c r="B25" s="233" t="s">
        <v>50</v>
      </c>
      <c r="C25" s="234" t="s">
        <v>51</v>
      </c>
      <c r="D25" s="813">
        <v>1823</v>
      </c>
      <c r="E25" s="235">
        <v>63</v>
      </c>
      <c r="F25" s="236">
        <v>257</v>
      </c>
      <c r="G25" s="236">
        <f t="shared" si="6"/>
        <v>376</v>
      </c>
      <c r="H25" s="236">
        <v>302</v>
      </c>
      <c r="I25" s="243">
        <v>40</v>
      </c>
      <c r="J25" s="243">
        <v>34</v>
      </c>
      <c r="K25" s="238">
        <f t="shared" si="4"/>
        <v>2519</v>
      </c>
      <c r="L25" s="811">
        <v>21</v>
      </c>
      <c r="M25" s="239">
        <v>310</v>
      </c>
      <c r="N25" s="239">
        <v>1549</v>
      </c>
      <c r="O25" s="239">
        <v>1049</v>
      </c>
      <c r="P25" s="240">
        <f t="shared" si="5"/>
        <v>2929</v>
      </c>
      <c r="Q25" s="220"/>
      <c r="R25" s="235"/>
      <c r="S25" s="235"/>
      <c r="T25" s="235"/>
      <c r="U25" s="235"/>
      <c r="V25" s="235"/>
      <c r="W25" s="235"/>
      <c r="X25" s="241"/>
      <c r="Y25" s="295"/>
      <c r="Z25" s="242"/>
    </row>
    <row r="26" spans="1:26" s="216" customFormat="1" ht="13.5" customHeight="1" x14ac:dyDescent="0.25">
      <c r="A26" s="232">
        <v>18</v>
      </c>
      <c r="B26" s="233" t="s">
        <v>52</v>
      </c>
      <c r="C26" s="234" t="s">
        <v>53</v>
      </c>
      <c r="D26" s="813">
        <v>298</v>
      </c>
      <c r="E26" s="235">
        <v>0</v>
      </c>
      <c r="F26" s="236">
        <v>0</v>
      </c>
      <c r="G26" s="236">
        <f t="shared" si="6"/>
        <v>0</v>
      </c>
      <c r="H26" s="244"/>
      <c r="I26" s="244"/>
      <c r="J26" s="244"/>
      <c r="K26" s="238">
        <f t="shared" si="4"/>
        <v>298</v>
      </c>
      <c r="L26" s="811">
        <v>0</v>
      </c>
      <c r="M26" s="239">
        <v>0</v>
      </c>
      <c r="N26" s="239">
        <v>0</v>
      </c>
      <c r="O26" s="239">
        <v>0</v>
      </c>
      <c r="P26" s="240">
        <f t="shared" si="5"/>
        <v>0</v>
      </c>
      <c r="Q26" s="220"/>
      <c r="R26" s="235"/>
      <c r="S26" s="235"/>
      <c r="T26" s="235"/>
      <c r="U26" s="235"/>
      <c r="V26" s="235"/>
      <c r="W26" s="235"/>
      <c r="X26" s="241"/>
      <c r="Y26" s="295"/>
      <c r="Z26" s="242"/>
    </row>
    <row r="27" spans="1:26" s="216" customFormat="1" ht="13.5" customHeight="1" x14ac:dyDescent="0.25">
      <c r="A27" s="232">
        <v>19</v>
      </c>
      <c r="B27" s="233" t="s">
        <v>54</v>
      </c>
      <c r="C27" s="234" t="s">
        <v>55</v>
      </c>
      <c r="D27" s="813">
        <v>253</v>
      </c>
      <c r="E27" s="235">
        <v>0</v>
      </c>
      <c r="F27" s="236">
        <v>53</v>
      </c>
      <c r="G27" s="236">
        <f t="shared" si="6"/>
        <v>0</v>
      </c>
      <c r="H27" s="237"/>
      <c r="I27" s="237"/>
      <c r="J27" s="237"/>
      <c r="K27" s="238">
        <f t="shared" si="4"/>
        <v>306</v>
      </c>
      <c r="L27" s="811">
        <v>0</v>
      </c>
      <c r="M27" s="239">
        <v>0</v>
      </c>
      <c r="N27" s="239">
        <v>0</v>
      </c>
      <c r="O27" s="239">
        <v>0</v>
      </c>
      <c r="P27" s="240">
        <f t="shared" si="5"/>
        <v>0</v>
      </c>
      <c r="Q27" s="220"/>
      <c r="R27" s="235"/>
      <c r="S27" s="235"/>
      <c r="T27" s="235"/>
      <c r="U27" s="235"/>
      <c r="V27" s="235"/>
      <c r="W27" s="235"/>
      <c r="X27" s="241"/>
      <c r="Y27" s="295"/>
      <c r="Z27" s="242"/>
    </row>
    <row r="28" spans="1:26" s="216" customFormat="1" ht="13.5" customHeight="1" x14ac:dyDescent="0.25">
      <c r="A28" s="232">
        <v>20</v>
      </c>
      <c r="B28" s="233" t="s">
        <v>56</v>
      </c>
      <c r="C28" s="234" t="s">
        <v>57</v>
      </c>
      <c r="D28" s="813">
        <v>1286</v>
      </c>
      <c r="E28" s="235">
        <v>28</v>
      </c>
      <c r="F28" s="236">
        <v>154</v>
      </c>
      <c r="G28" s="236">
        <f t="shared" si="6"/>
        <v>184</v>
      </c>
      <c r="H28" s="237">
        <v>154</v>
      </c>
      <c r="I28" s="237">
        <v>0</v>
      </c>
      <c r="J28" s="237">
        <v>30</v>
      </c>
      <c r="K28" s="238">
        <f t="shared" si="4"/>
        <v>1652</v>
      </c>
      <c r="L28" s="811">
        <v>0</v>
      </c>
      <c r="M28" s="239">
        <v>0</v>
      </c>
      <c r="N28" s="239">
        <v>0</v>
      </c>
      <c r="O28" s="239">
        <v>0</v>
      </c>
      <c r="P28" s="240">
        <f t="shared" si="5"/>
        <v>0</v>
      </c>
      <c r="Q28" s="220"/>
      <c r="R28" s="235"/>
      <c r="S28" s="235"/>
      <c r="T28" s="235"/>
      <c r="U28" s="235"/>
      <c r="V28" s="235"/>
      <c r="W28" s="235"/>
      <c r="X28" s="241"/>
      <c r="Y28" s="295"/>
      <c r="Z28" s="242"/>
    </row>
    <row r="29" spans="1:26" s="216" customFormat="1" ht="13.5" customHeight="1" x14ac:dyDescent="0.25">
      <c r="A29" s="232">
        <v>21</v>
      </c>
      <c r="B29" s="233" t="s">
        <v>58</v>
      </c>
      <c r="C29" s="234" t="s">
        <v>59</v>
      </c>
      <c r="D29" s="813">
        <v>1073</v>
      </c>
      <c r="E29" s="235">
        <v>39</v>
      </c>
      <c r="F29" s="236">
        <v>128</v>
      </c>
      <c r="G29" s="236">
        <f t="shared" si="6"/>
        <v>160</v>
      </c>
      <c r="H29" s="237">
        <v>155</v>
      </c>
      <c r="I29" s="237">
        <v>0</v>
      </c>
      <c r="J29" s="237">
        <v>5</v>
      </c>
      <c r="K29" s="238">
        <f t="shared" si="4"/>
        <v>1400</v>
      </c>
      <c r="L29" s="811">
        <v>0</v>
      </c>
      <c r="M29" s="239">
        <v>0</v>
      </c>
      <c r="N29" s="239">
        <v>0</v>
      </c>
      <c r="O29" s="239">
        <v>0</v>
      </c>
      <c r="P29" s="240">
        <f t="shared" si="5"/>
        <v>0</v>
      </c>
      <c r="Q29" s="220"/>
      <c r="R29" s="235"/>
      <c r="S29" s="235"/>
      <c r="T29" s="235"/>
      <c r="U29" s="235"/>
      <c r="V29" s="235"/>
      <c r="W29" s="235"/>
      <c r="X29" s="241"/>
      <c r="Y29" s="295"/>
      <c r="Z29" s="242"/>
    </row>
    <row r="30" spans="1:26" s="216" customFormat="1" ht="13.5" customHeight="1" x14ac:dyDescent="0.25">
      <c r="A30" s="232">
        <v>22</v>
      </c>
      <c r="B30" s="233" t="s">
        <v>60</v>
      </c>
      <c r="C30" s="234" t="s">
        <v>61</v>
      </c>
      <c r="D30" s="813">
        <v>260</v>
      </c>
      <c r="E30" s="235">
        <v>0</v>
      </c>
      <c r="F30" s="236">
        <v>31</v>
      </c>
      <c r="G30" s="236">
        <f t="shared" si="6"/>
        <v>42</v>
      </c>
      <c r="H30" s="237">
        <v>32</v>
      </c>
      <c r="I30" s="237">
        <v>4</v>
      </c>
      <c r="J30" s="237">
        <v>6</v>
      </c>
      <c r="K30" s="238">
        <f t="shared" si="4"/>
        <v>333</v>
      </c>
      <c r="L30" s="811">
        <v>0</v>
      </c>
      <c r="M30" s="239">
        <v>0</v>
      </c>
      <c r="N30" s="239">
        <v>0</v>
      </c>
      <c r="O30" s="239">
        <v>0</v>
      </c>
      <c r="P30" s="240">
        <f t="shared" si="5"/>
        <v>0</v>
      </c>
      <c r="Q30" s="220"/>
      <c r="R30" s="235"/>
      <c r="S30" s="235"/>
      <c r="T30" s="235"/>
      <c r="U30" s="235"/>
      <c r="V30" s="235"/>
      <c r="W30" s="235"/>
      <c r="X30" s="241"/>
      <c r="Y30" s="295"/>
      <c r="Z30" s="242"/>
    </row>
    <row r="31" spans="1:26" s="216" customFormat="1" ht="13.5" customHeight="1" x14ac:dyDescent="0.25">
      <c r="A31" s="232">
        <v>23</v>
      </c>
      <c r="B31" s="233" t="s">
        <v>66</v>
      </c>
      <c r="C31" s="234" t="s">
        <v>67</v>
      </c>
      <c r="D31" s="813">
        <v>3452</v>
      </c>
      <c r="E31" s="235">
        <v>94</v>
      </c>
      <c r="F31" s="236">
        <v>672</v>
      </c>
      <c r="G31" s="236">
        <f t="shared" si="6"/>
        <v>1090</v>
      </c>
      <c r="H31" s="237">
        <v>910</v>
      </c>
      <c r="I31" s="237">
        <v>10</v>
      </c>
      <c r="J31" s="237">
        <v>170</v>
      </c>
      <c r="K31" s="238">
        <f t="shared" si="4"/>
        <v>5308</v>
      </c>
      <c r="L31" s="811">
        <v>200</v>
      </c>
      <c r="M31" s="239">
        <v>891</v>
      </c>
      <c r="N31" s="239">
        <v>1533</v>
      </c>
      <c r="O31" s="239">
        <v>1038</v>
      </c>
      <c r="P31" s="240">
        <f t="shared" si="5"/>
        <v>3662</v>
      </c>
      <c r="Q31" s="220"/>
      <c r="R31" s="235"/>
      <c r="S31" s="235"/>
      <c r="T31" s="235"/>
      <c r="U31" s="235"/>
      <c r="V31" s="235"/>
      <c r="W31" s="235"/>
      <c r="X31" s="241"/>
      <c r="Y31" s="295"/>
      <c r="Z31" s="242"/>
    </row>
    <row r="32" spans="1:26" s="216" customFormat="1" ht="13.5" customHeight="1" x14ac:dyDescent="0.25">
      <c r="A32" s="232">
        <v>24</v>
      </c>
      <c r="B32" s="233" t="s">
        <v>68</v>
      </c>
      <c r="C32" s="234" t="s">
        <v>69</v>
      </c>
      <c r="D32" s="813">
        <v>2035</v>
      </c>
      <c r="E32" s="235">
        <v>38</v>
      </c>
      <c r="F32" s="236">
        <v>174</v>
      </c>
      <c r="G32" s="236">
        <f t="shared" si="6"/>
        <v>130</v>
      </c>
      <c r="H32" s="236">
        <v>105</v>
      </c>
      <c r="I32" s="243">
        <v>0</v>
      </c>
      <c r="J32" s="243">
        <v>25</v>
      </c>
      <c r="K32" s="238">
        <f t="shared" si="4"/>
        <v>2377</v>
      </c>
      <c r="L32" s="811">
        <v>0</v>
      </c>
      <c r="M32" s="239">
        <v>0</v>
      </c>
      <c r="N32" s="239">
        <v>0</v>
      </c>
      <c r="O32" s="239">
        <v>0</v>
      </c>
      <c r="P32" s="240">
        <f t="shared" si="5"/>
        <v>0</v>
      </c>
      <c r="Q32" s="220"/>
      <c r="R32" s="235"/>
      <c r="S32" s="235"/>
      <c r="T32" s="235"/>
      <c r="U32" s="235"/>
      <c r="V32" s="235"/>
      <c r="W32" s="235"/>
      <c r="X32" s="241"/>
      <c r="Y32" s="295"/>
      <c r="Z32" s="242"/>
    </row>
    <row r="33" spans="1:26" s="216" customFormat="1" ht="13.5" customHeight="1" x14ac:dyDescent="0.25">
      <c r="A33" s="232">
        <v>25</v>
      </c>
      <c r="B33" s="233" t="s">
        <v>70</v>
      </c>
      <c r="C33" s="234" t="s">
        <v>71</v>
      </c>
      <c r="D33" s="813">
        <v>582</v>
      </c>
      <c r="E33" s="235">
        <v>0</v>
      </c>
      <c r="F33" s="236">
        <v>0</v>
      </c>
      <c r="G33" s="236">
        <f t="shared" si="6"/>
        <v>0</v>
      </c>
      <c r="H33" s="237"/>
      <c r="I33" s="237"/>
      <c r="J33" s="237"/>
      <c r="K33" s="238">
        <f t="shared" si="4"/>
        <v>582</v>
      </c>
      <c r="L33" s="811">
        <v>0</v>
      </c>
      <c r="M33" s="239">
        <v>0</v>
      </c>
      <c r="N33" s="239">
        <v>0</v>
      </c>
      <c r="O33" s="239">
        <v>0</v>
      </c>
      <c r="P33" s="240">
        <f t="shared" si="5"/>
        <v>0</v>
      </c>
      <c r="Q33" s="220"/>
      <c r="R33" s="235"/>
      <c r="S33" s="235"/>
      <c r="T33" s="235"/>
      <c r="U33" s="235"/>
      <c r="V33" s="235"/>
      <c r="W33" s="235"/>
      <c r="X33" s="241"/>
      <c r="Y33" s="295"/>
      <c r="Z33" s="242"/>
    </row>
    <row r="34" spans="1:26" s="216" customFormat="1" ht="13.5" customHeight="1" x14ac:dyDescent="0.25">
      <c r="A34" s="232">
        <v>26</v>
      </c>
      <c r="B34" s="233" t="s">
        <v>75</v>
      </c>
      <c r="C34" s="234" t="s">
        <v>76</v>
      </c>
      <c r="D34" s="813">
        <v>211</v>
      </c>
      <c r="E34" s="235">
        <v>0</v>
      </c>
      <c r="F34" s="236">
        <v>0</v>
      </c>
      <c r="G34" s="236">
        <f t="shared" si="6"/>
        <v>0</v>
      </c>
      <c r="H34" s="237"/>
      <c r="I34" s="237"/>
      <c r="J34" s="237"/>
      <c r="K34" s="238">
        <f t="shared" si="4"/>
        <v>211</v>
      </c>
      <c r="L34" s="811">
        <v>0</v>
      </c>
      <c r="M34" s="239">
        <v>0</v>
      </c>
      <c r="N34" s="239">
        <v>0</v>
      </c>
      <c r="O34" s="239">
        <v>0</v>
      </c>
      <c r="P34" s="240">
        <f t="shared" si="5"/>
        <v>0</v>
      </c>
      <c r="Q34" s="220"/>
      <c r="R34" s="235"/>
      <c r="S34" s="235"/>
      <c r="T34" s="235"/>
      <c r="U34" s="235"/>
      <c r="V34" s="235"/>
      <c r="W34" s="235"/>
      <c r="X34" s="241"/>
      <c r="Y34" s="295"/>
      <c r="Z34" s="242"/>
    </row>
    <row r="35" spans="1:26" s="216" customFormat="1" ht="13.5" customHeight="1" x14ac:dyDescent="0.25">
      <c r="A35" s="232">
        <v>27</v>
      </c>
      <c r="B35" s="233" t="s">
        <v>77</v>
      </c>
      <c r="C35" s="234" t="s">
        <v>78</v>
      </c>
      <c r="D35" s="813">
        <v>1770</v>
      </c>
      <c r="E35" s="235">
        <v>40</v>
      </c>
      <c r="F35" s="236">
        <v>227</v>
      </c>
      <c r="G35" s="236">
        <f t="shared" si="6"/>
        <v>576</v>
      </c>
      <c r="H35" s="236">
        <v>541</v>
      </c>
      <c r="I35" s="243">
        <v>0</v>
      </c>
      <c r="J35" s="243">
        <v>35</v>
      </c>
      <c r="K35" s="238">
        <f t="shared" si="4"/>
        <v>2613</v>
      </c>
      <c r="L35" s="811">
        <v>5</v>
      </c>
      <c r="M35" s="239">
        <v>73</v>
      </c>
      <c r="N35" s="239">
        <v>1050</v>
      </c>
      <c r="O35" s="239">
        <v>711</v>
      </c>
      <c r="P35" s="240">
        <f t="shared" si="5"/>
        <v>1839</v>
      </c>
      <c r="Q35" s="220"/>
      <c r="R35" s="235"/>
      <c r="S35" s="235"/>
      <c r="T35" s="235"/>
      <c r="U35" s="235"/>
      <c r="V35" s="235"/>
      <c r="W35" s="235"/>
      <c r="X35" s="241"/>
      <c r="Y35" s="295"/>
      <c r="Z35" s="242"/>
    </row>
    <row r="36" spans="1:26" s="216" customFormat="1" ht="13.5" customHeight="1" x14ac:dyDescent="0.25">
      <c r="A36" s="232">
        <v>28</v>
      </c>
      <c r="B36" s="233" t="s">
        <v>79</v>
      </c>
      <c r="C36" s="234" t="s">
        <v>80</v>
      </c>
      <c r="D36" s="813">
        <v>2318</v>
      </c>
      <c r="E36" s="235">
        <v>49</v>
      </c>
      <c r="F36" s="236">
        <v>272</v>
      </c>
      <c r="G36" s="236">
        <f t="shared" si="6"/>
        <v>642</v>
      </c>
      <c r="H36" s="236">
        <v>537</v>
      </c>
      <c r="I36" s="243">
        <v>45</v>
      </c>
      <c r="J36" s="243">
        <v>60</v>
      </c>
      <c r="K36" s="238">
        <f t="shared" si="4"/>
        <v>3281</v>
      </c>
      <c r="L36" s="811">
        <v>34</v>
      </c>
      <c r="M36" s="239">
        <v>358</v>
      </c>
      <c r="N36" s="239">
        <v>603</v>
      </c>
      <c r="O36" s="239">
        <v>408</v>
      </c>
      <c r="P36" s="240">
        <f t="shared" si="5"/>
        <v>1403</v>
      </c>
      <c r="Q36" s="220"/>
      <c r="R36" s="235"/>
      <c r="S36" s="235"/>
      <c r="T36" s="235"/>
      <c r="U36" s="235"/>
      <c r="V36" s="235"/>
      <c r="W36" s="235"/>
      <c r="X36" s="241"/>
      <c r="Y36" s="295"/>
      <c r="Z36" s="242"/>
    </row>
    <row r="37" spans="1:26" s="216" customFormat="1" ht="13.5" customHeight="1" x14ac:dyDescent="0.25">
      <c r="A37" s="232">
        <v>29</v>
      </c>
      <c r="B37" s="233" t="s">
        <v>81</v>
      </c>
      <c r="C37" s="234" t="s">
        <v>82</v>
      </c>
      <c r="D37" s="813">
        <v>451</v>
      </c>
      <c r="E37" s="235">
        <v>0</v>
      </c>
      <c r="F37" s="236">
        <v>54</v>
      </c>
      <c r="G37" s="236">
        <f t="shared" si="6"/>
        <v>0</v>
      </c>
      <c r="H37" s="237"/>
      <c r="I37" s="237"/>
      <c r="J37" s="237"/>
      <c r="K37" s="238">
        <f t="shared" si="4"/>
        <v>505</v>
      </c>
      <c r="L37" s="811">
        <v>0</v>
      </c>
      <c r="M37" s="239">
        <v>0</v>
      </c>
      <c r="N37" s="239">
        <v>0</v>
      </c>
      <c r="O37" s="239">
        <v>0</v>
      </c>
      <c r="P37" s="240">
        <f t="shared" si="5"/>
        <v>0</v>
      </c>
      <c r="Q37" s="220"/>
      <c r="R37" s="235"/>
      <c r="S37" s="235"/>
      <c r="T37" s="235"/>
      <c r="U37" s="235"/>
      <c r="V37" s="235"/>
      <c r="W37" s="235"/>
      <c r="X37" s="241"/>
      <c r="Y37" s="295"/>
      <c r="Z37" s="242"/>
    </row>
    <row r="38" spans="1:26" s="216" customFormat="1" ht="13.5" customHeight="1" x14ac:dyDescent="0.25">
      <c r="A38" s="232">
        <v>30</v>
      </c>
      <c r="B38" s="233" t="s">
        <v>83</v>
      </c>
      <c r="C38" s="234" t="s">
        <v>84</v>
      </c>
      <c r="D38" s="813">
        <v>1543</v>
      </c>
      <c r="E38" s="235">
        <v>33</v>
      </c>
      <c r="F38" s="236">
        <v>184</v>
      </c>
      <c r="G38" s="236">
        <f t="shared" si="6"/>
        <v>0</v>
      </c>
      <c r="H38" s="237"/>
      <c r="I38" s="237"/>
      <c r="J38" s="237"/>
      <c r="K38" s="238">
        <f t="shared" si="4"/>
        <v>1760</v>
      </c>
      <c r="L38" s="811">
        <v>20</v>
      </c>
      <c r="M38" s="239">
        <v>153</v>
      </c>
      <c r="N38" s="239">
        <v>403</v>
      </c>
      <c r="O38" s="239">
        <v>273</v>
      </c>
      <c r="P38" s="240">
        <f t="shared" si="5"/>
        <v>849</v>
      </c>
      <c r="Q38" s="220"/>
      <c r="R38" s="235"/>
      <c r="S38" s="235"/>
      <c r="T38" s="235"/>
      <c r="U38" s="235"/>
      <c r="V38" s="235"/>
      <c r="W38" s="235"/>
      <c r="X38" s="241"/>
      <c r="Y38" s="295"/>
      <c r="Z38" s="242"/>
    </row>
    <row r="39" spans="1:26" s="216" customFormat="1" ht="13.5" customHeight="1" x14ac:dyDescent="0.25">
      <c r="A39" s="232">
        <v>31</v>
      </c>
      <c r="B39" s="233" t="s">
        <v>85</v>
      </c>
      <c r="C39" s="234" t="s">
        <v>86</v>
      </c>
      <c r="D39" s="813">
        <v>589</v>
      </c>
      <c r="E39" s="235">
        <v>13</v>
      </c>
      <c r="F39" s="236">
        <v>70</v>
      </c>
      <c r="G39" s="236">
        <f t="shared" si="6"/>
        <v>0</v>
      </c>
      <c r="H39" s="237"/>
      <c r="I39" s="237"/>
      <c r="J39" s="237"/>
      <c r="K39" s="238">
        <f t="shared" si="4"/>
        <v>672</v>
      </c>
      <c r="L39" s="811">
        <v>0</v>
      </c>
      <c r="M39" s="239">
        <v>0</v>
      </c>
      <c r="N39" s="239">
        <v>0</v>
      </c>
      <c r="O39" s="239">
        <v>0</v>
      </c>
      <c r="P39" s="240">
        <f t="shared" si="5"/>
        <v>0</v>
      </c>
      <c r="Q39" s="220"/>
      <c r="R39" s="235"/>
      <c r="S39" s="235"/>
      <c r="T39" s="235"/>
      <c r="U39" s="235"/>
      <c r="V39" s="235"/>
      <c r="W39" s="235"/>
      <c r="X39" s="241"/>
      <c r="Y39" s="295"/>
      <c r="Z39" s="242"/>
    </row>
    <row r="40" spans="1:26" s="216" customFormat="1" ht="13.5" customHeight="1" x14ac:dyDescent="0.25">
      <c r="A40" s="232">
        <v>32</v>
      </c>
      <c r="B40" s="233" t="s">
        <v>87</v>
      </c>
      <c r="C40" s="234" t="s">
        <v>88</v>
      </c>
      <c r="D40" s="813">
        <v>1570</v>
      </c>
      <c r="E40" s="235">
        <v>33</v>
      </c>
      <c r="F40" s="236">
        <v>184</v>
      </c>
      <c r="G40" s="236">
        <f t="shared" si="6"/>
        <v>0</v>
      </c>
      <c r="H40" s="237"/>
      <c r="I40" s="237"/>
      <c r="J40" s="237"/>
      <c r="K40" s="238">
        <f t="shared" si="4"/>
        <v>1787</v>
      </c>
      <c r="L40" s="811">
        <v>0</v>
      </c>
      <c r="M40" s="239">
        <v>0</v>
      </c>
      <c r="N40" s="239">
        <v>0</v>
      </c>
      <c r="O40" s="239">
        <v>0</v>
      </c>
      <c r="P40" s="240">
        <f t="shared" si="5"/>
        <v>0</v>
      </c>
      <c r="Q40" s="220"/>
      <c r="R40" s="235"/>
      <c r="S40" s="235"/>
      <c r="T40" s="235"/>
      <c r="U40" s="235"/>
      <c r="V40" s="235"/>
      <c r="W40" s="235"/>
      <c r="X40" s="241"/>
      <c r="Y40" s="295"/>
      <c r="Z40" s="242"/>
    </row>
    <row r="41" spans="1:26" s="216" customFormat="1" ht="13.5" customHeight="1" x14ac:dyDescent="0.25">
      <c r="A41" s="232">
        <v>33</v>
      </c>
      <c r="B41" s="233" t="s">
        <v>89</v>
      </c>
      <c r="C41" s="234" t="s">
        <v>90</v>
      </c>
      <c r="D41" s="813">
        <v>551</v>
      </c>
      <c r="E41" s="235">
        <v>12</v>
      </c>
      <c r="F41" s="236">
        <v>65</v>
      </c>
      <c r="G41" s="236">
        <f t="shared" si="6"/>
        <v>0</v>
      </c>
      <c r="H41" s="237"/>
      <c r="I41" s="237"/>
      <c r="J41" s="237"/>
      <c r="K41" s="238">
        <f t="shared" si="4"/>
        <v>628</v>
      </c>
      <c r="L41" s="811">
        <v>0</v>
      </c>
      <c r="M41" s="239">
        <v>0</v>
      </c>
      <c r="N41" s="239">
        <v>0</v>
      </c>
      <c r="O41" s="239">
        <v>0</v>
      </c>
      <c r="P41" s="240">
        <f t="shared" si="5"/>
        <v>0</v>
      </c>
      <c r="Q41" s="220"/>
      <c r="R41" s="235"/>
      <c r="S41" s="235"/>
      <c r="T41" s="235"/>
      <c r="U41" s="235"/>
      <c r="V41" s="235"/>
      <c r="W41" s="235"/>
      <c r="X41" s="241"/>
      <c r="Y41" s="295"/>
      <c r="Z41" s="242"/>
    </row>
    <row r="42" spans="1:26" s="216" customFormat="1" ht="13.5" customHeight="1" x14ac:dyDescent="0.25">
      <c r="A42" s="232">
        <v>34</v>
      </c>
      <c r="B42" s="233" t="s">
        <v>91</v>
      </c>
      <c r="C42" s="234" t="s">
        <v>92</v>
      </c>
      <c r="D42" s="813">
        <v>356</v>
      </c>
      <c r="E42" s="235">
        <v>0</v>
      </c>
      <c r="F42" s="236">
        <v>0</v>
      </c>
      <c r="G42" s="236">
        <f t="shared" si="6"/>
        <v>0</v>
      </c>
      <c r="H42" s="237"/>
      <c r="I42" s="237"/>
      <c r="J42" s="237"/>
      <c r="K42" s="238">
        <f t="shared" si="4"/>
        <v>356</v>
      </c>
      <c r="L42" s="811">
        <v>0</v>
      </c>
      <c r="M42" s="239">
        <v>0</v>
      </c>
      <c r="N42" s="239">
        <v>0</v>
      </c>
      <c r="O42" s="239">
        <v>0</v>
      </c>
      <c r="P42" s="240">
        <f t="shared" si="5"/>
        <v>0</v>
      </c>
      <c r="Q42" s="220"/>
      <c r="R42" s="235"/>
      <c r="S42" s="235"/>
      <c r="T42" s="235"/>
      <c r="U42" s="235"/>
      <c r="V42" s="235"/>
      <c r="W42" s="235"/>
      <c r="X42" s="241"/>
      <c r="Y42" s="295"/>
      <c r="Z42" s="242"/>
    </row>
    <row r="43" spans="1:26" s="216" customFormat="1" ht="13.5" customHeight="1" x14ac:dyDescent="0.25">
      <c r="A43" s="232">
        <v>35</v>
      </c>
      <c r="B43" s="233" t="s">
        <v>93</v>
      </c>
      <c r="C43" s="234" t="s">
        <v>94</v>
      </c>
      <c r="D43" s="813">
        <v>614</v>
      </c>
      <c r="E43" s="235">
        <v>13</v>
      </c>
      <c r="F43" s="236">
        <v>0</v>
      </c>
      <c r="G43" s="236">
        <f t="shared" si="6"/>
        <v>0</v>
      </c>
      <c r="H43" s="237"/>
      <c r="I43" s="237"/>
      <c r="J43" s="237"/>
      <c r="K43" s="238">
        <f t="shared" si="4"/>
        <v>627</v>
      </c>
      <c r="L43" s="811">
        <v>0</v>
      </c>
      <c r="M43" s="239">
        <v>0</v>
      </c>
      <c r="N43" s="239">
        <v>0</v>
      </c>
      <c r="O43" s="239">
        <v>0</v>
      </c>
      <c r="P43" s="240">
        <f t="shared" si="5"/>
        <v>0</v>
      </c>
      <c r="Q43" s="220"/>
      <c r="R43" s="235"/>
      <c r="S43" s="235"/>
      <c r="T43" s="235"/>
      <c r="U43" s="235"/>
      <c r="V43" s="235"/>
      <c r="W43" s="235"/>
      <c r="X43" s="241"/>
      <c r="Y43" s="295"/>
      <c r="Z43" s="242"/>
    </row>
    <row r="44" spans="1:26" s="216" customFormat="1" ht="14.25" customHeight="1" x14ac:dyDescent="0.25">
      <c r="A44" s="232">
        <v>36</v>
      </c>
      <c r="B44" s="233" t="s">
        <v>97</v>
      </c>
      <c r="C44" s="234" t="s">
        <v>98</v>
      </c>
      <c r="D44" s="813">
        <v>416</v>
      </c>
      <c r="E44" s="235">
        <v>0</v>
      </c>
      <c r="F44" s="236">
        <v>50</v>
      </c>
      <c r="G44" s="236">
        <f t="shared" si="6"/>
        <v>0</v>
      </c>
      <c r="H44" s="237"/>
      <c r="I44" s="237"/>
      <c r="J44" s="237"/>
      <c r="K44" s="238">
        <f t="shared" si="4"/>
        <v>466</v>
      </c>
      <c r="L44" s="811">
        <v>4</v>
      </c>
      <c r="M44" s="239">
        <v>33</v>
      </c>
      <c r="N44" s="239">
        <v>83</v>
      </c>
      <c r="O44" s="239">
        <v>56</v>
      </c>
      <c r="P44" s="240">
        <f t="shared" si="5"/>
        <v>176</v>
      </c>
      <c r="Q44" s="220"/>
      <c r="R44" s="235"/>
      <c r="S44" s="235"/>
      <c r="T44" s="235"/>
      <c r="U44" s="235"/>
      <c r="V44" s="235"/>
      <c r="W44" s="235"/>
      <c r="X44" s="241"/>
      <c r="Y44" s="295"/>
      <c r="Z44" s="242"/>
    </row>
    <row r="45" spans="1:26" s="216" customFormat="1" ht="13.5" customHeight="1" x14ac:dyDescent="0.25">
      <c r="A45" s="232">
        <v>37</v>
      </c>
      <c r="B45" s="233" t="s">
        <v>99</v>
      </c>
      <c r="C45" s="234" t="s">
        <v>100</v>
      </c>
      <c r="D45" s="813">
        <v>1991</v>
      </c>
      <c r="E45" s="235">
        <v>53</v>
      </c>
      <c r="F45" s="236">
        <v>233</v>
      </c>
      <c r="G45" s="236">
        <f t="shared" si="6"/>
        <v>1082</v>
      </c>
      <c r="H45" s="236">
        <v>922</v>
      </c>
      <c r="I45" s="243">
        <v>60</v>
      </c>
      <c r="J45" s="243">
        <v>100</v>
      </c>
      <c r="K45" s="238">
        <f t="shared" si="4"/>
        <v>3359</v>
      </c>
      <c r="L45" s="811">
        <v>23</v>
      </c>
      <c r="M45" s="239">
        <v>174</v>
      </c>
      <c r="N45" s="239">
        <v>534</v>
      </c>
      <c r="O45" s="239">
        <v>362</v>
      </c>
      <c r="P45" s="240">
        <f t="shared" si="5"/>
        <v>1093</v>
      </c>
      <c r="Q45" s="220"/>
      <c r="R45" s="235"/>
      <c r="S45" s="235"/>
      <c r="T45" s="235"/>
      <c r="U45" s="235"/>
      <c r="V45" s="235"/>
      <c r="W45" s="235"/>
      <c r="X45" s="241"/>
      <c r="Y45" s="295"/>
      <c r="Z45" s="242"/>
    </row>
    <row r="46" spans="1:26" s="216" customFormat="1" ht="13.5" customHeight="1" x14ac:dyDescent="0.25">
      <c r="A46" s="232">
        <v>38</v>
      </c>
      <c r="B46" s="233" t="s">
        <v>101</v>
      </c>
      <c r="C46" s="234" t="s">
        <v>102</v>
      </c>
      <c r="D46" s="813">
        <v>508</v>
      </c>
      <c r="E46" s="235">
        <v>0</v>
      </c>
      <c r="F46" s="236">
        <v>61</v>
      </c>
      <c r="G46" s="236">
        <f t="shared" si="6"/>
        <v>0</v>
      </c>
      <c r="H46" s="237"/>
      <c r="I46" s="237"/>
      <c r="J46" s="237"/>
      <c r="K46" s="238">
        <f t="shared" si="4"/>
        <v>569</v>
      </c>
      <c r="L46" s="811">
        <v>0</v>
      </c>
      <c r="M46" s="239">
        <v>0</v>
      </c>
      <c r="N46" s="239">
        <v>0</v>
      </c>
      <c r="O46" s="239">
        <v>0</v>
      </c>
      <c r="P46" s="240">
        <f t="shared" si="5"/>
        <v>0</v>
      </c>
      <c r="Q46" s="220"/>
      <c r="R46" s="235"/>
      <c r="S46" s="235"/>
      <c r="T46" s="235"/>
      <c r="U46" s="235"/>
      <c r="V46" s="235"/>
      <c r="W46" s="235"/>
      <c r="X46" s="241"/>
      <c r="Y46" s="295"/>
      <c r="Z46" s="242"/>
    </row>
    <row r="47" spans="1:26" s="216" customFormat="1" ht="13.5" customHeight="1" x14ac:dyDescent="0.25">
      <c r="A47" s="232">
        <v>39</v>
      </c>
      <c r="B47" s="233" t="s">
        <v>103</v>
      </c>
      <c r="C47" s="234" t="s">
        <v>104</v>
      </c>
      <c r="D47" s="813">
        <v>1659</v>
      </c>
      <c r="E47" s="235">
        <v>41</v>
      </c>
      <c r="F47" s="236">
        <v>198</v>
      </c>
      <c r="G47" s="236">
        <f t="shared" si="6"/>
        <v>0</v>
      </c>
      <c r="H47" s="236"/>
      <c r="I47" s="243"/>
      <c r="J47" s="243"/>
      <c r="K47" s="238">
        <f t="shared" si="4"/>
        <v>1898</v>
      </c>
      <c r="L47" s="811">
        <v>22</v>
      </c>
      <c r="M47" s="239">
        <v>215</v>
      </c>
      <c r="N47" s="239">
        <v>594</v>
      </c>
      <c r="O47" s="239">
        <v>403</v>
      </c>
      <c r="P47" s="240">
        <f t="shared" si="5"/>
        <v>1234</v>
      </c>
      <c r="Q47" s="220"/>
      <c r="R47" s="235"/>
      <c r="S47" s="235"/>
      <c r="T47" s="235"/>
      <c r="U47" s="235"/>
      <c r="V47" s="235"/>
      <c r="W47" s="235"/>
      <c r="X47" s="241"/>
      <c r="Y47" s="295"/>
      <c r="Z47" s="242"/>
    </row>
    <row r="48" spans="1:26" s="216" customFormat="1" ht="13.5" customHeight="1" x14ac:dyDescent="0.25">
      <c r="A48" s="232">
        <v>40</v>
      </c>
      <c r="B48" s="233" t="s">
        <v>105</v>
      </c>
      <c r="C48" s="234" t="s">
        <v>106</v>
      </c>
      <c r="D48" s="813">
        <v>380</v>
      </c>
      <c r="E48" s="235">
        <v>0</v>
      </c>
      <c r="F48" s="236">
        <v>45</v>
      </c>
      <c r="G48" s="236">
        <f t="shared" si="6"/>
        <v>0</v>
      </c>
      <c r="H48" s="236"/>
      <c r="I48" s="243"/>
      <c r="J48" s="243"/>
      <c r="K48" s="238">
        <f t="shared" si="4"/>
        <v>425</v>
      </c>
      <c r="L48" s="811">
        <v>0</v>
      </c>
      <c r="M48" s="239">
        <v>0</v>
      </c>
      <c r="N48" s="239">
        <v>0</v>
      </c>
      <c r="O48" s="239">
        <v>0</v>
      </c>
      <c r="P48" s="240">
        <f t="shared" si="5"/>
        <v>0</v>
      </c>
      <c r="Q48" s="220"/>
      <c r="R48" s="235"/>
      <c r="S48" s="235"/>
      <c r="T48" s="235"/>
      <c r="U48" s="235"/>
      <c r="V48" s="235"/>
      <c r="W48" s="235"/>
      <c r="X48" s="241"/>
      <c r="Y48" s="295"/>
      <c r="Z48" s="242"/>
    </row>
    <row r="49" spans="1:26" s="216" customFormat="1" ht="13.5" customHeight="1" x14ac:dyDescent="0.25">
      <c r="A49" s="232">
        <v>41</v>
      </c>
      <c r="B49" s="233" t="s">
        <v>107</v>
      </c>
      <c r="C49" s="234" t="s">
        <v>108</v>
      </c>
      <c r="D49" s="813">
        <v>598</v>
      </c>
      <c r="E49" s="235">
        <v>0</v>
      </c>
      <c r="F49" s="236">
        <v>70</v>
      </c>
      <c r="G49" s="236">
        <f t="shared" si="6"/>
        <v>0</v>
      </c>
      <c r="H49" s="236"/>
      <c r="I49" s="243"/>
      <c r="J49" s="243"/>
      <c r="K49" s="238">
        <f t="shared" si="4"/>
        <v>668</v>
      </c>
      <c r="L49" s="811">
        <v>0</v>
      </c>
      <c r="M49" s="239">
        <v>0</v>
      </c>
      <c r="N49" s="239">
        <v>0</v>
      </c>
      <c r="O49" s="239">
        <v>0</v>
      </c>
      <c r="P49" s="240">
        <f t="shared" si="5"/>
        <v>0</v>
      </c>
      <c r="Q49" s="220"/>
      <c r="R49" s="235"/>
      <c r="S49" s="235"/>
      <c r="T49" s="235"/>
      <c r="U49" s="235"/>
      <c r="V49" s="235"/>
      <c r="W49" s="235"/>
      <c r="X49" s="241"/>
      <c r="Y49" s="295"/>
      <c r="Z49" s="242"/>
    </row>
    <row r="50" spans="1:26" s="216" customFormat="1" ht="13.5" customHeight="1" x14ac:dyDescent="0.25">
      <c r="A50" s="232">
        <v>42</v>
      </c>
      <c r="B50" s="233" t="s">
        <v>109</v>
      </c>
      <c r="C50" s="234" t="s">
        <v>110</v>
      </c>
      <c r="D50" s="813">
        <v>709</v>
      </c>
      <c r="E50" s="235">
        <v>15</v>
      </c>
      <c r="F50" s="236">
        <v>168</v>
      </c>
      <c r="G50" s="236">
        <f t="shared" si="6"/>
        <v>0</v>
      </c>
      <c r="H50" s="237"/>
      <c r="I50" s="237"/>
      <c r="J50" s="237"/>
      <c r="K50" s="238">
        <f t="shared" si="4"/>
        <v>892</v>
      </c>
      <c r="L50" s="811">
        <v>32</v>
      </c>
      <c r="M50" s="239">
        <v>183</v>
      </c>
      <c r="N50" s="239">
        <v>327</v>
      </c>
      <c r="O50" s="239">
        <v>221</v>
      </c>
      <c r="P50" s="240">
        <f t="shared" si="5"/>
        <v>763</v>
      </c>
      <c r="Q50" s="220"/>
      <c r="R50" s="235"/>
      <c r="S50" s="235"/>
      <c r="T50" s="235"/>
      <c r="U50" s="235"/>
      <c r="V50" s="235"/>
      <c r="W50" s="235"/>
      <c r="X50" s="241"/>
      <c r="Y50" s="295"/>
      <c r="Z50" s="242"/>
    </row>
    <row r="51" spans="1:26" s="216" customFormat="1" ht="13.5" customHeight="1" x14ac:dyDescent="0.25">
      <c r="A51" s="232">
        <v>43</v>
      </c>
      <c r="B51" s="233" t="s">
        <v>111</v>
      </c>
      <c r="C51" s="234" t="s">
        <v>112</v>
      </c>
      <c r="D51" s="813">
        <v>208</v>
      </c>
      <c r="E51" s="235">
        <v>0</v>
      </c>
      <c r="F51" s="236">
        <v>30</v>
      </c>
      <c r="G51" s="236">
        <f t="shared" si="6"/>
        <v>0</v>
      </c>
      <c r="H51" s="237"/>
      <c r="I51" s="237"/>
      <c r="J51" s="237"/>
      <c r="K51" s="238">
        <f t="shared" si="4"/>
        <v>238</v>
      </c>
      <c r="L51" s="811">
        <v>0</v>
      </c>
      <c r="M51" s="239">
        <v>0</v>
      </c>
      <c r="N51" s="239">
        <v>0</v>
      </c>
      <c r="O51" s="239">
        <v>0</v>
      </c>
      <c r="P51" s="240">
        <f t="shared" si="5"/>
        <v>0</v>
      </c>
      <c r="Q51" s="220"/>
      <c r="R51" s="235"/>
      <c r="S51" s="235"/>
      <c r="T51" s="235"/>
      <c r="U51" s="235"/>
      <c r="V51" s="235"/>
      <c r="W51" s="235"/>
      <c r="X51" s="241"/>
      <c r="Y51" s="295"/>
      <c r="Z51" s="242"/>
    </row>
    <row r="52" spans="1:26" s="216" customFormat="1" ht="13.5" customHeight="1" x14ac:dyDescent="0.25">
      <c r="A52" s="232">
        <v>44</v>
      </c>
      <c r="B52" s="233" t="s">
        <v>113</v>
      </c>
      <c r="C52" s="234" t="s">
        <v>114</v>
      </c>
      <c r="D52" s="813">
        <v>473</v>
      </c>
      <c r="E52" s="235">
        <v>0</v>
      </c>
      <c r="F52" s="236">
        <v>0</v>
      </c>
      <c r="G52" s="236">
        <f t="shared" si="6"/>
        <v>0</v>
      </c>
      <c r="H52" s="237"/>
      <c r="I52" s="237"/>
      <c r="J52" s="237"/>
      <c r="K52" s="238">
        <f t="shared" si="4"/>
        <v>473</v>
      </c>
      <c r="L52" s="811">
        <v>0</v>
      </c>
      <c r="M52" s="239">
        <v>0</v>
      </c>
      <c r="N52" s="239">
        <v>0</v>
      </c>
      <c r="O52" s="239">
        <v>0</v>
      </c>
      <c r="P52" s="240">
        <f t="shared" si="5"/>
        <v>0</v>
      </c>
      <c r="Q52" s="220"/>
      <c r="R52" s="235"/>
      <c r="S52" s="235"/>
      <c r="T52" s="235"/>
      <c r="U52" s="235"/>
      <c r="V52" s="235"/>
      <c r="W52" s="235"/>
      <c r="X52" s="241"/>
      <c r="Y52" s="295"/>
      <c r="Z52" s="242"/>
    </row>
    <row r="53" spans="1:26" s="216" customFormat="1" ht="13.5" customHeight="1" x14ac:dyDescent="0.25">
      <c r="A53" s="232">
        <v>45</v>
      </c>
      <c r="B53" s="233" t="s">
        <v>115</v>
      </c>
      <c r="C53" s="234" t="s">
        <v>116</v>
      </c>
      <c r="D53" s="813">
        <v>727</v>
      </c>
      <c r="E53" s="235">
        <v>0</v>
      </c>
      <c r="F53" s="236">
        <v>0</v>
      </c>
      <c r="G53" s="236">
        <f t="shared" si="6"/>
        <v>0</v>
      </c>
      <c r="H53" s="237"/>
      <c r="I53" s="237"/>
      <c r="J53" s="237"/>
      <c r="K53" s="238">
        <f t="shared" si="4"/>
        <v>727</v>
      </c>
      <c r="L53" s="811">
        <v>0</v>
      </c>
      <c r="M53" s="239">
        <v>0</v>
      </c>
      <c r="N53" s="239">
        <v>0</v>
      </c>
      <c r="O53" s="239">
        <v>0</v>
      </c>
      <c r="P53" s="240">
        <f t="shared" si="5"/>
        <v>0</v>
      </c>
      <c r="Q53" s="220"/>
      <c r="R53" s="235"/>
      <c r="S53" s="235"/>
      <c r="T53" s="235"/>
      <c r="U53" s="235"/>
      <c r="V53" s="235"/>
      <c r="W53" s="235"/>
      <c r="X53" s="241"/>
      <c r="Y53" s="295"/>
      <c r="Z53" s="242"/>
    </row>
    <row r="54" spans="1:26" s="216" customFormat="1" ht="13.5" customHeight="1" x14ac:dyDescent="0.25">
      <c r="A54" s="232">
        <v>46</v>
      </c>
      <c r="B54" s="233" t="s">
        <v>117</v>
      </c>
      <c r="C54" s="234" t="s">
        <v>118</v>
      </c>
      <c r="D54" s="813">
        <v>2298</v>
      </c>
      <c r="E54" s="235">
        <v>0</v>
      </c>
      <c r="F54" s="236">
        <v>0</v>
      </c>
      <c r="G54" s="236">
        <f t="shared" si="6"/>
        <v>0</v>
      </c>
      <c r="H54" s="237"/>
      <c r="I54" s="237"/>
      <c r="J54" s="237"/>
      <c r="K54" s="238">
        <f t="shared" si="4"/>
        <v>2298</v>
      </c>
      <c r="L54" s="811">
        <v>32</v>
      </c>
      <c r="M54" s="239">
        <v>246</v>
      </c>
      <c r="N54" s="239">
        <v>755</v>
      </c>
      <c r="O54" s="239">
        <v>511</v>
      </c>
      <c r="P54" s="240">
        <f t="shared" si="5"/>
        <v>1544</v>
      </c>
      <c r="Q54" s="220"/>
      <c r="R54" s="235"/>
      <c r="S54" s="235"/>
      <c r="T54" s="235"/>
      <c r="U54" s="235"/>
      <c r="V54" s="235"/>
      <c r="W54" s="235"/>
      <c r="X54" s="241"/>
      <c r="Y54" s="295"/>
      <c r="Z54" s="242"/>
    </row>
    <row r="55" spans="1:26" s="216" customFormat="1" ht="13.5" customHeight="1" x14ac:dyDescent="0.25">
      <c r="A55" s="232">
        <v>47</v>
      </c>
      <c r="B55" s="233" t="s">
        <v>119</v>
      </c>
      <c r="C55" s="234" t="s">
        <v>120</v>
      </c>
      <c r="D55" s="813">
        <v>396</v>
      </c>
      <c r="E55" s="235">
        <v>0</v>
      </c>
      <c r="F55" s="236">
        <v>47</v>
      </c>
      <c r="G55" s="236">
        <f t="shared" si="6"/>
        <v>0</v>
      </c>
      <c r="H55" s="237"/>
      <c r="I55" s="237"/>
      <c r="J55" s="237"/>
      <c r="K55" s="238">
        <f t="shared" si="4"/>
        <v>443</v>
      </c>
      <c r="L55" s="811">
        <v>0</v>
      </c>
      <c r="M55" s="239">
        <v>0</v>
      </c>
      <c r="N55" s="239">
        <v>0</v>
      </c>
      <c r="O55" s="239">
        <v>0</v>
      </c>
      <c r="P55" s="240">
        <f t="shared" si="5"/>
        <v>0</v>
      </c>
      <c r="Q55" s="220"/>
      <c r="R55" s="235"/>
      <c r="S55" s="235"/>
      <c r="T55" s="235"/>
      <c r="U55" s="235"/>
      <c r="V55" s="235"/>
      <c r="W55" s="235"/>
      <c r="X55" s="241"/>
      <c r="Y55" s="295"/>
      <c r="Z55" s="242"/>
    </row>
    <row r="56" spans="1:26" s="216" customFormat="1" ht="13.5" customHeight="1" x14ac:dyDescent="0.25">
      <c r="A56" s="232">
        <v>48</v>
      </c>
      <c r="B56" s="233" t="s">
        <v>127</v>
      </c>
      <c r="C56" s="234" t="s">
        <v>128</v>
      </c>
      <c r="D56" s="813">
        <v>300</v>
      </c>
      <c r="E56" s="235">
        <v>0</v>
      </c>
      <c r="F56" s="236">
        <v>0</v>
      </c>
      <c r="G56" s="236">
        <f t="shared" si="6"/>
        <v>0</v>
      </c>
      <c r="H56" s="237"/>
      <c r="I56" s="237"/>
      <c r="J56" s="237"/>
      <c r="K56" s="238">
        <f t="shared" si="4"/>
        <v>300</v>
      </c>
      <c r="L56" s="811">
        <v>0</v>
      </c>
      <c r="M56" s="239">
        <v>0</v>
      </c>
      <c r="N56" s="239">
        <v>0</v>
      </c>
      <c r="O56" s="239">
        <v>0</v>
      </c>
      <c r="P56" s="240">
        <f t="shared" si="5"/>
        <v>0</v>
      </c>
      <c r="Q56" s="220"/>
      <c r="R56" s="235"/>
      <c r="S56" s="235"/>
      <c r="T56" s="235"/>
      <c r="U56" s="235"/>
      <c r="V56" s="235"/>
      <c r="W56" s="235"/>
      <c r="X56" s="241"/>
      <c r="Y56" s="295"/>
      <c r="Z56" s="242"/>
    </row>
    <row r="57" spans="1:26" s="216" customFormat="1" ht="13.5" customHeight="1" x14ac:dyDescent="0.25">
      <c r="A57" s="232">
        <v>49</v>
      </c>
      <c r="B57" s="233" t="s">
        <v>129</v>
      </c>
      <c r="C57" s="234" t="s">
        <v>459</v>
      </c>
      <c r="D57" s="813">
        <v>470</v>
      </c>
      <c r="E57" s="235">
        <v>0</v>
      </c>
      <c r="F57" s="236">
        <v>0</v>
      </c>
      <c r="G57" s="236">
        <f t="shared" si="6"/>
        <v>0</v>
      </c>
      <c r="H57" s="237"/>
      <c r="I57" s="237"/>
      <c r="J57" s="237"/>
      <c r="K57" s="238">
        <f t="shared" si="4"/>
        <v>470</v>
      </c>
      <c r="L57" s="811">
        <v>0</v>
      </c>
      <c r="M57" s="239">
        <v>0</v>
      </c>
      <c r="N57" s="239">
        <v>0</v>
      </c>
      <c r="O57" s="239">
        <v>0</v>
      </c>
      <c r="P57" s="240">
        <f t="shared" si="5"/>
        <v>0</v>
      </c>
      <c r="Q57" s="220"/>
      <c r="R57" s="235"/>
      <c r="S57" s="235"/>
      <c r="T57" s="235"/>
      <c r="U57" s="235"/>
      <c r="V57" s="235"/>
      <c r="W57" s="235"/>
      <c r="X57" s="241"/>
      <c r="Y57" s="295"/>
      <c r="Z57" s="242"/>
    </row>
    <row r="58" spans="1:26" s="216" customFormat="1" ht="13.5" customHeight="1" x14ac:dyDescent="0.25">
      <c r="A58" s="232">
        <v>50</v>
      </c>
      <c r="B58" s="233" t="s">
        <v>131</v>
      </c>
      <c r="C58" s="234" t="s">
        <v>132</v>
      </c>
      <c r="D58" s="813">
        <v>0</v>
      </c>
      <c r="E58" s="235">
        <v>0</v>
      </c>
      <c r="F58" s="236">
        <v>0</v>
      </c>
      <c r="G58" s="236">
        <f t="shared" si="6"/>
        <v>0</v>
      </c>
      <c r="H58" s="237"/>
      <c r="I58" s="237"/>
      <c r="J58" s="237"/>
      <c r="K58" s="238">
        <f t="shared" si="4"/>
        <v>0</v>
      </c>
      <c r="L58" s="811">
        <v>0</v>
      </c>
      <c r="M58" s="239">
        <v>0</v>
      </c>
      <c r="N58" s="239">
        <v>0</v>
      </c>
      <c r="O58" s="239">
        <v>0</v>
      </c>
      <c r="P58" s="240">
        <f t="shared" si="5"/>
        <v>0</v>
      </c>
      <c r="Q58" s="220"/>
      <c r="R58" s="235"/>
      <c r="S58" s="235"/>
      <c r="T58" s="235"/>
      <c r="U58" s="235"/>
      <c r="V58" s="235"/>
      <c r="W58" s="235"/>
      <c r="X58" s="241"/>
      <c r="Y58" s="295"/>
      <c r="Z58" s="242"/>
    </row>
    <row r="59" spans="1:26" s="216" customFormat="1" ht="13.5" customHeight="1" x14ac:dyDescent="0.25">
      <c r="A59" s="232">
        <v>51</v>
      </c>
      <c r="B59" s="233" t="s">
        <v>133</v>
      </c>
      <c r="C59" s="234" t="s">
        <v>299</v>
      </c>
      <c r="D59" s="813">
        <v>383</v>
      </c>
      <c r="E59" s="235">
        <v>0</v>
      </c>
      <c r="F59" s="236">
        <v>0</v>
      </c>
      <c r="G59" s="236">
        <f t="shared" si="6"/>
        <v>0</v>
      </c>
      <c r="H59" s="237"/>
      <c r="I59" s="237"/>
      <c r="J59" s="237"/>
      <c r="K59" s="238">
        <f t="shared" si="4"/>
        <v>383</v>
      </c>
      <c r="L59" s="811">
        <v>0</v>
      </c>
      <c r="M59" s="239">
        <v>0</v>
      </c>
      <c r="N59" s="239">
        <v>0</v>
      </c>
      <c r="O59" s="239">
        <v>0</v>
      </c>
      <c r="P59" s="240">
        <f t="shared" si="5"/>
        <v>0</v>
      </c>
      <c r="Q59" s="220"/>
      <c r="R59" s="235"/>
      <c r="S59" s="235"/>
      <c r="T59" s="235"/>
      <c r="U59" s="235"/>
      <c r="V59" s="235"/>
      <c r="W59" s="235"/>
      <c r="X59" s="241"/>
      <c r="Y59" s="295"/>
      <c r="Z59" s="242"/>
    </row>
    <row r="60" spans="1:26" s="216" customFormat="1" ht="13.5" customHeight="1" x14ac:dyDescent="0.25">
      <c r="A60" s="232">
        <v>52</v>
      </c>
      <c r="B60" s="233" t="s">
        <v>135</v>
      </c>
      <c r="C60" s="234" t="s">
        <v>461</v>
      </c>
      <c r="D60" s="813">
        <v>500</v>
      </c>
      <c r="E60" s="235">
        <v>0</v>
      </c>
      <c r="F60" s="236">
        <v>0</v>
      </c>
      <c r="G60" s="236">
        <f t="shared" si="6"/>
        <v>0</v>
      </c>
      <c r="H60" s="237"/>
      <c r="I60" s="237"/>
      <c r="J60" s="237"/>
      <c r="K60" s="238">
        <f>D60+E60+F60+G60</f>
        <v>500</v>
      </c>
      <c r="L60" s="811">
        <v>0</v>
      </c>
      <c r="M60" s="239">
        <v>0</v>
      </c>
      <c r="N60" s="239">
        <v>0</v>
      </c>
      <c r="O60" s="239">
        <v>0</v>
      </c>
      <c r="P60" s="240">
        <f>L60+M60+N60+O60</f>
        <v>0</v>
      </c>
      <c r="Q60" s="220"/>
      <c r="R60" s="235"/>
      <c r="S60" s="235"/>
      <c r="T60" s="235"/>
      <c r="U60" s="235"/>
      <c r="V60" s="235"/>
      <c r="W60" s="235"/>
      <c r="X60" s="241"/>
      <c r="Y60" s="295"/>
      <c r="Z60" s="242"/>
    </row>
    <row r="61" spans="1:26" s="216" customFormat="1" ht="13.5" customHeight="1" x14ac:dyDescent="0.25">
      <c r="A61" s="232">
        <v>53</v>
      </c>
      <c r="B61" s="233" t="s">
        <v>141</v>
      </c>
      <c r="C61" s="234" t="s">
        <v>456</v>
      </c>
      <c r="D61" s="813">
        <v>1956</v>
      </c>
      <c r="E61" s="235">
        <v>0</v>
      </c>
      <c r="F61" s="236">
        <v>234</v>
      </c>
      <c r="G61" s="236">
        <f t="shared" si="6"/>
        <v>0</v>
      </c>
      <c r="H61" s="237"/>
      <c r="I61" s="237"/>
      <c r="J61" s="237"/>
      <c r="K61" s="238">
        <f t="shared" si="4"/>
        <v>2190</v>
      </c>
      <c r="L61" s="811">
        <v>0</v>
      </c>
      <c r="M61" s="239">
        <v>0</v>
      </c>
      <c r="N61" s="239">
        <v>0</v>
      </c>
      <c r="O61" s="239">
        <v>0</v>
      </c>
      <c r="P61" s="240">
        <f t="shared" si="5"/>
        <v>0</v>
      </c>
      <c r="Q61" s="220"/>
      <c r="R61" s="235"/>
      <c r="S61" s="235"/>
      <c r="T61" s="235"/>
      <c r="U61" s="235"/>
      <c r="V61" s="235"/>
      <c r="W61" s="235"/>
      <c r="X61" s="241"/>
      <c r="Y61" s="295"/>
      <c r="Z61" s="242"/>
    </row>
    <row r="62" spans="1:26" s="216" customFormat="1" ht="13.5" customHeight="1" x14ac:dyDescent="0.25">
      <c r="A62" s="232">
        <v>54</v>
      </c>
      <c r="B62" s="233" t="s">
        <v>143</v>
      </c>
      <c r="C62" s="234" t="s">
        <v>144</v>
      </c>
      <c r="D62" s="813">
        <v>1228</v>
      </c>
      <c r="E62" s="235">
        <v>0</v>
      </c>
      <c r="F62" s="236">
        <v>0</v>
      </c>
      <c r="G62" s="236">
        <f t="shared" si="6"/>
        <v>0</v>
      </c>
      <c r="H62" s="237"/>
      <c r="I62" s="237"/>
      <c r="J62" s="237"/>
      <c r="K62" s="238">
        <f t="shared" si="4"/>
        <v>1228</v>
      </c>
      <c r="L62" s="811">
        <v>0</v>
      </c>
      <c r="M62" s="239">
        <v>0</v>
      </c>
      <c r="N62" s="239">
        <v>0</v>
      </c>
      <c r="O62" s="239">
        <v>0</v>
      </c>
      <c r="P62" s="240">
        <f t="shared" si="5"/>
        <v>0</v>
      </c>
      <c r="Q62" s="220"/>
      <c r="R62" s="235"/>
      <c r="S62" s="235"/>
      <c r="T62" s="235"/>
      <c r="U62" s="235"/>
      <c r="V62" s="235"/>
      <c r="W62" s="235"/>
      <c r="X62" s="241"/>
      <c r="Y62" s="295"/>
      <c r="Z62" s="242"/>
    </row>
    <row r="63" spans="1:26" s="216" customFormat="1" ht="13.5" customHeight="1" x14ac:dyDescent="0.25">
      <c r="A63" s="232">
        <v>55</v>
      </c>
      <c r="B63" s="233" t="s">
        <v>145</v>
      </c>
      <c r="C63" s="234" t="s">
        <v>457</v>
      </c>
      <c r="D63" s="813">
        <v>2875</v>
      </c>
      <c r="E63" s="235">
        <v>58</v>
      </c>
      <c r="F63" s="236">
        <v>322</v>
      </c>
      <c r="G63" s="236">
        <f t="shared" si="6"/>
        <v>0</v>
      </c>
      <c r="H63" s="237"/>
      <c r="I63" s="237"/>
      <c r="J63" s="237"/>
      <c r="K63" s="238">
        <f t="shared" si="4"/>
        <v>3255</v>
      </c>
      <c r="L63" s="811">
        <v>0</v>
      </c>
      <c r="M63" s="239">
        <v>0</v>
      </c>
      <c r="N63" s="239">
        <v>0</v>
      </c>
      <c r="O63" s="239">
        <v>0</v>
      </c>
      <c r="P63" s="240">
        <f t="shared" si="5"/>
        <v>0</v>
      </c>
      <c r="Q63" s="220"/>
      <c r="R63" s="235"/>
      <c r="S63" s="235"/>
      <c r="T63" s="235"/>
      <c r="U63" s="235"/>
      <c r="V63" s="235"/>
      <c r="W63" s="235"/>
      <c r="X63" s="241"/>
      <c r="Y63" s="295"/>
      <c r="Z63" s="242"/>
    </row>
    <row r="64" spans="1:26" s="216" customFormat="1" ht="13.5" customHeight="1" x14ac:dyDescent="0.25">
      <c r="A64" s="232">
        <v>56</v>
      </c>
      <c r="B64" s="233" t="s">
        <v>161</v>
      </c>
      <c r="C64" s="234" t="s">
        <v>162</v>
      </c>
      <c r="D64" s="813">
        <v>1447</v>
      </c>
      <c r="E64" s="235">
        <v>31</v>
      </c>
      <c r="F64" s="236">
        <v>173</v>
      </c>
      <c r="G64" s="236">
        <f t="shared" si="6"/>
        <v>0</v>
      </c>
      <c r="H64" s="237"/>
      <c r="I64" s="237"/>
      <c r="J64" s="237"/>
      <c r="K64" s="238">
        <f t="shared" si="4"/>
        <v>1651</v>
      </c>
      <c r="L64" s="811">
        <v>0</v>
      </c>
      <c r="M64" s="239">
        <v>0</v>
      </c>
      <c r="N64" s="239">
        <v>0</v>
      </c>
      <c r="O64" s="239">
        <v>0</v>
      </c>
      <c r="P64" s="240">
        <f t="shared" si="5"/>
        <v>0</v>
      </c>
      <c r="Q64" s="220"/>
      <c r="R64" s="235"/>
      <c r="S64" s="235"/>
      <c r="T64" s="235"/>
      <c r="U64" s="235"/>
      <c r="V64" s="235"/>
      <c r="W64" s="235"/>
      <c r="X64" s="241"/>
      <c r="Y64" s="295"/>
      <c r="Z64" s="242"/>
    </row>
    <row r="65" spans="1:26" s="216" customFormat="1" ht="13.5" customHeight="1" x14ac:dyDescent="0.25">
      <c r="A65" s="232">
        <v>57</v>
      </c>
      <c r="B65" s="233" t="s">
        <v>163</v>
      </c>
      <c r="C65" s="234" t="s">
        <v>458</v>
      </c>
      <c r="D65" s="813">
        <v>1812</v>
      </c>
      <c r="E65" s="235">
        <v>78</v>
      </c>
      <c r="F65" s="236">
        <v>433</v>
      </c>
      <c r="G65" s="236">
        <f t="shared" si="6"/>
        <v>0</v>
      </c>
      <c r="H65" s="237"/>
      <c r="I65" s="237"/>
      <c r="J65" s="237"/>
      <c r="K65" s="238">
        <f t="shared" si="4"/>
        <v>2323</v>
      </c>
      <c r="L65" s="811">
        <v>0</v>
      </c>
      <c r="M65" s="239">
        <v>0</v>
      </c>
      <c r="N65" s="239">
        <v>0</v>
      </c>
      <c r="O65" s="239">
        <v>0</v>
      </c>
      <c r="P65" s="240">
        <f t="shared" si="5"/>
        <v>0</v>
      </c>
      <c r="Q65" s="220"/>
      <c r="R65" s="235"/>
      <c r="S65" s="235"/>
      <c r="T65" s="235"/>
      <c r="U65" s="235"/>
      <c r="V65" s="235"/>
      <c r="W65" s="235"/>
      <c r="X65" s="241"/>
      <c r="Y65" s="295"/>
      <c r="Z65" s="242"/>
    </row>
    <row r="66" spans="1:26" s="216" customFormat="1" ht="13.5" customHeight="1" x14ac:dyDescent="0.25">
      <c r="A66" s="232">
        <v>58</v>
      </c>
      <c r="B66" s="233" t="s">
        <v>165</v>
      </c>
      <c r="C66" s="234" t="s">
        <v>166</v>
      </c>
      <c r="D66" s="813">
        <v>2121</v>
      </c>
      <c r="E66" s="235">
        <v>45</v>
      </c>
      <c r="F66" s="236">
        <v>253</v>
      </c>
      <c r="G66" s="236">
        <f t="shared" si="6"/>
        <v>316</v>
      </c>
      <c r="H66" s="237">
        <v>286</v>
      </c>
      <c r="I66" s="237">
        <v>0</v>
      </c>
      <c r="J66" s="237">
        <v>30</v>
      </c>
      <c r="K66" s="238">
        <f t="shared" si="4"/>
        <v>2735</v>
      </c>
      <c r="L66" s="811">
        <v>0</v>
      </c>
      <c r="M66" s="239">
        <v>0</v>
      </c>
      <c r="N66" s="239">
        <v>0</v>
      </c>
      <c r="O66" s="239">
        <v>0</v>
      </c>
      <c r="P66" s="240">
        <f t="shared" si="5"/>
        <v>0</v>
      </c>
      <c r="Q66" s="220"/>
      <c r="R66" s="235"/>
      <c r="S66" s="235"/>
      <c r="T66" s="235"/>
      <c r="U66" s="235"/>
      <c r="V66" s="235"/>
      <c r="W66" s="235"/>
      <c r="X66" s="241"/>
      <c r="Y66" s="295"/>
      <c r="Z66" s="242"/>
    </row>
    <row r="67" spans="1:26" s="216" customFormat="1" ht="13.5" customHeight="1" x14ac:dyDescent="0.25">
      <c r="A67" s="232">
        <v>59</v>
      </c>
      <c r="B67" s="233" t="s">
        <v>167</v>
      </c>
      <c r="C67" s="234" t="s">
        <v>168</v>
      </c>
      <c r="D67" s="813">
        <v>619</v>
      </c>
      <c r="E67" s="235">
        <v>0</v>
      </c>
      <c r="F67" s="236">
        <v>0</v>
      </c>
      <c r="G67" s="236">
        <f t="shared" si="6"/>
        <v>0</v>
      </c>
      <c r="H67" s="244"/>
      <c r="I67" s="244"/>
      <c r="J67" s="244"/>
      <c r="K67" s="238">
        <f t="shared" si="4"/>
        <v>619</v>
      </c>
      <c r="L67" s="811">
        <v>0</v>
      </c>
      <c r="M67" s="239">
        <v>0</v>
      </c>
      <c r="N67" s="239">
        <v>0</v>
      </c>
      <c r="O67" s="239">
        <v>0</v>
      </c>
      <c r="P67" s="240">
        <f t="shared" si="5"/>
        <v>0</v>
      </c>
      <c r="Q67" s="220"/>
      <c r="R67" s="235"/>
      <c r="S67" s="235"/>
      <c r="T67" s="235"/>
      <c r="U67" s="235"/>
      <c r="V67" s="235"/>
      <c r="W67" s="235"/>
      <c r="X67" s="241"/>
      <c r="Y67" s="295"/>
      <c r="Z67" s="242"/>
    </row>
    <row r="68" spans="1:26" s="216" customFormat="1" ht="13.5" customHeight="1" x14ac:dyDescent="0.25">
      <c r="A68" s="232">
        <v>60</v>
      </c>
      <c r="B68" s="233" t="s">
        <v>169</v>
      </c>
      <c r="C68" s="234" t="s">
        <v>170</v>
      </c>
      <c r="D68" s="813">
        <v>4455</v>
      </c>
      <c r="E68" s="235">
        <v>95</v>
      </c>
      <c r="F68" s="236">
        <v>581</v>
      </c>
      <c r="G68" s="236">
        <f t="shared" si="6"/>
        <v>624</v>
      </c>
      <c r="H68" s="237">
        <v>432</v>
      </c>
      <c r="I68" s="237">
        <v>62</v>
      </c>
      <c r="J68" s="237">
        <v>130</v>
      </c>
      <c r="K68" s="238">
        <f t="shared" si="4"/>
        <v>5755</v>
      </c>
      <c r="L68" s="811">
        <v>420</v>
      </c>
      <c r="M68" s="239">
        <v>1759</v>
      </c>
      <c r="N68" s="239">
        <v>3965</v>
      </c>
      <c r="O68" s="239">
        <v>2686</v>
      </c>
      <c r="P68" s="240">
        <f t="shared" si="5"/>
        <v>8830</v>
      </c>
      <c r="Q68" s="220"/>
      <c r="R68" s="235"/>
      <c r="S68" s="235"/>
      <c r="T68" s="235"/>
      <c r="U68" s="235"/>
      <c r="V68" s="235"/>
      <c r="W68" s="235"/>
      <c r="X68" s="241"/>
      <c r="Y68" s="295"/>
      <c r="Z68" s="242"/>
    </row>
    <row r="69" spans="1:26" s="216" customFormat="1" ht="13.5" customHeight="1" x14ac:dyDescent="0.25">
      <c r="A69" s="232">
        <v>61</v>
      </c>
      <c r="B69" s="233" t="s">
        <v>171</v>
      </c>
      <c r="C69" s="234" t="s">
        <v>172</v>
      </c>
      <c r="D69" s="813">
        <v>603</v>
      </c>
      <c r="E69" s="235">
        <v>0</v>
      </c>
      <c r="F69" s="236">
        <v>0</v>
      </c>
      <c r="G69" s="236">
        <f t="shared" si="6"/>
        <v>0</v>
      </c>
      <c r="H69" s="237"/>
      <c r="I69" s="237"/>
      <c r="J69" s="237"/>
      <c r="K69" s="238">
        <f t="shared" si="4"/>
        <v>603</v>
      </c>
      <c r="L69" s="811">
        <v>0</v>
      </c>
      <c r="M69" s="239">
        <v>0</v>
      </c>
      <c r="N69" s="239">
        <v>0</v>
      </c>
      <c r="O69" s="239">
        <v>0</v>
      </c>
      <c r="P69" s="240">
        <f t="shared" si="5"/>
        <v>0</v>
      </c>
      <c r="Q69" s="220"/>
      <c r="R69" s="235"/>
      <c r="S69" s="235"/>
      <c r="T69" s="235"/>
      <c r="U69" s="235"/>
      <c r="V69" s="235"/>
      <c r="W69" s="235"/>
      <c r="X69" s="241"/>
      <c r="Y69" s="295"/>
      <c r="Z69" s="242"/>
    </row>
    <row r="70" spans="1:26" s="216" customFormat="1" ht="13.5" customHeight="1" x14ac:dyDescent="0.25">
      <c r="A70" s="232">
        <v>62</v>
      </c>
      <c r="B70" s="233" t="s">
        <v>173</v>
      </c>
      <c r="C70" s="234" t="s">
        <v>617</v>
      </c>
      <c r="D70" s="813">
        <v>2054</v>
      </c>
      <c r="E70" s="235">
        <v>0</v>
      </c>
      <c r="F70" s="236">
        <v>334</v>
      </c>
      <c r="G70" s="236">
        <f t="shared" si="6"/>
        <v>849</v>
      </c>
      <c r="H70" s="237">
        <v>729</v>
      </c>
      <c r="I70" s="237">
        <v>0</v>
      </c>
      <c r="J70" s="237">
        <v>120</v>
      </c>
      <c r="K70" s="238">
        <f t="shared" si="4"/>
        <v>3237</v>
      </c>
      <c r="L70" s="811">
        <v>0</v>
      </c>
      <c r="M70" s="239">
        <v>0</v>
      </c>
      <c r="N70" s="239">
        <v>0</v>
      </c>
      <c r="O70" s="239">
        <v>0</v>
      </c>
      <c r="P70" s="240">
        <f t="shared" si="5"/>
        <v>0</v>
      </c>
      <c r="Q70" s="220"/>
      <c r="R70" s="235"/>
      <c r="S70" s="235"/>
      <c r="T70" s="235"/>
      <c r="U70" s="235"/>
      <c r="V70" s="235"/>
      <c r="W70" s="235"/>
      <c r="X70" s="241"/>
      <c r="Y70" s="295"/>
      <c r="Z70" s="242"/>
    </row>
    <row r="71" spans="1:26" s="216" customFormat="1" ht="13.5" customHeight="1" x14ac:dyDescent="0.25">
      <c r="A71" s="232">
        <v>63</v>
      </c>
      <c r="B71" s="233" t="s">
        <v>178</v>
      </c>
      <c r="C71" s="234" t="s">
        <v>324</v>
      </c>
      <c r="D71" s="813">
        <v>160</v>
      </c>
      <c r="E71" s="235">
        <v>6</v>
      </c>
      <c r="F71" s="236">
        <v>19</v>
      </c>
      <c r="G71" s="236">
        <f t="shared" si="6"/>
        <v>0</v>
      </c>
      <c r="H71" s="237"/>
      <c r="I71" s="237"/>
      <c r="J71" s="237"/>
      <c r="K71" s="238">
        <f t="shared" si="4"/>
        <v>185</v>
      </c>
      <c r="L71" s="811">
        <v>0</v>
      </c>
      <c r="M71" s="239">
        <v>0</v>
      </c>
      <c r="N71" s="239">
        <v>0</v>
      </c>
      <c r="O71" s="239">
        <v>0</v>
      </c>
      <c r="P71" s="240">
        <f t="shared" si="5"/>
        <v>0</v>
      </c>
      <c r="Q71" s="220"/>
      <c r="R71" s="235"/>
      <c r="S71" s="235"/>
      <c r="T71" s="235"/>
      <c r="U71" s="235"/>
      <c r="V71" s="235"/>
      <c r="W71" s="235"/>
      <c r="X71" s="241"/>
      <c r="Y71" s="295"/>
      <c r="Z71" s="242"/>
    </row>
    <row r="72" spans="1:26" s="216" customFormat="1" ht="13.5" customHeight="1" x14ac:dyDescent="0.25">
      <c r="A72" s="232">
        <v>64</v>
      </c>
      <c r="B72" s="233" t="s">
        <v>183</v>
      </c>
      <c r="C72" s="234" t="s">
        <v>184</v>
      </c>
      <c r="D72" s="813">
        <v>128</v>
      </c>
      <c r="E72" s="235">
        <v>0</v>
      </c>
      <c r="F72" s="236">
        <v>0</v>
      </c>
      <c r="G72" s="236">
        <f t="shared" si="6"/>
        <v>0</v>
      </c>
      <c r="H72" s="237"/>
      <c r="I72" s="237"/>
      <c r="J72" s="237"/>
      <c r="K72" s="238">
        <f t="shared" si="4"/>
        <v>128</v>
      </c>
      <c r="L72" s="811">
        <v>0</v>
      </c>
      <c r="M72" s="239">
        <v>0</v>
      </c>
      <c r="N72" s="239">
        <v>0</v>
      </c>
      <c r="O72" s="239">
        <v>0</v>
      </c>
      <c r="P72" s="240">
        <f t="shared" si="5"/>
        <v>0</v>
      </c>
      <c r="Q72" s="220"/>
      <c r="R72" s="235"/>
      <c r="S72" s="235"/>
      <c r="T72" s="235"/>
      <c r="U72" s="235"/>
      <c r="V72" s="235"/>
      <c r="W72" s="235"/>
      <c r="X72" s="241"/>
      <c r="Y72" s="295"/>
      <c r="Z72" s="242"/>
    </row>
    <row r="73" spans="1:26" s="216" customFormat="1" ht="13.5" customHeight="1" x14ac:dyDescent="0.25">
      <c r="A73" s="232">
        <v>65</v>
      </c>
      <c r="B73" s="233" t="s">
        <v>185</v>
      </c>
      <c r="C73" s="234" t="s">
        <v>186</v>
      </c>
      <c r="D73" s="813">
        <v>2362</v>
      </c>
      <c r="E73" s="235">
        <v>25</v>
      </c>
      <c r="F73" s="236">
        <v>210</v>
      </c>
      <c r="G73" s="236">
        <f t="shared" si="6"/>
        <v>356</v>
      </c>
      <c r="H73" s="237">
        <v>272</v>
      </c>
      <c r="I73" s="237">
        <v>34</v>
      </c>
      <c r="J73" s="237">
        <v>50</v>
      </c>
      <c r="K73" s="238">
        <f t="shared" ref="K73:K91" si="7">D73+E73+F73+G73</f>
        <v>2953</v>
      </c>
      <c r="L73" s="811">
        <v>0</v>
      </c>
      <c r="M73" s="239">
        <v>0</v>
      </c>
      <c r="N73" s="239">
        <v>0</v>
      </c>
      <c r="O73" s="239">
        <v>0</v>
      </c>
      <c r="P73" s="240">
        <f t="shared" ref="P73:P84" si="8">L73+M73+N73+O73</f>
        <v>0</v>
      </c>
      <c r="Q73" s="220"/>
      <c r="R73" s="235"/>
      <c r="S73" s="235"/>
      <c r="T73" s="235"/>
      <c r="U73" s="235"/>
      <c r="V73" s="235"/>
      <c r="W73" s="235"/>
      <c r="X73" s="241"/>
      <c r="Y73" s="295"/>
      <c r="Z73" s="242"/>
    </row>
    <row r="74" spans="1:26" s="216" customFormat="1" ht="13.5" customHeight="1" x14ac:dyDescent="0.25">
      <c r="A74" s="232">
        <v>66</v>
      </c>
      <c r="B74" s="233" t="s">
        <v>187</v>
      </c>
      <c r="C74" s="234" t="s">
        <v>188</v>
      </c>
      <c r="D74" s="813">
        <v>337</v>
      </c>
      <c r="E74" s="235">
        <v>7</v>
      </c>
      <c r="F74" s="236">
        <v>0</v>
      </c>
      <c r="G74" s="236">
        <f t="shared" si="6"/>
        <v>0</v>
      </c>
      <c r="H74" s="237"/>
      <c r="I74" s="237"/>
      <c r="J74" s="237"/>
      <c r="K74" s="238">
        <f t="shared" si="7"/>
        <v>344</v>
      </c>
      <c r="L74" s="811">
        <v>0</v>
      </c>
      <c r="M74" s="239">
        <v>0</v>
      </c>
      <c r="N74" s="239">
        <v>0</v>
      </c>
      <c r="O74" s="239">
        <v>0</v>
      </c>
      <c r="P74" s="240">
        <f t="shared" si="8"/>
        <v>0</v>
      </c>
      <c r="Q74" s="220"/>
      <c r="R74" s="235"/>
      <c r="S74" s="235"/>
      <c r="T74" s="235"/>
      <c r="U74" s="235"/>
      <c r="V74" s="235"/>
      <c r="W74" s="235"/>
      <c r="X74" s="241"/>
      <c r="Y74" s="295"/>
      <c r="Z74" s="246"/>
    </row>
    <row r="75" spans="1:26" s="216" customFormat="1" ht="13.5" customHeight="1" x14ac:dyDescent="0.25">
      <c r="A75" s="232">
        <v>67</v>
      </c>
      <c r="B75" s="233" t="s">
        <v>189</v>
      </c>
      <c r="C75" s="234" t="s">
        <v>190</v>
      </c>
      <c r="D75" s="813">
        <v>328</v>
      </c>
      <c r="E75" s="235">
        <v>0</v>
      </c>
      <c r="F75" s="236">
        <v>39</v>
      </c>
      <c r="G75" s="236">
        <f t="shared" si="6"/>
        <v>0</v>
      </c>
      <c r="H75" s="236"/>
      <c r="I75" s="243"/>
      <c r="J75" s="243"/>
      <c r="K75" s="238">
        <f t="shared" si="7"/>
        <v>367</v>
      </c>
      <c r="L75" s="811">
        <v>0</v>
      </c>
      <c r="M75" s="239">
        <v>0</v>
      </c>
      <c r="N75" s="239">
        <v>0</v>
      </c>
      <c r="O75" s="239">
        <v>0</v>
      </c>
      <c r="P75" s="240">
        <f t="shared" si="8"/>
        <v>0</v>
      </c>
      <c r="Q75" s="220"/>
      <c r="R75" s="235"/>
      <c r="S75" s="235"/>
      <c r="T75" s="235"/>
      <c r="U75" s="235"/>
      <c r="V75" s="235"/>
      <c r="W75" s="235"/>
      <c r="X75" s="241"/>
      <c r="Y75" s="295"/>
      <c r="Z75" s="246"/>
    </row>
    <row r="76" spans="1:26" s="216" customFormat="1" ht="13.5" customHeight="1" x14ac:dyDescent="0.25">
      <c r="A76" s="232">
        <v>68</v>
      </c>
      <c r="B76" s="233" t="s">
        <v>191</v>
      </c>
      <c r="C76" s="234" t="s">
        <v>192</v>
      </c>
      <c r="D76" s="813">
        <v>907</v>
      </c>
      <c r="E76" s="235">
        <v>0</v>
      </c>
      <c r="F76" s="236">
        <v>108</v>
      </c>
      <c r="G76" s="236">
        <f t="shared" si="6"/>
        <v>0</v>
      </c>
      <c r="H76" s="236"/>
      <c r="I76" s="243"/>
      <c r="J76" s="243"/>
      <c r="K76" s="238">
        <f t="shared" si="7"/>
        <v>1015</v>
      </c>
      <c r="L76" s="811">
        <v>0</v>
      </c>
      <c r="M76" s="239">
        <v>0</v>
      </c>
      <c r="N76" s="239">
        <v>0</v>
      </c>
      <c r="O76" s="239">
        <v>0</v>
      </c>
      <c r="P76" s="240">
        <f t="shared" si="8"/>
        <v>0</v>
      </c>
      <c r="Q76" s="220"/>
      <c r="R76" s="235"/>
      <c r="S76" s="235"/>
      <c r="T76" s="235"/>
      <c r="U76" s="235"/>
      <c r="V76" s="235"/>
      <c r="W76" s="235"/>
      <c r="X76" s="241"/>
      <c r="Y76" s="295"/>
      <c r="Z76" s="246"/>
    </row>
    <row r="77" spans="1:26" s="216" customFormat="1" ht="13.5" customHeight="1" x14ac:dyDescent="0.25">
      <c r="A77" s="232">
        <v>69</v>
      </c>
      <c r="B77" s="233" t="s">
        <v>193</v>
      </c>
      <c r="C77" s="234" t="s">
        <v>194</v>
      </c>
      <c r="D77" s="813">
        <v>400</v>
      </c>
      <c r="E77" s="235">
        <v>8</v>
      </c>
      <c r="F77" s="236">
        <v>47</v>
      </c>
      <c r="G77" s="236">
        <f t="shared" si="6"/>
        <v>0</v>
      </c>
      <c r="H77" s="236"/>
      <c r="I77" s="243"/>
      <c r="J77" s="243"/>
      <c r="K77" s="238">
        <f t="shared" si="7"/>
        <v>455</v>
      </c>
      <c r="L77" s="811">
        <v>0</v>
      </c>
      <c r="M77" s="239">
        <v>0</v>
      </c>
      <c r="N77" s="239">
        <v>0</v>
      </c>
      <c r="O77" s="239">
        <v>0</v>
      </c>
      <c r="P77" s="240">
        <f t="shared" si="8"/>
        <v>0</v>
      </c>
      <c r="Q77" s="220"/>
      <c r="R77" s="235"/>
      <c r="S77" s="235"/>
      <c r="T77" s="235"/>
      <c r="U77" s="235"/>
      <c r="V77" s="235"/>
      <c r="W77" s="235"/>
      <c r="X77" s="241"/>
      <c r="Y77" s="295"/>
      <c r="Z77" s="246"/>
    </row>
    <row r="78" spans="1:26" s="216" customFormat="1" ht="13.5" customHeight="1" x14ac:dyDescent="0.25">
      <c r="A78" s="232">
        <v>70</v>
      </c>
      <c r="B78" s="233" t="s">
        <v>195</v>
      </c>
      <c r="C78" s="234" t="s">
        <v>196</v>
      </c>
      <c r="D78" s="813">
        <v>510</v>
      </c>
      <c r="E78" s="235">
        <v>11</v>
      </c>
      <c r="F78" s="236">
        <v>0</v>
      </c>
      <c r="G78" s="236">
        <f t="shared" ref="G78:G96" si="9">H78+I78+J78</f>
        <v>0</v>
      </c>
      <c r="H78" s="244"/>
      <c r="I78" s="244"/>
      <c r="J78" s="244"/>
      <c r="K78" s="238">
        <f t="shared" si="7"/>
        <v>521</v>
      </c>
      <c r="L78" s="811">
        <v>0</v>
      </c>
      <c r="M78" s="239">
        <v>0</v>
      </c>
      <c r="N78" s="239">
        <v>0</v>
      </c>
      <c r="O78" s="239">
        <v>0</v>
      </c>
      <c r="P78" s="240">
        <f t="shared" si="8"/>
        <v>0</v>
      </c>
      <c r="Q78" s="220"/>
      <c r="R78" s="235"/>
      <c r="S78" s="235"/>
      <c r="T78" s="235"/>
      <c r="U78" s="235"/>
      <c r="V78" s="235"/>
      <c r="W78" s="235"/>
      <c r="X78" s="241"/>
      <c r="Y78" s="295"/>
      <c r="Z78" s="246"/>
    </row>
    <row r="79" spans="1:26" s="216" customFormat="1" ht="13.5" customHeight="1" x14ac:dyDescent="0.25">
      <c r="A79" s="232">
        <v>71</v>
      </c>
      <c r="B79" s="233" t="s">
        <v>197</v>
      </c>
      <c r="C79" s="234" t="s">
        <v>198</v>
      </c>
      <c r="D79" s="813">
        <v>0</v>
      </c>
      <c r="E79" s="235">
        <v>0</v>
      </c>
      <c r="F79" s="236">
        <v>0</v>
      </c>
      <c r="G79" s="236">
        <f t="shared" si="9"/>
        <v>0</v>
      </c>
      <c r="H79" s="237"/>
      <c r="I79" s="237"/>
      <c r="J79" s="237"/>
      <c r="K79" s="238">
        <f t="shared" si="7"/>
        <v>0</v>
      </c>
      <c r="L79" s="811">
        <v>0</v>
      </c>
      <c r="M79" s="239">
        <v>0</v>
      </c>
      <c r="N79" s="239">
        <v>0</v>
      </c>
      <c r="O79" s="239">
        <v>0</v>
      </c>
      <c r="P79" s="240">
        <f t="shared" si="8"/>
        <v>0</v>
      </c>
      <c r="Q79" s="220"/>
      <c r="R79" s="235"/>
      <c r="S79" s="235"/>
      <c r="T79" s="235"/>
      <c r="U79" s="235"/>
      <c r="V79" s="235"/>
      <c r="W79" s="235"/>
      <c r="X79" s="241"/>
      <c r="Y79" s="295"/>
      <c r="Z79" s="246"/>
    </row>
    <row r="80" spans="1:26" s="216" customFormat="1" ht="13.5" customHeight="1" x14ac:dyDescent="0.25">
      <c r="A80" s="232">
        <v>72</v>
      </c>
      <c r="B80" s="233" t="s">
        <v>199</v>
      </c>
      <c r="C80" s="234" t="s">
        <v>200</v>
      </c>
      <c r="D80" s="813">
        <v>866</v>
      </c>
      <c r="E80" s="235">
        <v>0</v>
      </c>
      <c r="F80" s="236">
        <v>0</v>
      </c>
      <c r="G80" s="236">
        <f t="shared" si="9"/>
        <v>0</v>
      </c>
      <c r="H80" s="237"/>
      <c r="I80" s="237"/>
      <c r="J80" s="237"/>
      <c r="K80" s="238">
        <f t="shared" si="7"/>
        <v>866</v>
      </c>
      <c r="L80" s="811">
        <v>0</v>
      </c>
      <c r="M80" s="239">
        <v>0</v>
      </c>
      <c r="N80" s="239">
        <v>0</v>
      </c>
      <c r="O80" s="239">
        <v>0</v>
      </c>
      <c r="P80" s="240">
        <f t="shared" si="8"/>
        <v>0</v>
      </c>
      <c r="Q80" s="220"/>
      <c r="R80" s="235"/>
      <c r="S80" s="235"/>
      <c r="T80" s="235"/>
      <c r="U80" s="235"/>
      <c r="V80" s="235"/>
      <c r="W80" s="235"/>
      <c r="X80" s="241"/>
      <c r="Y80" s="295"/>
      <c r="Z80" s="246"/>
    </row>
    <row r="81" spans="1:26" s="216" customFormat="1" ht="13.5" customHeight="1" x14ac:dyDescent="0.25">
      <c r="A81" s="232">
        <v>73</v>
      </c>
      <c r="B81" s="233" t="s">
        <v>201</v>
      </c>
      <c r="C81" s="234" t="s">
        <v>202</v>
      </c>
      <c r="D81" s="813">
        <v>301</v>
      </c>
      <c r="E81" s="235">
        <v>6</v>
      </c>
      <c r="F81" s="236">
        <v>36</v>
      </c>
      <c r="G81" s="236">
        <f t="shared" si="9"/>
        <v>0</v>
      </c>
      <c r="H81" s="237"/>
      <c r="I81" s="237"/>
      <c r="J81" s="237"/>
      <c r="K81" s="238">
        <f t="shared" si="7"/>
        <v>343</v>
      </c>
      <c r="L81" s="811">
        <v>0</v>
      </c>
      <c r="M81" s="239">
        <v>0</v>
      </c>
      <c r="N81" s="239">
        <v>0</v>
      </c>
      <c r="O81" s="239">
        <v>0</v>
      </c>
      <c r="P81" s="240">
        <f t="shared" si="8"/>
        <v>0</v>
      </c>
      <c r="Q81" s="220"/>
      <c r="R81" s="235"/>
      <c r="S81" s="235"/>
      <c r="T81" s="235"/>
      <c r="U81" s="235"/>
      <c r="V81" s="235"/>
      <c r="W81" s="235"/>
      <c r="X81" s="241"/>
      <c r="Y81" s="295"/>
      <c r="Z81" s="246"/>
    </row>
    <row r="82" spans="1:26" s="216" customFormat="1" ht="13.5" customHeight="1" x14ac:dyDescent="0.25">
      <c r="A82" s="232">
        <v>74</v>
      </c>
      <c r="B82" s="233" t="s">
        <v>203</v>
      </c>
      <c r="C82" s="234" t="s">
        <v>204</v>
      </c>
      <c r="D82" s="813">
        <v>470</v>
      </c>
      <c r="E82" s="235">
        <v>0</v>
      </c>
      <c r="F82" s="236">
        <v>0</v>
      </c>
      <c r="G82" s="236">
        <f t="shared" si="9"/>
        <v>0</v>
      </c>
      <c r="H82" s="237"/>
      <c r="I82" s="237"/>
      <c r="J82" s="237"/>
      <c r="K82" s="238">
        <f t="shared" si="7"/>
        <v>470</v>
      </c>
      <c r="L82" s="811">
        <v>0</v>
      </c>
      <c r="M82" s="239">
        <v>0</v>
      </c>
      <c r="N82" s="239">
        <v>0</v>
      </c>
      <c r="O82" s="239">
        <v>0</v>
      </c>
      <c r="P82" s="240">
        <f t="shared" si="8"/>
        <v>0</v>
      </c>
      <c r="Q82" s="220"/>
      <c r="R82" s="235"/>
      <c r="S82" s="235"/>
      <c r="T82" s="235"/>
      <c r="U82" s="235"/>
      <c r="V82" s="235"/>
      <c r="W82" s="235"/>
      <c r="X82" s="241"/>
      <c r="Y82" s="295"/>
      <c r="Z82" s="246"/>
    </row>
    <row r="83" spans="1:26" s="216" customFormat="1" ht="13.5" customHeight="1" x14ac:dyDescent="0.25">
      <c r="A83" s="232">
        <v>75</v>
      </c>
      <c r="B83" s="233" t="s">
        <v>205</v>
      </c>
      <c r="C83" s="234" t="s">
        <v>206</v>
      </c>
      <c r="D83" s="813">
        <v>445</v>
      </c>
      <c r="E83" s="235">
        <v>10</v>
      </c>
      <c r="F83" s="236">
        <v>53</v>
      </c>
      <c r="G83" s="236">
        <f t="shared" si="9"/>
        <v>0</v>
      </c>
      <c r="H83" s="237"/>
      <c r="I83" s="237"/>
      <c r="J83" s="237"/>
      <c r="K83" s="238">
        <f t="shared" si="7"/>
        <v>508</v>
      </c>
      <c r="L83" s="811">
        <v>0</v>
      </c>
      <c r="M83" s="239">
        <v>0</v>
      </c>
      <c r="N83" s="239">
        <v>0</v>
      </c>
      <c r="O83" s="239">
        <v>0</v>
      </c>
      <c r="P83" s="240">
        <f t="shared" si="8"/>
        <v>0</v>
      </c>
      <c r="Q83" s="220"/>
      <c r="R83" s="235"/>
      <c r="S83" s="235"/>
      <c r="T83" s="235"/>
      <c r="U83" s="235"/>
      <c r="V83" s="235"/>
      <c r="W83" s="235"/>
      <c r="X83" s="241"/>
      <c r="Y83" s="295"/>
      <c r="Z83" s="246"/>
    </row>
    <row r="84" spans="1:26" s="216" customFormat="1" ht="13.5" customHeight="1" x14ac:dyDescent="0.25">
      <c r="A84" s="232">
        <v>76</v>
      </c>
      <c r="B84" s="233" t="s">
        <v>207</v>
      </c>
      <c r="C84" s="234" t="s">
        <v>208</v>
      </c>
      <c r="D84" s="813">
        <v>524</v>
      </c>
      <c r="E84" s="235">
        <v>18</v>
      </c>
      <c r="F84" s="236">
        <v>61</v>
      </c>
      <c r="G84" s="236">
        <f t="shared" si="9"/>
        <v>289</v>
      </c>
      <c r="H84" s="237">
        <v>220</v>
      </c>
      <c r="I84" s="237">
        <v>28</v>
      </c>
      <c r="J84" s="237">
        <v>41</v>
      </c>
      <c r="K84" s="238">
        <f t="shared" si="7"/>
        <v>892</v>
      </c>
      <c r="L84" s="811">
        <v>0</v>
      </c>
      <c r="M84" s="239">
        <v>0</v>
      </c>
      <c r="N84" s="239">
        <v>0</v>
      </c>
      <c r="O84" s="239">
        <v>0</v>
      </c>
      <c r="P84" s="240">
        <f t="shared" si="8"/>
        <v>0</v>
      </c>
      <c r="Q84" s="220"/>
      <c r="R84" s="235"/>
      <c r="S84" s="235"/>
      <c r="T84" s="235"/>
      <c r="U84" s="235"/>
      <c r="V84" s="235"/>
      <c r="W84" s="235"/>
      <c r="X84" s="241"/>
      <c r="Y84" s="295"/>
      <c r="Z84" s="246"/>
    </row>
    <row r="85" spans="1:26" s="216" customFormat="1" ht="13.5" customHeight="1" x14ac:dyDescent="0.25">
      <c r="A85" s="232">
        <v>77</v>
      </c>
      <c r="B85" s="233" t="s">
        <v>209</v>
      </c>
      <c r="C85" s="234" t="s">
        <v>210</v>
      </c>
      <c r="D85" s="813">
        <v>348</v>
      </c>
      <c r="E85" s="235">
        <v>0</v>
      </c>
      <c r="F85" s="236">
        <v>0</v>
      </c>
      <c r="G85" s="236">
        <f t="shared" si="9"/>
        <v>0</v>
      </c>
      <c r="H85" s="237"/>
      <c r="I85" s="237"/>
      <c r="J85" s="237"/>
      <c r="K85" s="238">
        <f t="shared" si="7"/>
        <v>348</v>
      </c>
      <c r="L85" s="811"/>
      <c r="M85" s="239"/>
      <c r="N85" s="239"/>
      <c r="O85" s="239"/>
      <c r="P85" s="240"/>
      <c r="Q85" s="220"/>
      <c r="R85" s="235"/>
      <c r="S85" s="235"/>
      <c r="T85" s="235"/>
      <c r="U85" s="235"/>
      <c r="V85" s="235"/>
      <c r="W85" s="235"/>
      <c r="X85" s="241"/>
      <c r="Y85" s="295"/>
      <c r="Z85" s="246"/>
    </row>
    <row r="86" spans="1:26" s="216" customFormat="1" ht="13.5" customHeight="1" x14ac:dyDescent="0.25">
      <c r="A86" s="232">
        <v>78</v>
      </c>
      <c r="B86" s="234" t="s">
        <v>211</v>
      </c>
      <c r="C86" s="247" t="s">
        <v>212</v>
      </c>
      <c r="D86" s="813">
        <v>519</v>
      </c>
      <c r="E86" s="235">
        <v>12</v>
      </c>
      <c r="F86" s="236">
        <v>62</v>
      </c>
      <c r="G86" s="236">
        <f t="shared" si="9"/>
        <v>0</v>
      </c>
      <c r="H86" s="237"/>
      <c r="I86" s="237"/>
      <c r="J86" s="237"/>
      <c r="K86" s="238">
        <f t="shared" si="7"/>
        <v>593</v>
      </c>
      <c r="L86" s="811">
        <v>0</v>
      </c>
      <c r="M86" s="239">
        <v>0</v>
      </c>
      <c r="N86" s="239">
        <v>0</v>
      </c>
      <c r="O86" s="239">
        <v>0</v>
      </c>
      <c r="P86" s="240">
        <f t="shared" ref="P86:P91" si="10">L86+M86+N86+O86</f>
        <v>0</v>
      </c>
      <c r="Q86" s="220"/>
      <c r="R86" s="235"/>
      <c r="S86" s="235"/>
      <c r="T86" s="235"/>
      <c r="U86" s="235"/>
      <c r="V86" s="235"/>
      <c r="W86" s="235"/>
      <c r="X86" s="241"/>
      <c r="Y86" s="295"/>
      <c r="Z86" s="246"/>
    </row>
    <row r="87" spans="1:26" s="216" customFormat="1" ht="13.5" customHeight="1" x14ac:dyDescent="0.25">
      <c r="A87" s="232">
        <v>79</v>
      </c>
      <c r="B87" s="233" t="s">
        <v>213</v>
      </c>
      <c r="C87" s="234" t="s">
        <v>214</v>
      </c>
      <c r="D87" s="813">
        <v>913</v>
      </c>
      <c r="E87" s="235">
        <v>19</v>
      </c>
      <c r="F87" s="236">
        <v>107</v>
      </c>
      <c r="G87" s="236">
        <f t="shared" si="9"/>
        <v>0</v>
      </c>
      <c r="H87" s="237"/>
      <c r="I87" s="237"/>
      <c r="J87" s="237"/>
      <c r="K87" s="238">
        <f t="shared" si="7"/>
        <v>1039</v>
      </c>
      <c r="L87" s="811">
        <v>0</v>
      </c>
      <c r="M87" s="239">
        <v>0</v>
      </c>
      <c r="N87" s="239">
        <v>0</v>
      </c>
      <c r="O87" s="239">
        <v>0</v>
      </c>
      <c r="P87" s="240">
        <f t="shared" si="10"/>
        <v>0</v>
      </c>
      <c r="Q87" s="220"/>
      <c r="R87" s="235"/>
      <c r="S87" s="235"/>
      <c r="T87" s="235"/>
      <c r="U87" s="235"/>
      <c r="V87" s="235"/>
      <c r="W87" s="235"/>
      <c r="X87" s="241"/>
      <c r="Y87" s="295"/>
      <c r="Z87" s="246"/>
    </row>
    <row r="88" spans="1:26" s="216" customFormat="1" ht="13.5" customHeight="1" x14ac:dyDescent="0.25">
      <c r="A88" s="232">
        <v>80</v>
      </c>
      <c r="B88" s="233" t="s">
        <v>215</v>
      </c>
      <c r="C88" s="234" t="s">
        <v>216</v>
      </c>
      <c r="D88" s="813">
        <v>410</v>
      </c>
      <c r="E88" s="235">
        <v>0</v>
      </c>
      <c r="F88" s="236">
        <v>0</v>
      </c>
      <c r="G88" s="236">
        <f t="shared" si="9"/>
        <v>0</v>
      </c>
      <c r="H88" s="237"/>
      <c r="I88" s="237"/>
      <c r="J88" s="237"/>
      <c r="K88" s="238">
        <f t="shared" si="7"/>
        <v>410</v>
      </c>
      <c r="L88" s="811">
        <v>0</v>
      </c>
      <c r="M88" s="239">
        <v>0</v>
      </c>
      <c r="N88" s="239">
        <v>0</v>
      </c>
      <c r="O88" s="239">
        <v>0</v>
      </c>
      <c r="P88" s="240">
        <f t="shared" si="10"/>
        <v>0</v>
      </c>
      <c r="Q88" s="220"/>
      <c r="R88" s="235"/>
      <c r="S88" s="235"/>
      <c r="T88" s="235"/>
      <c r="U88" s="235"/>
      <c r="V88" s="235"/>
      <c r="W88" s="235"/>
      <c r="X88" s="241"/>
      <c r="Y88" s="295"/>
      <c r="Z88" s="246"/>
    </row>
    <row r="89" spans="1:26" s="216" customFormat="1" ht="13.5" customHeight="1" x14ac:dyDescent="0.25">
      <c r="A89" s="232">
        <v>81</v>
      </c>
      <c r="B89" s="233" t="s">
        <v>258</v>
      </c>
      <c r="C89" s="234" t="s">
        <v>676</v>
      </c>
      <c r="D89" s="813">
        <v>2000</v>
      </c>
      <c r="E89" s="235">
        <v>307</v>
      </c>
      <c r="F89" s="236">
        <v>727</v>
      </c>
      <c r="G89" s="236">
        <f t="shared" si="9"/>
        <v>570</v>
      </c>
      <c r="H89" s="237">
        <v>458</v>
      </c>
      <c r="I89" s="237">
        <v>54</v>
      </c>
      <c r="J89" s="237">
        <v>58</v>
      </c>
      <c r="K89" s="238">
        <f t="shared" si="7"/>
        <v>3604</v>
      </c>
      <c r="L89" s="811">
        <v>300</v>
      </c>
      <c r="M89" s="239">
        <v>1124</v>
      </c>
      <c r="N89" s="239">
        <v>3891</v>
      </c>
      <c r="O89" s="239">
        <v>2636</v>
      </c>
      <c r="P89" s="240">
        <f t="shared" si="10"/>
        <v>7951</v>
      </c>
      <c r="Q89" s="220"/>
      <c r="R89" s="235"/>
      <c r="S89" s="235"/>
      <c r="T89" s="235"/>
      <c r="U89" s="235"/>
      <c r="V89" s="235"/>
      <c r="W89" s="235"/>
      <c r="X89" s="241"/>
      <c r="Y89" s="295"/>
      <c r="Z89" s="246"/>
    </row>
    <row r="90" spans="1:26" s="216" customFormat="1" ht="13.5" customHeight="1" x14ac:dyDescent="0.25">
      <c r="A90" s="232">
        <v>82</v>
      </c>
      <c r="B90" s="233" t="s">
        <v>260</v>
      </c>
      <c r="C90" s="234" t="s">
        <v>261</v>
      </c>
      <c r="D90" s="813">
        <v>3974</v>
      </c>
      <c r="E90" s="235">
        <v>3000</v>
      </c>
      <c r="F90" s="236">
        <v>2250</v>
      </c>
      <c r="G90" s="236">
        <f t="shared" si="9"/>
        <v>1597</v>
      </c>
      <c r="H90" s="237">
        <v>789</v>
      </c>
      <c r="I90" s="237">
        <v>90</v>
      </c>
      <c r="J90" s="237">
        <v>718</v>
      </c>
      <c r="K90" s="238">
        <f t="shared" si="7"/>
        <v>10821</v>
      </c>
      <c r="L90" s="811">
        <v>180</v>
      </c>
      <c r="M90" s="239">
        <v>160</v>
      </c>
      <c r="N90" s="239">
        <v>6374</v>
      </c>
      <c r="O90" s="239">
        <v>4318</v>
      </c>
      <c r="P90" s="240">
        <f t="shared" si="10"/>
        <v>11032</v>
      </c>
      <c r="Q90" s="220"/>
      <c r="R90" s="235"/>
      <c r="S90" s="235"/>
      <c r="T90" s="235"/>
      <c r="U90" s="235"/>
      <c r="V90" s="235"/>
      <c r="W90" s="235"/>
      <c r="X90" s="241"/>
      <c r="Y90" s="295"/>
      <c r="Z90" s="246"/>
    </row>
    <row r="91" spans="1:26" s="216" customFormat="1" ht="13.5" customHeight="1" x14ac:dyDescent="0.25">
      <c r="A91" s="232">
        <v>83</v>
      </c>
      <c r="B91" s="233" t="s">
        <v>264</v>
      </c>
      <c r="C91" s="234" t="s">
        <v>265</v>
      </c>
      <c r="D91" s="813">
        <v>2954</v>
      </c>
      <c r="E91" s="235">
        <v>0</v>
      </c>
      <c r="F91" s="236">
        <v>0</v>
      </c>
      <c r="G91" s="236">
        <f t="shared" si="9"/>
        <v>0</v>
      </c>
      <c r="H91" s="237"/>
      <c r="I91" s="237"/>
      <c r="J91" s="237"/>
      <c r="K91" s="238">
        <f t="shared" si="7"/>
        <v>2954</v>
      </c>
      <c r="L91" s="811">
        <v>0</v>
      </c>
      <c r="M91" s="239">
        <v>0</v>
      </c>
      <c r="N91" s="239">
        <v>0</v>
      </c>
      <c r="O91" s="239">
        <v>0</v>
      </c>
      <c r="P91" s="240">
        <f t="shared" si="10"/>
        <v>0</v>
      </c>
      <c r="Q91" s="220"/>
      <c r="R91" s="235"/>
      <c r="S91" s="235"/>
      <c r="T91" s="235"/>
      <c r="U91" s="235"/>
      <c r="V91" s="235"/>
      <c r="W91" s="235"/>
      <c r="X91" s="241"/>
      <c r="Y91" s="295"/>
      <c r="Z91" s="246"/>
    </row>
    <row r="92" spans="1:26" s="216" customFormat="1" ht="13.5" customHeight="1" x14ac:dyDescent="0.25">
      <c r="A92" s="232">
        <v>84</v>
      </c>
      <c r="B92" s="233" t="s">
        <v>270</v>
      </c>
      <c r="C92" s="234" t="s">
        <v>271</v>
      </c>
      <c r="D92" s="813">
        <v>0</v>
      </c>
      <c r="E92" s="235">
        <v>0</v>
      </c>
      <c r="F92" s="236">
        <v>0</v>
      </c>
      <c r="G92" s="236">
        <f t="shared" si="9"/>
        <v>0</v>
      </c>
      <c r="H92" s="237"/>
      <c r="I92" s="237"/>
      <c r="J92" s="237"/>
      <c r="K92" s="238">
        <v>0</v>
      </c>
      <c r="L92" s="811">
        <v>0</v>
      </c>
      <c r="M92" s="239">
        <v>0</v>
      </c>
      <c r="N92" s="239">
        <v>0</v>
      </c>
      <c r="O92" s="239">
        <v>0</v>
      </c>
      <c r="P92" s="240">
        <v>0</v>
      </c>
      <c r="Q92" s="220">
        <v>183</v>
      </c>
      <c r="R92" s="235">
        <v>479</v>
      </c>
      <c r="S92" s="235">
        <v>290</v>
      </c>
      <c r="T92" s="235">
        <v>290</v>
      </c>
      <c r="U92" s="235">
        <v>393</v>
      </c>
      <c r="V92" s="235">
        <v>1050</v>
      </c>
      <c r="W92" s="235">
        <v>1119</v>
      </c>
      <c r="X92" s="241">
        <v>10</v>
      </c>
      <c r="Y92" s="295">
        <v>3814</v>
      </c>
      <c r="Z92" s="246"/>
    </row>
    <row r="93" spans="1:26" s="216" customFormat="1" ht="13.5" customHeight="1" x14ac:dyDescent="0.25">
      <c r="A93" s="232">
        <v>85</v>
      </c>
      <c r="B93" s="248" t="s">
        <v>272</v>
      </c>
      <c r="C93" s="249" t="s">
        <v>273</v>
      </c>
      <c r="D93" s="813">
        <v>792</v>
      </c>
      <c r="E93" s="235">
        <v>0</v>
      </c>
      <c r="F93" s="236">
        <v>0</v>
      </c>
      <c r="G93" s="236">
        <f t="shared" si="9"/>
        <v>0</v>
      </c>
      <c r="H93" s="237"/>
      <c r="I93" s="237"/>
      <c r="J93" s="237"/>
      <c r="K93" s="238">
        <f>D93+E93+F93+G93</f>
        <v>792</v>
      </c>
      <c r="L93" s="811">
        <v>0</v>
      </c>
      <c r="M93" s="239">
        <v>0</v>
      </c>
      <c r="N93" s="239">
        <v>0</v>
      </c>
      <c r="O93" s="239">
        <v>0</v>
      </c>
      <c r="P93" s="240">
        <f>L93+M93+N93+O93</f>
        <v>0</v>
      </c>
      <c r="Q93" s="220"/>
      <c r="R93" s="235"/>
      <c r="S93" s="235"/>
      <c r="T93" s="235"/>
      <c r="U93" s="235"/>
      <c r="V93" s="235"/>
      <c r="W93" s="235"/>
      <c r="X93" s="241"/>
      <c r="Y93" s="295"/>
      <c r="Z93" s="246"/>
    </row>
    <row r="94" spans="1:26" s="216" customFormat="1" ht="13.5" customHeight="1" x14ac:dyDescent="0.25">
      <c r="A94" s="232">
        <v>86</v>
      </c>
      <c r="B94" s="233" t="s">
        <v>274</v>
      </c>
      <c r="C94" s="234" t="s">
        <v>275</v>
      </c>
      <c r="D94" s="813">
        <v>1560</v>
      </c>
      <c r="E94" s="235">
        <v>0</v>
      </c>
      <c r="F94" s="236">
        <v>0</v>
      </c>
      <c r="G94" s="236">
        <f t="shared" si="9"/>
        <v>0</v>
      </c>
      <c r="H94" s="237"/>
      <c r="I94" s="237"/>
      <c r="J94" s="237"/>
      <c r="K94" s="238">
        <f>D94+E94+F94+G94</f>
        <v>1560</v>
      </c>
      <c r="L94" s="811">
        <v>0</v>
      </c>
      <c r="M94" s="239">
        <v>0</v>
      </c>
      <c r="N94" s="239">
        <v>0</v>
      </c>
      <c r="O94" s="239">
        <v>0</v>
      </c>
      <c r="P94" s="240">
        <f>L94+M94+N94+O94</f>
        <v>0</v>
      </c>
      <c r="Q94" s="220"/>
      <c r="R94" s="235"/>
      <c r="S94" s="235"/>
      <c r="T94" s="235"/>
      <c r="U94" s="235"/>
      <c r="V94" s="235"/>
      <c r="W94" s="235"/>
      <c r="X94" s="241"/>
      <c r="Y94" s="295"/>
      <c r="Z94" s="246"/>
    </row>
    <row r="95" spans="1:26" s="216" customFormat="1" ht="13.5" customHeight="1" x14ac:dyDescent="0.25">
      <c r="A95" s="232">
        <v>87</v>
      </c>
      <c r="B95" s="233" t="s">
        <v>276</v>
      </c>
      <c r="C95" s="234" t="s">
        <v>277</v>
      </c>
      <c r="D95" s="813">
        <v>1533</v>
      </c>
      <c r="E95" s="235">
        <v>59</v>
      </c>
      <c r="F95" s="236">
        <v>275</v>
      </c>
      <c r="G95" s="236">
        <f t="shared" si="9"/>
        <v>0</v>
      </c>
      <c r="H95" s="237"/>
      <c r="I95" s="237"/>
      <c r="J95" s="237"/>
      <c r="K95" s="238">
        <f>D95+E95+F95+G95</f>
        <v>1867</v>
      </c>
      <c r="L95" s="811">
        <v>0</v>
      </c>
      <c r="M95" s="239">
        <v>0</v>
      </c>
      <c r="N95" s="239">
        <v>0</v>
      </c>
      <c r="O95" s="239">
        <v>0</v>
      </c>
      <c r="P95" s="240">
        <f>L95+M95+N95+O95</f>
        <v>0</v>
      </c>
      <c r="Q95" s="220"/>
      <c r="R95" s="235"/>
      <c r="S95" s="235"/>
      <c r="T95" s="235"/>
      <c r="U95" s="235"/>
      <c r="V95" s="235"/>
      <c r="W95" s="235"/>
      <c r="X95" s="241"/>
      <c r="Y95" s="295"/>
      <c r="Z95" s="246"/>
    </row>
    <row r="96" spans="1:26" s="216" customFormat="1" ht="13.5" customHeight="1" thickBot="1" x14ac:dyDescent="0.3">
      <c r="A96" s="286">
        <v>88</v>
      </c>
      <c r="B96" s="287" t="s">
        <v>278</v>
      </c>
      <c r="C96" s="288" t="s">
        <v>279</v>
      </c>
      <c r="D96" s="814">
        <v>2347</v>
      </c>
      <c r="E96" s="289">
        <v>91</v>
      </c>
      <c r="F96" s="815">
        <v>275</v>
      </c>
      <c r="G96" s="815">
        <f t="shared" si="9"/>
        <v>547</v>
      </c>
      <c r="H96" s="290">
        <v>375</v>
      </c>
      <c r="I96" s="290">
        <v>50</v>
      </c>
      <c r="J96" s="290">
        <v>122</v>
      </c>
      <c r="K96" s="291">
        <f>D96+E96+F96+G96</f>
        <v>3260</v>
      </c>
      <c r="L96" s="812">
        <v>100</v>
      </c>
      <c r="M96" s="292">
        <v>950</v>
      </c>
      <c r="N96" s="292">
        <v>2508</v>
      </c>
      <c r="O96" s="292">
        <v>1007</v>
      </c>
      <c r="P96" s="293">
        <f>L96+M96+N96+O96</f>
        <v>4565</v>
      </c>
      <c r="Q96" s="296"/>
      <c r="R96" s="289"/>
      <c r="S96" s="289"/>
      <c r="T96" s="289"/>
      <c r="U96" s="289"/>
      <c r="V96" s="289"/>
      <c r="W96" s="289"/>
      <c r="X96" s="297"/>
      <c r="Y96" s="298"/>
      <c r="Z96" s="246"/>
    </row>
    <row r="97" spans="1:25" s="216" customFormat="1" ht="13.5" customHeight="1" x14ac:dyDescent="0.25">
      <c r="A97" s="250"/>
      <c r="B97" s="250"/>
      <c r="C97" s="251"/>
      <c r="D97" s="250"/>
      <c r="E97" s="250"/>
      <c r="F97" s="252"/>
      <c r="G97" s="252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</row>
    <row r="98" spans="1:25" s="216" customFormat="1" ht="13.5" customHeight="1" x14ac:dyDescent="0.25">
      <c r="A98" s="253"/>
      <c r="B98" s="253"/>
      <c r="C98" s="210"/>
      <c r="D98" s="250"/>
      <c r="E98" s="250"/>
      <c r="F98" s="254"/>
      <c r="G98" s="254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</row>
    <row r="99" spans="1:25" s="253" customFormat="1" x14ac:dyDescent="0.25">
      <c r="C99" s="210"/>
      <c r="F99" s="254"/>
      <c r="G99" s="254"/>
    </row>
    <row r="100" spans="1:25" s="253" customFormat="1" x14ac:dyDescent="0.25">
      <c r="C100" s="210"/>
      <c r="F100" s="254"/>
      <c r="G100" s="254"/>
    </row>
    <row r="101" spans="1:25" s="253" customFormat="1" x14ac:dyDescent="0.25">
      <c r="C101" s="210"/>
      <c r="F101" s="254"/>
      <c r="G101" s="254"/>
    </row>
    <row r="102" spans="1:25" s="253" customFormat="1" x14ac:dyDescent="0.25">
      <c r="C102" s="210"/>
      <c r="F102" s="254"/>
      <c r="G102" s="254"/>
    </row>
    <row r="103" spans="1:25" s="253" customFormat="1" x14ac:dyDescent="0.25">
      <c r="C103" s="210"/>
      <c r="F103" s="254"/>
      <c r="G103" s="254"/>
    </row>
    <row r="104" spans="1:25" s="253" customFormat="1" x14ac:dyDescent="0.25">
      <c r="C104" s="210"/>
      <c r="F104" s="254"/>
      <c r="G104" s="254"/>
    </row>
    <row r="105" spans="1:25" s="253" customFormat="1" x14ac:dyDescent="0.25">
      <c r="C105" s="210"/>
      <c r="F105" s="254"/>
      <c r="G105" s="254"/>
    </row>
    <row r="106" spans="1:25" s="253" customFormat="1" x14ac:dyDescent="0.25">
      <c r="C106" s="210"/>
      <c r="F106" s="254"/>
      <c r="G106" s="254"/>
    </row>
    <row r="107" spans="1:25" s="253" customFormat="1" x14ac:dyDescent="0.25">
      <c r="C107" s="210"/>
      <c r="F107" s="254"/>
      <c r="G107" s="254"/>
    </row>
    <row r="108" spans="1:25" s="253" customFormat="1" x14ac:dyDescent="0.25">
      <c r="C108" s="210"/>
      <c r="F108" s="254"/>
      <c r="G108" s="254"/>
    </row>
    <row r="109" spans="1:25" s="253" customFormat="1" x14ac:dyDescent="0.25">
      <c r="C109" s="210"/>
      <c r="F109" s="254"/>
      <c r="G109" s="254"/>
    </row>
    <row r="110" spans="1:25" s="253" customFormat="1" x14ac:dyDescent="0.25">
      <c r="C110" s="210"/>
      <c r="F110" s="254"/>
      <c r="G110" s="254"/>
    </row>
    <row r="111" spans="1:25" s="253" customFormat="1" x14ac:dyDescent="0.25">
      <c r="C111" s="210"/>
      <c r="F111" s="254"/>
      <c r="G111" s="254"/>
    </row>
    <row r="112" spans="1:25" s="253" customFormat="1" x14ac:dyDescent="0.25">
      <c r="C112" s="210"/>
      <c r="F112" s="254"/>
      <c r="G112" s="254"/>
    </row>
    <row r="113" spans="3:7" s="253" customFormat="1" x14ac:dyDescent="0.25">
      <c r="C113" s="210"/>
      <c r="F113" s="254"/>
      <c r="G113" s="254"/>
    </row>
    <row r="114" spans="3:7" s="253" customFormat="1" x14ac:dyDescent="0.25">
      <c r="C114" s="210"/>
      <c r="F114" s="254"/>
      <c r="G114" s="254"/>
    </row>
    <row r="115" spans="3:7" s="253" customFormat="1" x14ac:dyDescent="0.25">
      <c r="C115" s="210"/>
      <c r="F115" s="254"/>
      <c r="G115" s="254"/>
    </row>
    <row r="116" spans="3:7" s="253" customFormat="1" x14ac:dyDescent="0.25">
      <c r="C116" s="210"/>
      <c r="F116" s="254"/>
      <c r="G116" s="254"/>
    </row>
    <row r="117" spans="3:7" s="253" customFormat="1" x14ac:dyDescent="0.25">
      <c r="C117" s="210"/>
      <c r="F117" s="254"/>
      <c r="G117" s="254"/>
    </row>
    <row r="118" spans="3:7" s="253" customFormat="1" x14ac:dyDescent="0.25">
      <c r="C118" s="210"/>
      <c r="F118" s="254"/>
      <c r="G118" s="254"/>
    </row>
    <row r="119" spans="3:7" s="253" customFormat="1" x14ac:dyDescent="0.25">
      <c r="C119" s="210"/>
      <c r="F119" s="254"/>
      <c r="G119" s="254"/>
    </row>
    <row r="120" spans="3:7" s="253" customFormat="1" x14ac:dyDescent="0.25">
      <c r="C120" s="210"/>
      <c r="F120" s="254"/>
      <c r="G120" s="254"/>
    </row>
    <row r="121" spans="3:7" s="253" customFormat="1" x14ac:dyDescent="0.25">
      <c r="C121" s="210"/>
      <c r="F121" s="254"/>
      <c r="G121" s="254"/>
    </row>
    <row r="122" spans="3:7" s="253" customFormat="1" x14ac:dyDescent="0.25">
      <c r="C122" s="210"/>
      <c r="F122" s="254"/>
      <c r="G122" s="254"/>
    </row>
    <row r="123" spans="3:7" s="253" customFormat="1" x14ac:dyDescent="0.25">
      <c r="C123" s="210"/>
      <c r="F123" s="254"/>
      <c r="G123" s="254"/>
    </row>
    <row r="124" spans="3:7" s="253" customFormat="1" x14ac:dyDescent="0.25">
      <c r="C124" s="210"/>
      <c r="F124" s="254"/>
      <c r="G124" s="254"/>
    </row>
    <row r="125" spans="3:7" s="253" customFormat="1" x14ac:dyDescent="0.25">
      <c r="C125" s="210"/>
      <c r="F125" s="254"/>
      <c r="G125" s="254"/>
    </row>
    <row r="126" spans="3:7" s="253" customFormat="1" x14ac:dyDescent="0.25">
      <c r="C126" s="210"/>
      <c r="F126" s="254"/>
      <c r="G126" s="254"/>
    </row>
    <row r="127" spans="3:7" s="253" customFormat="1" x14ac:dyDescent="0.25">
      <c r="C127" s="210"/>
      <c r="F127" s="254"/>
      <c r="G127" s="254"/>
    </row>
    <row r="128" spans="3:7" s="253" customFormat="1" x14ac:dyDescent="0.25">
      <c r="C128" s="210"/>
      <c r="F128" s="254"/>
      <c r="G128" s="254"/>
    </row>
    <row r="129" spans="3:7" s="253" customFormat="1" x14ac:dyDescent="0.25">
      <c r="C129" s="210"/>
      <c r="F129" s="254"/>
      <c r="G129" s="254"/>
    </row>
    <row r="130" spans="3:7" s="253" customFormat="1" x14ac:dyDescent="0.25">
      <c r="C130" s="210"/>
      <c r="F130" s="254"/>
      <c r="G130" s="254"/>
    </row>
    <row r="131" spans="3:7" s="253" customFormat="1" x14ac:dyDescent="0.25">
      <c r="C131" s="210"/>
      <c r="F131" s="254"/>
      <c r="G131" s="254"/>
    </row>
    <row r="132" spans="3:7" s="253" customFormat="1" x14ac:dyDescent="0.25">
      <c r="C132" s="210"/>
      <c r="F132" s="254"/>
      <c r="G132" s="254"/>
    </row>
    <row r="133" spans="3:7" s="253" customFormat="1" x14ac:dyDescent="0.25">
      <c r="C133" s="210"/>
      <c r="F133" s="254"/>
      <c r="G133" s="254"/>
    </row>
    <row r="134" spans="3:7" s="253" customFormat="1" x14ac:dyDescent="0.25">
      <c r="C134" s="210"/>
      <c r="F134" s="254"/>
      <c r="G134" s="254"/>
    </row>
    <row r="135" spans="3:7" s="253" customFormat="1" x14ac:dyDescent="0.25">
      <c r="C135" s="210"/>
      <c r="F135" s="254"/>
      <c r="G135" s="254"/>
    </row>
    <row r="136" spans="3:7" s="253" customFormat="1" x14ac:dyDescent="0.25">
      <c r="C136" s="210"/>
      <c r="F136" s="254"/>
      <c r="G136" s="254"/>
    </row>
    <row r="137" spans="3:7" s="253" customFormat="1" x14ac:dyDescent="0.25">
      <c r="C137" s="210"/>
      <c r="F137" s="254"/>
      <c r="G137" s="254"/>
    </row>
    <row r="138" spans="3:7" s="253" customFormat="1" x14ac:dyDescent="0.25">
      <c r="C138" s="210"/>
      <c r="F138" s="254"/>
      <c r="G138" s="254"/>
    </row>
    <row r="139" spans="3:7" s="253" customFormat="1" x14ac:dyDescent="0.25">
      <c r="C139" s="210"/>
      <c r="F139" s="254"/>
      <c r="G139" s="254"/>
    </row>
    <row r="140" spans="3:7" s="253" customFormat="1" x14ac:dyDescent="0.25">
      <c r="C140" s="210"/>
      <c r="F140" s="254"/>
      <c r="G140" s="254"/>
    </row>
    <row r="141" spans="3:7" s="253" customFormat="1" x14ac:dyDescent="0.25">
      <c r="C141" s="210"/>
      <c r="F141" s="254"/>
      <c r="G141" s="254"/>
    </row>
    <row r="142" spans="3:7" s="253" customFormat="1" x14ac:dyDescent="0.25">
      <c r="C142" s="210"/>
      <c r="F142" s="254"/>
      <c r="G142" s="254"/>
    </row>
    <row r="143" spans="3:7" s="253" customFormat="1" x14ac:dyDescent="0.25">
      <c r="C143" s="210"/>
      <c r="F143" s="254"/>
      <c r="G143" s="254"/>
    </row>
    <row r="144" spans="3:7" s="253" customFormat="1" x14ac:dyDescent="0.25">
      <c r="C144" s="210"/>
      <c r="F144" s="254"/>
      <c r="G144" s="254"/>
    </row>
    <row r="145" spans="3:7" s="253" customFormat="1" x14ac:dyDescent="0.25">
      <c r="C145" s="210"/>
      <c r="F145" s="254"/>
      <c r="G145" s="254"/>
    </row>
    <row r="146" spans="3:7" s="253" customFormat="1" x14ac:dyDescent="0.25">
      <c r="C146" s="210"/>
      <c r="F146" s="254"/>
      <c r="G146" s="254"/>
    </row>
    <row r="147" spans="3:7" s="253" customFormat="1" x14ac:dyDescent="0.25">
      <c r="C147" s="210"/>
      <c r="F147" s="254"/>
      <c r="G147" s="254"/>
    </row>
    <row r="148" spans="3:7" s="253" customFormat="1" x14ac:dyDescent="0.25">
      <c r="C148" s="210"/>
      <c r="F148" s="254"/>
      <c r="G148" s="254"/>
    </row>
    <row r="149" spans="3:7" s="253" customFormat="1" x14ac:dyDescent="0.25">
      <c r="C149" s="210"/>
      <c r="F149" s="254"/>
      <c r="G149" s="254"/>
    </row>
    <row r="150" spans="3:7" s="253" customFormat="1" x14ac:dyDescent="0.25">
      <c r="C150" s="210"/>
      <c r="F150" s="254"/>
      <c r="G150" s="254"/>
    </row>
    <row r="151" spans="3:7" s="253" customFormat="1" x14ac:dyDescent="0.25">
      <c r="C151" s="210"/>
      <c r="F151" s="254"/>
      <c r="G151" s="254"/>
    </row>
    <row r="152" spans="3:7" s="253" customFormat="1" x14ac:dyDescent="0.25">
      <c r="C152" s="210"/>
      <c r="F152" s="254"/>
      <c r="G152" s="254"/>
    </row>
    <row r="153" spans="3:7" s="253" customFormat="1" x14ac:dyDescent="0.25">
      <c r="C153" s="210"/>
      <c r="F153" s="254"/>
      <c r="G153" s="254"/>
    </row>
    <row r="154" spans="3:7" s="253" customFormat="1" x14ac:dyDescent="0.25">
      <c r="C154" s="210"/>
      <c r="F154" s="254"/>
      <c r="G154" s="254"/>
    </row>
    <row r="155" spans="3:7" s="253" customFormat="1" x14ac:dyDescent="0.25">
      <c r="C155" s="210"/>
      <c r="F155" s="254"/>
      <c r="G155" s="254"/>
    </row>
    <row r="156" spans="3:7" s="253" customFormat="1" x14ac:dyDescent="0.25">
      <c r="C156" s="210"/>
      <c r="F156" s="254"/>
      <c r="G156" s="254"/>
    </row>
    <row r="157" spans="3:7" s="253" customFormat="1" x14ac:dyDescent="0.25">
      <c r="C157" s="210"/>
      <c r="F157" s="254"/>
      <c r="G157" s="254"/>
    </row>
    <row r="158" spans="3:7" s="253" customFormat="1" x14ac:dyDescent="0.25">
      <c r="C158" s="210"/>
      <c r="F158" s="254"/>
      <c r="G158" s="254"/>
    </row>
    <row r="159" spans="3:7" s="253" customFormat="1" x14ac:dyDescent="0.25">
      <c r="C159" s="210"/>
      <c r="F159" s="254"/>
      <c r="G159" s="254"/>
    </row>
    <row r="160" spans="3:7" s="253" customFormat="1" x14ac:dyDescent="0.25">
      <c r="C160" s="210"/>
      <c r="F160" s="254"/>
      <c r="G160" s="254"/>
    </row>
    <row r="161" spans="3:7" s="253" customFormat="1" x14ac:dyDescent="0.25">
      <c r="C161" s="210"/>
      <c r="F161" s="254"/>
      <c r="G161" s="254"/>
    </row>
    <row r="162" spans="3:7" s="253" customFormat="1" x14ac:dyDescent="0.25">
      <c r="C162" s="210"/>
      <c r="F162" s="254"/>
      <c r="G162" s="254"/>
    </row>
    <row r="163" spans="3:7" s="253" customFormat="1" x14ac:dyDescent="0.25">
      <c r="C163" s="210"/>
      <c r="F163" s="254"/>
      <c r="G163" s="254"/>
    </row>
    <row r="164" spans="3:7" s="253" customFormat="1" x14ac:dyDescent="0.25">
      <c r="C164" s="210"/>
      <c r="F164" s="254"/>
      <c r="G164" s="254"/>
    </row>
    <row r="165" spans="3:7" s="253" customFormat="1" x14ac:dyDescent="0.25">
      <c r="C165" s="210"/>
      <c r="F165" s="254"/>
      <c r="G165" s="254"/>
    </row>
    <row r="166" spans="3:7" s="253" customFormat="1" x14ac:dyDescent="0.25">
      <c r="C166" s="210"/>
      <c r="F166" s="254"/>
      <c r="G166" s="254"/>
    </row>
    <row r="167" spans="3:7" s="253" customFormat="1" x14ac:dyDescent="0.25">
      <c r="C167" s="210"/>
      <c r="F167" s="254"/>
      <c r="G167" s="254"/>
    </row>
    <row r="168" spans="3:7" s="253" customFormat="1" x14ac:dyDescent="0.25">
      <c r="C168" s="210"/>
      <c r="F168" s="254"/>
      <c r="G168" s="254"/>
    </row>
    <row r="169" spans="3:7" s="253" customFormat="1" x14ac:dyDescent="0.25">
      <c r="C169" s="210"/>
      <c r="F169" s="254"/>
      <c r="G169" s="254"/>
    </row>
    <row r="170" spans="3:7" s="253" customFormat="1" x14ac:dyDescent="0.25">
      <c r="C170" s="210"/>
      <c r="F170" s="254"/>
      <c r="G170" s="254"/>
    </row>
    <row r="171" spans="3:7" s="253" customFormat="1" x14ac:dyDescent="0.25">
      <c r="C171" s="210"/>
      <c r="F171" s="254"/>
      <c r="G171" s="254"/>
    </row>
    <row r="172" spans="3:7" s="253" customFormat="1" x14ac:dyDescent="0.25">
      <c r="C172" s="210"/>
      <c r="F172" s="254"/>
      <c r="G172" s="254"/>
    </row>
    <row r="173" spans="3:7" s="253" customFormat="1" x14ac:dyDescent="0.25">
      <c r="C173" s="210"/>
      <c r="F173" s="254"/>
      <c r="G173" s="254"/>
    </row>
    <row r="174" spans="3:7" s="253" customFormat="1" x14ac:dyDescent="0.25">
      <c r="C174" s="210"/>
      <c r="F174" s="254"/>
      <c r="G174" s="254"/>
    </row>
    <row r="175" spans="3:7" s="253" customFormat="1" x14ac:dyDescent="0.25">
      <c r="C175" s="210"/>
      <c r="F175" s="254"/>
      <c r="G175" s="254"/>
    </row>
    <row r="176" spans="3:7" s="253" customFormat="1" x14ac:dyDescent="0.25">
      <c r="C176" s="210"/>
      <c r="F176" s="254"/>
      <c r="G176" s="254"/>
    </row>
    <row r="177" spans="3:7" s="253" customFormat="1" x14ac:dyDescent="0.25">
      <c r="C177" s="210"/>
      <c r="F177" s="254"/>
      <c r="G177" s="254"/>
    </row>
    <row r="178" spans="3:7" s="253" customFormat="1" x14ac:dyDescent="0.25">
      <c r="C178" s="210"/>
      <c r="F178" s="254"/>
      <c r="G178" s="254"/>
    </row>
    <row r="179" spans="3:7" s="253" customFormat="1" x14ac:dyDescent="0.25">
      <c r="C179" s="210"/>
      <c r="F179" s="254"/>
      <c r="G179" s="254"/>
    </row>
    <row r="180" spans="3:7" s="253" customFormat="1" x14ac:dyDescent="0.25">
      <c r="C180" s="210"/>
      <c r="F180" s="254"/>
      <c r="G180" s="254"/>
    </row>
    <row r="181" spans="3:7" s="253" customFormat="1" x14ac:dyDescent="0.25">
      <c r="C181" s="210"/>
      <c r="F181" s="254"/>
      <c r="G181" s="254"/>
    </row>
    <row r="182" spans="3:7" s="253" customFormat="1" x14ac:dyDescent="0.25">
      <c r="C182" s="210"/>
      <c r="F182" s="254"/>
      <c r="G182" s="254"/>
    </row>
    <row r="183" spans="3:7" s="253" customFormat="1" x14ac:dyDescent="0.25">
      <c r="C183" s="210"/>
      <c r="F183" s="254"/>
      <c r="G183" s="254"/>
    </row>
    <row r="184" spans="3:7" s="253" customFormat="1" x14ac:dyDescent="0.25">
      <c r="C184" s="210"/>
      <c r="F184" s="254"/>
      <c r="G184" s="254"/>
    </row>
    <row r="185" spans="3:7" s="253" customFormat="1" x14ac:dyDescent="0.25">
      <c r="C185" s="210"/>
      <c r="F185" s="254"/>
      <c r="G185" s="254"/>
    </row>
    <row r="186" spans="3:7" s="253" customFormat="1" x14ac:dyDescent="0.25">
      <c r="C186" s="210"/>
      <c r="F186" s="254"/>
      <c r="G186" s="254"/>
    </row>
    <row r="187" spans="3:7" s="253" customFormat="1" x14ac:dyDescent="0.25">
      <c r="C187" s="210"/>
      <c r="F187" s="254"/>
      <c r="G187" s="254"/>
    </row>
    <row r="188" spans="3:7" s="253" customFormat="1" x14ac:dyDescent="0.25">
      <c r="C188" s="210"/>
      <c r="F188" s="254"/>
      <c r="G188" s="254"/>
    </row>
    <row r="189" spans="3:7" s="253" customFormat="1" x14ac:dyDescent="0.25">
      <c r="C189" s="210"/>
      <c r="F189" s="254"/>
      <c r="G189" s="254"/>
    </row>
    <row r="190" spans="3:7" s="253" customFormat="1" x14ac:dyDescent="0.25">
      <c r="C190" s="210"/>
      <c r="F190" s="254"/>
      <c r="G190" s="254"/>
    </row>
    <row r="191" spans="3:7" s="253" customFormat="1" x14ac:dyDescent="0.25">
      <c r="C191" s="210"/>
      <c r="F191" s="254"/>
      <c r="G191" s="254"/>
    </row>
    <row r="192" spans="3:7" s="253" customFormat="1" x14ac:dyDescent="0.25">
      <c r="C192" s="210"/>
      <c r="F192" s="254"/>
      <c r="G192" s="254"/>
    </row>
    <row r="193" spans="3:7" s="253" customFormat="1" x14ac:dyDescent="0.25">
      <c r="C193" s="210"/>
      <c r="F193" s="254"/>
      <c r="G193" s="254"/>
    </row>
    <row r="194" spans="3:7" s="253" customFormat="1" x14ac:dyDescent="0.25">
      <c r="C194" s="210"/>
      <c r="F194" s="254"/>
      <c r="G194" s="254"/>
    </row>
    <row r="195" spans="3:7" s="253" customFormat="1" x14ac:dyDescent="0.25">
      <c r="C195" s="210"/>
      <c r="F195" s="254"/>
      <c r="G195" s="254"/>
    </row>
    <row r="196" spans="3:7" s="253" customFormat="1" x14ac:dyDescent="0.25">
      <c r="C196" s="210"/>
      <c r="F196" s="254"/>
      <c r="G196" s="254"/>
    </row>
    <row r="197" spans="3:7" s="253" customFormat="1" x14ac:dyDescent="0.25">
      <c r="C197" s="210"/>
      <c r="F197" s="254"/>
      <c r="G197" s="254"/>
    </row>
    <row r="198" spans="3:7" s="253" customFormat="1" x14ac:dyDescent="0.25">
      <c r="C198" s="210"/>
      <c r="F198" s="254"/>
      <c r="G198" s="254"/>
    </row>
    <row r="199" spans="3:7" s="253" customFormat="1" x14ac:dyDescent="0.25">
      <c r="C199" s="210"/>
      <c r="F199" s="254"/>
      <c r="G199" s="254"/>
    </row>
    <row r="200" spans="3:7" s="253" customFormat="1" x14ac:dyDescent="0.25">
      <c r="C200" s="210"/>
      <c r="F200" s="254"/>
      <c r="G200" s="254"/>
    </row>
    <row r="201" spans="3:7" s="253" customFormat="1" x14ac:dyDescent="0.25">
      <c r="C201" s="210"/>
      <c r="F201" s="254"/>
      <c r="G201" s="254"/>
    </row>
    <row r="202" spans="3:7" s="253" customFormat="1" x14ac:dyDescent="0.25">
      <c r="C202" s="210"/>
      <c r="F202" s="254"/>
      <c r="G202" s="254"/>
    </row>
    <row r="203" spans="3:7" s="253" customFormat="1" x14ac:dyDescent="0.25">
      <c r="C203" s="210"/>
      <c r="F203" s="254"/>
      <c r="G203" s="254"/>
    </row>
    <row r="204" spans="3:7" s="253" customFormat="1" x14ac:dyDescent="0.25">
      <c r="C204" s="210"/>
      <c r="F204" s="254"/>
      <c r="G204" s="254"/>
    </row>
    <row r="205" spans="3:7" s="253" customFormat="1" x14ac:dyDescent="0.25">
      <c r="C205" s="210"/>
      <c r="F205" s="254"/>
      <c r="G205" s="254"/>
    </row>
    <row r="206" spans="3:7" s="253" customFormat="1" x14ac:dyDescent="0.25">
      <c r="C206" s="210"/>
      <c r="F206" s="254"/>
      <c r="G206" s="254"/>
    </row>
    <row r="207" spans="3:7" s="253" customFormat="1" x14ac:dyDescent="0.25">
      <c r="C207" s="210"/>
      <c r="F207" s="254"/>
      <c r="G207" s="254"/>
    </row>
    <row r="208" spans="3:7" s="253" customFormat="1" x14ac:dyDescent="0.25">
      <c r="C208" s="210"/>
      <c r="F208" s="254"/>
      <c r="G208" s="254"/>
    </row>
    <row r="209" spans="3:7" s="253" customFormat="1" x14ac:dyDescent="0.25">
      <c r="C209" s="210"/>
      <c r="F209" s="254"/>
      <c r="G209" s="254"/>
    </row>
    <row r="210" spans="3:7" s="253" customFormat="1" x14ac:dyDescent="0.25">
      <c r="C210" s="210"/>
      <c r="F210" s="254"/>
      <c r="G210" s="254"/>
    </row>
    <row r="211" spans="3:7" s="253" customFormat="1" x14ac:dyDescent="0.25">
      <c r="C211" s="210"/>
      <c r="F211" s="254"/>
      <c r="G211" s="254"/>
    </row>
    <row r="212" spans="3:7" s="253" customFormat="1" x14ac:dyDescent="0.25">
      <c r="C212" s="210"/>
      <c r="F212" s="254"/>
      <c r="G212" s="254"/>
    </row>
    <row r="213" spans="3:7" s="253" customFormat="1" x14ac:dyDescent="0.25">
      <c r="C213" s="210"/>
      <c r="F213" s="254"/>
      <c r="G213" s="254"/>
    </row>
    <row r="214" spans="3:7" s="253" customFormat="1" x14ac:dyDescent="0.25">
      <c r="C214" s="210"/>
      <c r="F214" s="254"/>
      <c r="G214" s="254"/>
    </row>
    <row r="215" spans="3:7" s="253" customFormat="1" x14ac:dyDescent="0.25">
      <c r="C215" s="210"/>
      <c r="F215" s="254"/>
      <c r="G215" s="254"/>
    </row>
    <row r="216" spans="3:7" s="253" customFormat="1" x14ac:dyDescent="0.25">
      <c r="C216" s="210"/>
      <c r="F216" s="254"/>
      <c r="G216" s="254"/>
    </row>
    <row r="217" spans="3:7" s="253" customFormat="1" x14ac:dyDescent="0.25">
      <c r="C217" s="210"/>
      <c r="F217" s="254"/>
      <c r="G217" s="254"/>
    </row>
    <row r="218" spans="3:7" s="253" customFormat="1" x14ac:dyDescent="0.25">
      <c r="C218" s="210"/>
      <c r="F218" s="254"/>
      <c r="G218" s="254"/>
    </row>
    <row r="219" spans="3:7" s="253" customFormat="1" x14ac:dyDescent="0.25">
      <c r="C219" s="210"/>
      <c r="F219" s="254"/>
      <c r="G219" s="254"/>
    </row>
    <row r="220" spans="3:7" s="253" customFormat="1" x14ac:dyDescent="0.25">
      <c r="C220" s="210"/>
      <c r="F220" s="254"/>
      <c r="G220" s="254"/>
    </row>
    <row r="221" spans="3:7" s="253" customFormat="1" x14ac:dyDescent="0.25">
      <c r="C221" s="210"/>
      <c r="F221" s="254"/>
      <c r="G221" s="254"/>
    </row>
    <row r="222" spans="3:7" s="253" customFormat="1" x14ac:dyDescent="0.25">
      <c r="C222" s="210"/>
      <c r="F222" s="254"/>
      <c r="G222" s="254"/>
    </row>
    <row r="223" spans="3:7" s="253" customFormat="1" x14ac:dyDescent="0.25">
      <c r="C223" s="210"/>
      <c r="F223" s="254"/>
      <c r="G223" s="254"/>
    </row>
    <row r="224" spans="3:7" s="253" customFormat="1" x14ac:dyDescent="0.25">
      <c r="C224" s="210"/>
      <c r="F224" s="254"/>
      <c r="G224" s="254"/>
    </row>
    <row r="225" spans="1:25" s="253" customFormat="1" x14ac:dyDescent="0.25">
      <c r="C225" s="210"/>
      <c r="F225" s="254"/>
      <c r="G225" s="254"/>
    </row>
    <row r="226" spans="1:25" s="253" customFormat="1" x14ac:dyDescent="0.25">
      <c r="C226" s="210"/>
      <c r="F226" s="254"/>
      <c r="G226" s="254"/>
    </row>
    <row r="227" spans="1:25" s="253" customFormat="1" x14ac:dyDescent="0.25">
      <c r="C227" s="210"/>
      <c r="F227" s="254"/>
      <c r="G227" s="254"/>
    </row>
    <row r="228" spans="1:25" s="253" customFormat="1" x14ac:dyDescent="0.25">
      <c r="C228" s="210"/>
      <c r="F228" s="254"/>
      <c r="G228" s="254"/>
    </row>
    <row r="229" spans="1:25" s="253" customFormat="1" x14ac:dyDescent="0.25">
      <c r="C229" s="210"/>
      <c r="F229" s="254"/>
      <c r="G229" s="254"/>
    </row>
    <row r="230" spans="1:25" s="253" customFormat="1" x14ac:dyDescent="0.25">
      <c r="C230" s="210"/>
      <c r="F230" s="254"/>
      <c r="G230" s="254"/>
    </row>
    <row r="231" spans="1:25" s="253" customFormat="1" x14ac:dyDescent="0.25">
      <c r="A231" s="209"/>
      <c r="B231" s="209"/>
      <c r="C231" s="255"/>
      <c r="D231" s="256"/>
      <c r="F231" s="212"/>
      <c r="G231" s="212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</row>
    <row r="232" spans="1:25" s="253" customFormat="1" x14ac:dyDescent="0.25">
      <c r="A232" s="209"/>
      <c r="B232" s="209"/>
      <c r="C232" s="255"/>
      <c r="D232" s="256"/>
      <c r="F232" s="212"/>
      <c r="G232" s="212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</row>
    <row r="233" spans="1:25" s="253" customFormat="1" x14ac:dyDescent="0.25">
      <c r="A233" s="209"/>
      <c r="B233" s="209"/>
      <c r="C233" s="255"/>
      <c r="D233" s="256"/>
      <c r="F233" s="212"/>
      <c r="G233" s="212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</row>
    <row r="234" spans="1:25" s="253" customFormat="1" x14ac:dyDescent="0.25">
      <c r="A234" s="209"/>
      <c r="B234" s="209"/>
      <c r="C234" s="255"/>
      <c r="D234" s="256"/>
      <c r="F234" s="212"/>
      <c r="G234" s="212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</row>
    <row r="235" spans="1:25" s="253" customFormat="1" x14ac:dyDescent="0.25">
      <c r="A235" s="209"/>
      <c r="B235" s="209"/>
      <c r="C235" s="255"/>
      <c r="D235" s="256"/>
      <c r="F235" s="212"/>
      <c r="G235" s="212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</row>
    <row r="236" spans="1:25" s="253" customFormat="1" x14ac:dyDescent="0.25">
      <c r="A236" s="209"/>
      <c r="B236" s="209"/>
      <c r="C236" s="255"/>
      <c r="D236" s="256"/>
      <c r="F236" s="212"/>
      <c r="G236" s="212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</row>
    <row r="237" spans="1:25" s="253" customFormat="1" x14ac:dyDescent="0.25">
      <c r="A237" s="209"/>
      <c r="B237" s="209"/>
      <c r="C237" s="255"/>
      <c r="D237" s="256"/>
      <c r="F237" s="212"/>
      <c r="G237" s="212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</row>
    <row r="238" spans="1:25" s="253" customFormat="1" x14ac:dyDescent="0.25">
      <c r="A238" s="209"/>
      <c r="B238" s="209"/>
      <c r="C238" s="255"/>
      <c r="D238" s="256"/>
      <c r="F238" s="212"/>
      <c r="G238" s="212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</row>
    <row r="239" spans="1:25" s="253" customFormat="1" x14ac:dyDescent="0.25">
      <c r="A239" s="209"/>
      <c r="B239" s="209"/>
      <c r="C239" s="255"/>
      <c r="D239" s="256"/>
      <c r="F239" s="212"/>
      <c r="G239" s="212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</row>
    <row r="240" spans="1:25" s="253" customFormat="1" x14ac:dyDescent="0.25">
      <c r="A240" s="209"/>
      <c r="B240" s="209"/>
      <c r="C240" s="255"/>
      <c r="D240" s="256"/>
      <c r="F240" s="212"/>
      <c r="G240" s="212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</row>
    <row r="241" spans="1:25" s="253" customFormat="1" x14ac:dyDescent="0.25">
      <c r="A241" s="209"/>
      <c r="B241" s="209"/>
      <c r="C241" s="255"/>
      <c r="D241" s="256"/>
      <c r="F241" s="212"/>
      <c r="G241" s="212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</row>
    <row r="242" spans="1:25" s="253" customFormat="1" x14ac:dyDescent="0.25">
      <c r="A242" s="209"/>
      <c r="B242" s="209"/>
      <c r="C242" s="255"/>
      <c r="D242" s="256"/>
      <c r="F242" s="212"/>
      <c r="G242" s="212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</row>
    <row r="243" spans="1:25" s="253" customFormat="1" x14ac:dyDescent="0.25">
      <c r="A243" s="209"/>
      <c r="B243" s="209"/>
      <c r="C243" s="255"/>
      <c r="D243" s="256"/>
      <c r="F243" s="212"/>
      <c r="G243" s="212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D32" sqref="D32"/>
    </sheetView>
  </sheetViews>
  <sheetFormatPr defaultRowHeight="12.75" x14ac:dyDescent="0.25"/>
  <cols>
    <col min="1" max="1" width="3.5703125" style="257" customWidth="1"/>
    <col min="2" max="2" width="11.5703125" style="257" customWidth="1"/>
    <col min="3" max="3" width="39.42578125" style="260" customWidth="1"/>
    <col min="4" max="4" width="11.28515625" style="257" customWidth="1"/>
    <col min="5" max="16384" width="9.140625" style="257"/>
  </cols>
  <sheetData>
    <row r="1" spans="1:5" ht="49.5" customHeight="1" thickBot="1" x14ac:dyDescent="0.3">
      <c r="A1" s="1293" t="s">
        <v>699</v>
      </c>
      <c r="B1" s="1293"/>
      <c r="C1" s="1293"/>
      <c r="D1" s="1293"/>
    </row>
    <row r="2" spans="1:5" ht="12.75" customHeight="1" x14ac:dyDescent="0.25">
      <c r="A2" s="1294" t="s">
        <v>0</v>
      </c>
      <c r="B2" s="1296" t="s">
        <v>302</v>
      </c>
      <c r="C2" s="1298" t="s">
        <v>292</v>
      </c>
      <c r="D2" s="1299" t="s">
        <v>700</v>
      </c>
    </row>
    <row r="3" spans="1:5" ht="48.75" customHeight="1" x14ac:dyDescent="0.25">
      <c r="A3" s="1295"/>
      <c r="B3" s="1297"/>
      <c r="C3" s="1297"/>
      <c r="D3" s="1300"/>
    </row>
    <row r="4" spans="1:5" ht="12.75" customHeight="1" x14ac:dyDescent="0.25">
      <c r="A4" s="806"/>
      <c r="B4" s="807"/>
      <c r="C4" s="258" t="s">
        <v>6</v>
      </c>
      <c r="D4" s="299">
        <f>D6+D5</f>
        <v>1078934</v>
      </c>
    </row>
    <row r="5" spans="1:5" ht="12.75" customHeight="1" x14ac:dyDescent="0.25">
      <c r="A5" s="806"/>
      <c r="B5" s="807"/>
      <c r="C5" s="258" t="s">
        <v>14</v>
      </c>
      <c r="D5" s="300">
        <v>0</v>
      </c>
    </row>
    <row r="6" spans="1:5" ht="12.75" customHeight="1" x14ac:dyDescent="0.25">
      <c r="A6" s="806"/>
      <c r="B6" s="807"/>
      <c r="C6" s="258" t="s">
        <v>15</v>
      </c>
      <c r="D6" s="299">
        <f>SUM(D7:D25)</f>
        <v>1078934</v>
      </c>
    </row>
    <row r="7" spans="1:5" ht="12.75" customHeight="1" x14ac:dyDescent="0.25">
      <c r="A7" s="806">
        <v>1</v>
      </c>
      <c r="B7" s="807" t="s">
        <v>26</v>
      </c>
      <c r="C7" s="259" t="s">
        <v>27</v>
      </c>
      <c r="D7" s="301">
        <v>73913</v>
      </c>
      <c r="E7" s="260"/>
    </row>
    <row r="8" spans="1:5" ht="12.75" customHeight="1" x14ac:dyDescent="0.25">
      <c r="A8" s="806">
        <v>2</v>
      </c>
      <c r="B8" s="807" t="s">
        <v>28</v>
      </c>
      <c r="C8" s="259" t="s">
        <v>29</v>
      </c>
      <c r="D8" s="301">
        <v>30984</v>
      </c>
      <c r="E8" s="260"/>
    </row>
    <row r="9" spans="1:5" ht="12.75" customHeight="1" x14ac:dyDescent="0.25">
      <c r="A9" s="806">
        <v>3</v>
      </c>
      <c r="B9" s="807" t="s">
        <v>50</v>
      </c>
      <c r="C9" s="259" t="s">
        <v>51</v>
      </c>
      <c r="D9" s="301">
        <v>65477</v>
      </c>
      <c r="E9" s="260"/>
    </row>
    <row r="10" spans="1:5" ht="12.75" customHeight="1" x14ac:dyDescent="0.25">
      <c r="A10" s="806">
        <v>4</v>
      </c>
      <c r="B10" s="807" t="s">
        <v>58</v>
      </c>
      <c r="C10" s="259" t="s">
        <v>59</v>
      </c>
      <c r="D10" s="301">
        <v>42085</v>
      </c>
      <c r="E10" s="260"/>
    </row>
    <row r="11" spans="1:5" ht="12.75" customHeight="1" x14ac:dyDescent="0.25">
      <c r="A11" s="806">
        <v>5</v>
      </c>
      <c r="B11" s="807" t="s">
        <v>66</v>
      </c>
      <c r="C11" s="259" t="s">
        <v>67</v>
      </c>
      <c r="D11" s="301">
        <v>64029</v>
      </c>
      <c r="E11" s="260"/>
    </row>
    <row r="12" spans="1:5" ht="12.75" customHeight="1" x14ac:dyDescent="0.25">
      <c r="A12" s="806">
        <v>6</v>
      </c>
      <c r="B12" s="807" t="s">
        <v>68</v>
      </c>
      <c r="C12" s="259" t="s">
        <v>69</v>
      </c>
      <c r="D12" s="301">
        <v>23695</v>
      </c>
      <c r="E12" s="260"/>
    </row>
    <row r="13" spans="1:5" ht="12.75" customHeight="1" x14ac:dyDescent="0.2">
      <c r="A13" s="806">
        <v>7</v>
      </c>
      <c r="B13" s="807" t="s">
        <v>77</v>
      </c>
      <c r="C13" s="261" t="s">
        <v>701</v>
      </c>
      <c r="D13" s="301">
        <v>62797</v>
      </c>
      <c r="E13" s="260"/>
    </row>
    <row r="14" spans="1:5" ht="12.75" customHeight="1" x14ac:dyDescent="0.25">
      <c r="A14" s="806">
        <v>8</v>
      </c>
      <c r="B14" s="807" t="s">
        <v>79</v>
      </c>
      <c r="C14" s="259" t="s">
        <v>80</v>
      </c>
      <c r="D14" s="301">
        <v>32781</v>
      </c>
      <c r="E14" s="260"/>
    </row>
    <row r="15" spans="1:5" ht="12.75" customHeight="1" x14ac:dyDescent="0.25">
      <c r="A15" s="806">
        <v>9</v>
      </c>
      <c r="B15" s="807" t="s">
        <v>97</v>
      </c>
      <c r="C15" s="259" t="s">
        <v>98</v>
      </c>
      <c r="D15" s="301">
        <v>4603</v>
      </c>
      <c r="E15" s="260"/>
    </row>
    <row r="16" spans="1:5" ht="12.75" customHeight="1" x14ac:dyDescent="0.25">
      <c r="A16" s="806">
        <v>10</v>
      </c>
      <c r="B16" s="807" t="s">
        <v>99</v>
      </c>
      <c r="C16" s="259" t="s">
        <v>100</v>
      </c>
      <c r="D16" s="301">
        <v>108058</v>
      </c>
      <c r="E16" s="260"/>
    </row>
    <row r="17" spans="1:5" ht="12.75" customHeight="1" x14ac:dyDescent="0.25">
      <c r="A17" s="806">
        <v>11</v>
      </c>
      <c r="B17" s="807" t="s">
        <v>169</v>
      </c>
      <c r="C17" s="259" t="s">
        <v>170</v>
      </c>
      <c r="D17" s="301">
        <v>132367</v>
      </c>
      <c r="E17" s="260"/>
    </row>
    <row r="18" spans="1:5" ht="12.75" customHeight="1" x14ac:dyDescent="0.2">
      <c r="A18" s="806">
        <v>12</v>
      </c>
      <c r="B18" s="807" t="s">
        <v>178</v>
      </c>
      <c r="C18" s="816" t="s">
        <v>702</v>
      </c>
      <c r="D18" s="301">
        <v>1772</v>
      </c>
      <c r="E18" s="260"/>
    </row>
    <row r="19" spans="1:5" ht="12.75" customHeight="1" x14ac:dyDescent="0.25">
      <c r="A19" s="806">
        <v>13</v>
      </c>
      <c r="B19" s="807" t="s">
        <v>258</v>
      </c>
      <c r="C19" s="259" t="s">
        <v>676</v>
      </c>
      <c r="D19" s="301">
        <v>40699</v>
      </c>
      <c r="E19" s="260"/>
    </row>
    <row r="20" spans="1:5" ht="12.75" customHeight="1" x14ac:dyDescent="0.25">
      <c r="A20" s="806">
        <v>14</v>
      </c>
      <c r="B20" s="807" t="s">
        <v>260</v>
      </c>
      <c r="C20" s="259" t="s">
        <v>261</v>
      </c>
      <c r="D20" s="301">
        <v>52241</v>
      </c>
      <c r="E20" s="260"/>
    </row>
    <row r="21" spans="1:5" ht="12.75" customHeight="1" x14ac:dyDescent="0.25">
      <c r="A21" s="806">
        <v>15</v>
      </c>
      <c r="B21" s="819" t="s">
        <v>266</v>
      </c>
      <c r="C21" s="820" t="s">
        <v>703</v>
      </c>
      <c r="D21" s="301">
        <v>64359</v>
      </c>
      <c r="E21" s="260"/>
    </row>
    <row r="22" spans="1:5" ht="12.75" customHeight="1" x14ac:dyDescent="0.25">
      <c r="A22" s="806">
        <v>16</v>
      </c>
      <c r="B22" s="819" t="s">
        <v>270</v>
      </c>
      <c r="C22" s="820" t="s">
        <v>271</v>
      </c>
      <c r="D22" s="301">
        <v>87793</v>
      </c>
      <c r="E22" s="260"/>
    </row>
    <row r="23" spans="1:5" ht="12.75" customHeight="1" x14ac:dyDescent="0.25">
      <c r="A23" s="806">
        <v>17</v>
      </c>
      <c r="B23" s="807" t="s">
        <v>276</v>
      </c>
      <c r="C23" s="259" t="s">
        <v>277</v>
      </c>
      <c r="D23" s="301">
        <v>38630</v>
      </c>
      <c r="E23" s="260"/>
    </row>
    <row r="24" spans="1:5" ht="12.75" customHeight="1" x14ac:dyDescent="0.25">
      <c r="A24" s="806">
        <v>18</v>
      </c>
      <c r="B24" s="807" t="s">
        <v>278</v>
      </c>
      <c r="C24" s="259" t="s">
        <v>279</v>
      </c>
      <c r="D24" s="301">
        <v>44843</v>
      </c>
      <c r="E24" s="260"/>
    </row>
    <row r="25" spans="1:5" ht="12.75" customHeight="1" thickBot="1" x14ac:dyDescent="0.3">
      <c r="A25" s="817">
        <v>19</v>
      </c>
      <c r="B25" s="302" t="s">
        <v>280</v>
      </c>
      <c r="C25" s="303" t="s">
        <v>281</v>
      </c>
      <c r="D25" s="818">
        <v>107808</v>
      </c>
      <c r="E25" s="260"/>
    </row>
    <row r="26" spans="1:5" x14ac:dyDescent="0.25">
      <c r="C26" s="262"/>
      <c r="D26" s="263"/>
      <c r="E26" s="260"/>
    </row>
    <row r="27" spans="1:5" x14ac:dyDescent="0.25">
      <c r="C27" s="262"/>
      <c r="D27" s="263"/>
      <c r="E27" s="260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"/>
  <sheetViews>
    <sheetView zoomScaleNormal="100" workbookViewId="0">
      <pane xSplit="3" ySplit="5" topLeftCell="R6" activePane="bottomRight" state="frozen"/>
      <selection pane="topRight" activeCell="C1" sqref="C1"/>
      <selection pane="bottomLeft" activeCell="A6" sqref="A6"/>
      <selection pane="bottomRight" activeCell="C25" sqref="C25"/>
    </sheetView>
  </sheetViews>
  <sheetFormatPr defaultColWidth="9.140625" defaultRowHeight="11.25" x14ac:dyDescent="0.25"/>
  <cols>
    <col min="1" max="1" width="3.42578125" style="265" customWidth="1"/>
    <col min="2" max="2" width="6.5703125" style="265" customWidth="1"/>
    <col min="3" max="3" width="30.42578125" style="264" customWidth="1"/>
    <col min="4" max="4" width="6.7109375" style="266" customWidth="1"/>
    <col min="5" max="5" width="7.42578125" style="266" customWidth="1"/>
    <col min="6" max="6" width="7.140625" style="266" customWidth="1"/>
    <col min="7" max="7" width="9.28515625" style="266" customWidth="1"/>
    <col min="8" max="8" width="12.140625" style="266" customWidth="1"/>
    <col min="9" max="9" width="7.42578125" style="266" customWidth="1"/>
    <col min="10" max="10" width="7.7109375" style="266" customWidth="1"/>
    <col min="11" max="11" width="6.42578125" style="266" customWidth="1"/>
    <col min="12" max="12" width="7" style="266" customWidth="1"/>
    <col min="13" max="13" width="8.42578125" style="266" customWidth="1"/>
    <col min="14" max="15" width="10" style="266" customWidth="1"/>
    <col min="16" max="16" width="10.85546875" style="266" customWidth="1"/>
    <col min="17" max="17" width="9.85546875" style="266" customWidth="1"/>
    <col min="18" max="18" width="10.140625" style="266" customWidth="1"/>
    <col min="19" max="19" width="9.5703125" style="266" customWidth="1"/>
    <col min="20" max="20" width="9.140625" style="266" customWidth="1"/>
    <col min="21" max="21" width="17.5703125" style="264" customWidth="1"/>
    <col min="22" max="16384" width="9.140625" style="264"/>
  </cols>
  <sheetData>
    <row r="1" spans="1:20" ht="28.5" customHeight="1" x14ac:dyDescent="0.25">
      <c r="A1" s="1307" t="s">
        <v>704</v>
      </c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7"/>
      <c r="P1" s="1307"/>
      <c r="Q1" s="1307"/>
      <c r="R1" s="1307"/>
      <c r="S1" s="1307"/>
      <c r="T1" s="1307"/>
    </row>
    <row r="2" spans="1:20" ht="15.75" customHeight="1" thickBot="1" x14ac:dyDescent="0.3"/>
    <row r="3" spans="1:20" ht="14.25" customHeight="1" x14ac:dyDescent="0.25">
      <c r="A3" s="1308" t="s">
        <v>0</v>
      </c>
      <c r="B3" s="1310" t="s">
        <v>302</v>
      </c>
      <c r="C3" s="1310" t="s">
        <v>292</v>
      </c>
      <c r="D3" s="1312" t="s">
        <v>705</v>
      </c>
      <c r="E3" s="1312"/>
      <c r="F3" s="1312"/>
      <c r="G3" s="1312"/>
      <c r="H3" s="1312"/>
      <c r="I3" s="1312"/>
      <c r="J3" s="1312"/>
      <c r="K3" s="1312"/>
      <c r="L3" s="1313"/>
      <c r="M3" s="1314" t="s">
        <v>706</v>
      </c>
      <c r="N3" s="1301" t="s">
        <v>707</v>
      </c>
      <c r="O3" s="1302"/>
      <c r="P3" s="1317" t="s">
        <v>708</v>
      </c>
      <c r="Q3" s="1318"/>
      <c r="R3" s="1318"/>
      <c r="S3" s="1319"/>
      <c r="T3" s="1320" t="s">
        <v>592</v>
      </c>
    </row>
    <row r="4" spans="1:20" ht="15" customHeight="1" thickBot="1" x14ac:dyDescent="0.3">
      <c r="A4" s="1309"/>
      <c r="B4" s="1311"/>
      <c r="C4" s="1311"/>
      <c r="D4" s="1322" t="s">
        <v>709</v>
      </c>
      <c r="E4" s="1323"/>
      <c r="F4" s="1323"/>
      <c r="G4" s="1323"/>
      <c r="H4" s="1323"/>
      <c r="I4" s="1323"/>
      <c r="J4" s="1323"/>
      <c r="K4" s="1322" t="s">
        <v>710</v>
      </c>
      <c r="L4" s="1324" t="s">
        <v>6</v>
      </c>
      <c r="M4" s="1315"/>
      <c r="N4" s="1303"/>
      <c r="O4" s="1304"/>
      <c r="P4" s="1325" t="s">
        <v>711</v>
      </c>
      <c r="Q4" s="1322" t="s">
        <v>712</v>
      </c>
      <c r="R4" s="1322" t="s">
        <v>713</v>
      </c>
      <c r="S4" s="1305" t="s">
        <v>6</v>
      </c>
      <c r="T4" s="1321"/>
    </row>
    <row r="5" spans="1:20" ht="97.5" customHeight="1" x14ac:dyDescent="0.25">
      <c r="A5" s="1309"/>
      <c r="B5" s="1311"/>
      <c r="C5" s="1311"/>
      <c r="D5" s="304" t="s">
        <v>714</v>
      </c>
      <c r="E5" s="304" t="s">
        <v>715</v>
      </c>
      <c r="F5" s="304" t="s">
        <v>716</v>
      </c>
      <c r="G5" s="304" t="s">
        <v>717</v>
      </c>
      <c r="H5" s="304" t="s">
        <v>718</v>
      </c>
      <c r="I5" s="304" t="s">
        <v>719</v>
      </c>
      <c r="J5" s="304" t="s">
        <v>6</v>
      </c>
      <c r="K5" s="1323"/>
      <c r="L5" s="1306"/>
      <c r="M5" s="1316"/>
      <c r="N5" s="686" t="s">
        <v>810</v>
      </c>
      <c r="O5" s="687" t="s">
        <v>811</v>
      </c>
      <c r="P5" s="1326"/>
      <c r="Q5" s="1323"/>
      <c r="R5" s="1323"/>
      <c r="S5" s="1306"/>
      <c r="T5" s="1321"/>
    </row>
    <row r="6" spans="1:20" x14ac:dyDescent="0.25">
      <c r="A6" s="267"/>
      <c r="B6" s="305"/>
      <c r="C6" s="306" t="s">
        <v>469</v>
      </c>
      <c r="D6" s="307">
        <f t="shared" ref="D6:T6" si="0">SUM(D7:D27)</f>
        <v>3650</v>
      </c>
      <c r="E6" s="307">
        <f t="shared" si="0"/>
        <v>4470</v>
      </c>
      <c r="F6" s="307">
        <f t="shared" si="0"/>
        <v>840</v>
      </c>
      <c r="G6" s="307">
        <f t="shared" si="0"/>
        <v>1480</v>
      </c>
      <c r="H6" s="307">
        <f t="shared" si="0"/>
        <v>700</v>
      </c>
      <c r="I6" s="307">
        <f t="shared" si="0"/>
        <v>1050</v>
      </c>
      <c r="J6" s="307">
        <f t="shared" si="0"/>
        <v>12190</v>
      </c>
      <c r="K6" s="307">
        <f t="shared" si="0"/>
        <v>1030</v>
      </c>
      <c r="L6" s="316">
        <f t="shared" si="0"/>
        <v>13220</v>
      </c>
      <c r="M6" s="321">
        <f t="shared" si="0"/>
        <v>1000</v>
      </c>
      <c r="N6" s="323">
        <f t="shared" si="0"/>
        <v>11035</v>
      </c>
      <c r="O6" s="688">
        <f t="shared" si="0"/>
        <v>1418</v>
      </c>
      <c r="P6" s="684">
        <f t="shared" si="0"/>
        <v>29740</v>
      </c>
      <c r="Q6" s="307">
        <f t="shared" si="0"/>
        <v>30050</v>
      </c>
      <c r="R6" s="307">
        <f t="shared" si="0"/>
        <v>27726</v>
      </c>
      <c r="S6" s="316">
        <f t="shared" si="0"/>
        <v>87516</v>
      </c>
      <c r="T6" s="319">
        <f t="shared" si="0"/>
        <v>112771</v>
      </c>
    </row>
    <row r="7" spans="1:20" x14ac:dyDescent="0.25">
      <c r="A7" s="267">
        <v>1</v>
      </c>
      <c r="B7" s="305" t="s">
        <v>20</v>
      </c>
      <c r="C7" s="308" t="s">
        <v>21</v>
      </c>
      <c r="D7" s="269"/>
      <c r="E7" s="269"/>
      <c r="F7" s="269"/>
      <c r="G7" s="269"/>
      <c r="H7" s="269"/>
      <c r="I7" s="269"/>
      <c r="J7" s="269"/>
      <c r="K7" s="269"/>
      <c r="L7" s="317"/>
      <c r="M7" s="270"/>
      <c r="N7" s="268"/>
      <c r="O7" s="689"/>
      <c r="P7" s="685">
        <v>900</v>
      </c>
      <c r="Q7" s="268">
        <v>820</v>
      </c>
      <c r="R7" s="268">
        <v>800</v>
      </c>
      <c r="S7" s="317">
        <f>SUM(P7:R7)</f>
        <v>2520</v>
      </c>
      <c r="T7" s="320">
        <f t="shared" ref="T7:T27" si="1">L7+M7+N7+S7</f>
        <v>2520</v>
      </c>
    </row>
    <row r="8" spans="1:20" x14ac:dyDescent="0.25">
      <c r="A8" s="267">
        <v>2</v>
      </c>
      <c r="B8" s="305" t="s">
        <v>26</v>
      </c>
      <c r="C8" s="308" t="s">
        <v>27</v>
      </c>
      <c r="D8" s="269"/>
      <c r="E8" s="269"/>
      <c r="F8" s="269"/>
      <c r="G8" s="269"/>
      <c r="H8" s="269"/>
      <c r="I8" s="269"/>
      <c r="J8" s="269"/>
      <c r="K8" s="269"/>
      <c r="L8" s="317"/>
      <c r="M8" s="270"/>
      <c r="N8" s="268"/>
      <c r="O8" s="689"/>
      <c r="P8" s="685">
        <v>1950</v>
      </c>
      <c r="Q8" s="268">
        <v>1850</v>
      </c>
      <c r="R8" s="268">
        <v>1850</v>
      </c>
      <c r="S8" s="317">
        <f t="shared" ref="S8:S27" si="2">SUM(P8:R8)</f>
        <v>5650</v>
      </c>
      <c r="T8" s="320">
        <f t="shared" si="1"/>
        <v>5650</v>
      </c>
    </row>
    <row r="9" spans="1:20" x14ac:dyDescent="0.25">
      <c r="A9" s="267">
        <v>3</v>
      </c>
      <c r="B9" s="305" t="s">
        <v>50</v>
      </c>
      <c r="C9" s="308" t="s">
        <v>51</v>
      </c>
      <c r="D9" s="269"/>
      <c r="E9" s="269"/>
      <c r="F9" s="269"/>
      <c r="G9" s="269"/>
      <c r="H9" s="269"/>
      <c r="I9" s="269"/>
      <c r="J9" s="269"/>
      <c r="K9" s="269"/>
      <c r="L9" s="317"/>
      <c r="M9" s="270"/>
      <c r="N9" s="268"/>
      <c r="O9" s="689"/>
      <c r="P9" s="685">
        <v>1650</v>
      </c>
      <c r="Q9" s="268">
        <v>1400</v>
      </c>
      <c r="R9" s="268">
        <v>1300</v>
      </c>
      <c r="S9" s="317">
        <f t="shared" si="2"/>
        <v>4350</v>
      </c>
      <c r="T9" s="320">
        <f t="shared" si="1"/>
        <v>4350</v>
      </c>
    </row>
    <row r="10" spans="1:20" x14ac:dyDescent="0.25">
      <c r="A10" s="267">
        <v>4</v>
      </c>
      <c r="B10" s="305" t="s">
        <v>58</v>
      </c>
      <c r="C10" s="308" t="s">
        <v>59</v>
      </c>
      <c r="D10" s="269"/>
      <c r="E10" s="269"/>
      <c r="F10" s="269"/>
      <c r="G10" s="269"/>
      <c r="H10" s="269"/>
      <c r="I10" s="269"/>
      <c r="J10" s="269"/>
      <c r="K10" s="269"/>
      <c r="L10" s="317"/>
      <c r="M10" s="270"/>
      <c r="N10" s="268"/>
      <c r="O10" s="689"/>
      <c r="P10" s="685">
        <v>1400</v>
      </c>
      <c r="Q10" s="268">
        <v>1400</v>
      </c>
      <c r="R10" s="268">
        <v>1400</v>
      </c>
      <c r="S10" s="317">
        <f t="shared" si="2"/>
        <v>4200</v>
      </c>
      <c r="T10" s="320">
        <f t="shared" si="1"/>
        <v>4200</v>
      </c>
    </row>
    <row r="11" spans="1:20" x14ac:dyDescent="0.25">
      <c r="A11" s="267">
        <v>5</v>
      </c>
      <c r="B11" s="305" t="s">
        <v>66</v>
      </c>
      <c r="C11" s="308" t="s">
        <v>67</v>
      </c>
      <c r="D11" s="269"/>
      <c r="E11" s="269"/>
      <c r="F11" s="269"/>
      <c r="G11" s="269"/>
      <c r="H11" s="269"/>
      <c r="I11" s="269"/>
      <c r="J11" s="269"/>
      <c r="K11" s="269"/>
      <c r="L11" s="317"/>
      <c r="M11" s="635"/>
      <c r="N11" s="268"/>
      <c r="O11" s="689"/>
      <c r="P11" s="685">
        <v>2529</v>
      </c>
      <c r="Q11" s="268">
        <v>2637</v>
      </c>
      <c r="R11" s="268">
        <v>2094</v>
      </c>
      <c r="S11" s="317">
        <f t="shared" si="2"/>
        <v>7260</v>
      </c>
      <c r="T11" s="320">
        <f t="shared" si="1"/>
        <v>7260</v>
      </c>
    </row>
    <row r="12" spans="1:20" x14ac:dyDescent="0.25">
      <c r="A12" s="267">
        <v>6</v>
      </c>
      <c r="B12" s="305" t="s">
        <v>68</v>
      </c>
      <c r="C12" s="308" t="s">
        <v>69</v>
      </c>
      <c r="D12" s="269"/>
      <c r="E12" s="269"/>
      <c r="F12" s="269"/>
      <c r="G12" s="269"/>
      <c r="H12" s="269"/>
      <c r="I12" s="269"/>
      <c r="J12" s="269"/>
      <c r="K12" s="269"/>
      <c r="L12" s="317"/>
      <c r="M12" s="270"/>
      <c r="N12" s="268"/>
      <c r="O12" s="689"/>
      <c r="P12" s="685">
        <v>1471</v>
      </c>
      <c r="Q12" s="268">
        <v>1263</v>
      </c>
      <c r="R12" s="268">
        <v>1128</v>
      </c>
      <c r="S12" s="317">
        <f t="shared" si="2"/>
        <v>3862</v>
      </c>
      <c r="T12" s="320">
        <f t="shared" si="1"/>
        <v>3862</v>
      </c>
    </row>
    <row r="13" spans="1:20" x14ac:dyDescent="0.25">
      <c r="A13" s="267">
        <v>7</v>
      </c>
      <c r="B13" s="305" t="s">
        <v>77</v>
      </c>
      <c r="C13" s="308" t="s">
        <v>78</v>
      </c>
      <c r="D13" s="269"/>
      <c r="E13" s="269"/>
      <c r="F13" s="269"/>
      <c r="G13" s="269"/>
      <c r="H13" s="269"/>
      <c r="I13" s="269"/>
      <c r="J13" s="269"/>
      <c r="K13" s="269"/>
      <c r="L13" s="317"/>
      <c r="M13" s="270"/>
      <c r="N13" s="268"/>
      <c r="O13" s="689"/>
      <c r="P13" s="685">
        <v>1230</v>
      </c>
      <c r="Q13" s="268">
        <v>1230</v>
      </c>
      <c r="R13" s="268">
        <v>600</v>
      </c>
      <c r="S13" s="317">
        <f t="shared" si="2"/>
        <v>3060</v>
      </c>
      <c r="T13" s="320">
        <f t="shared" si="1"/>
        <v>3060</v>
      </c>
    </row>
    <row r="14" spans="1:20" x14ac:dyDescent="0.25">
      <c r="A14" s="267">
        <v>8</v>
      </c>
      <c r="B14" s="305" t="s">
        <v>79</v>
      </c>
      <c r="C14" s="308" t="s">
        <v>80</v>
      </c>
      <c r="D14" s="269"/>
      <c r="E14" s="269"/>
      <c r="F14" s="269"/>
      <c r="G14" s="269"/>
      <c r="H14" s="269"/>
      <c r="I14" s="269"/>
      <c r="J14" s="269"/>
      <c r="K14" s="269"/>
      <c r="L14" s="317"/>
      <c r="M14" s="270"/>
      <c r="N14" s="268"/>
      <c r="O14" s="689"/>
      <c r="P14" s="685">
        <v>1700</v>
      </c>
      <c r="Q14" s="268">
        <v>1500</v>
      </c>
      <c r="R14" s="268">
        <v>1500</v>
      </c>
      <c r="S14" s="317">
        <f t="shared" si="2"/>
        <v>4700</v>
      </c>
      <c r="T14" s="320">
        <f t="shared" si="1"/>
        <v>4700</v>
      </c>
    </row>
    <row r="15" spans="1:20" x14ac:dyDescent="0.25">
      <c r="A15" s="267">
        <v>9</v>
      </c>
      <c r="B15" s="305" t="s">
        <v>99</v>
      </c>
      <c r="C15" s="309" t="s">
        <v>100</v>
      </c>
      <c r="D15" s="269"/>
      <c r="E15" s="269"/>
      <c r="F15" s="269"/>
      <c r="G15" s="269"/>
      <c r="H15" s="269"/>
      <c r="I15" s="269"/>
      <c r="J15" s="269"/>
      <c r="K15" s="269"/>
      <c r="L15" s="317"/>
      <c r="M15" s="270"/>
      <c r="N15" s="268"/>
      <c r="O15" s="689"/>
      <c r="P15" s="685">
        <v>1600</v>
      </c>
      <c r="Q15" s="268">
        <v>1600</v>
      </c>
      <c r="R15" s="268">
        <v>1600</v>
      </c>
      <c r="S15" s="317">
        <f t="shared" si="2"/>
        <v>4800</v>
      </c>
      <c r="T15" s="320">
        <f t="shared" si="1"/>
        <v>4800</v>
      </c>
    </row>
    <row r="16" spans="1:20" x14ac:dyDescent="0.25">
      <c r="A16" s="267">
        <v>10</v>
      </c>
      <c r="B16" s="305" t="s">
        <v>117</v>
      </c>
      <c r="C16" s="310" t="s">
        <v>118</v>
      </c>
      <c r="D16" s="269"/>
      <c r="E16" s="269"/>
      <c r="F16" s="269"/>
      <c r="G16" s="269"/>
      <c r="H16" s="269"/>
      <c r="I16" s="269"/>
      <c r="J16" s="269"/>
      <c r="K16" s="269"/>
      <c r="L16" s="317"/>
      <c r="M16" s="270"/>
      <c r="N16" s="268"/>
      <c r="O16" s="689"/>
      <c r="P16" s="685">
        <v>1010</v>
      </c>
      <c r="Q16" s="268">
        <v>1150</v>
      </c>
      <c r="R16" s="268">
        <v>1184</v>
      </c>
      <c r="S16" s="317">
        <f t="shared" si="2"/>
        <v>3344</v>
      </c>
      <c r="T16" s="320">
        <f t="shared" si="1"/>
        <v>3344</v>
      </c>
    </row>
    <row r="17" spans="1:21" x14ac:dyDescent="0.25">
      <c r="A17" s="267">
        <v>11</v>
      </c>
      <c r="B17" s="305" t="s">
        <v>141</v>
      </c>
      <c r="C17" s="308" t="s">
        <v>456</v>
      </c>
      <c r="D17" s="269"/>
      <c r="E17" s="269"/>
      <c r="F17" s="269"/>
      <c r="G17" s="269"/>
      <c r="H17" s="269"/>
      <c r="I17" s="269"/>
      <c r="J17" s="269"/>
      <c r="K17" s="269"/>
      <c r="L17" s="317"/>
      <c r="M17" s="270"/>
      <c r="N17" s="268"/>
      <c r="O17" s="689"/>
      <c r="P17" s="685">
        <v>750</v>
      </c>
      <c r="Q17" s="268">
        <v>700</v>
      </c>
      <c r="R17" s="268">
        <v>700</v>
      </c>
      <c r="S17" s="317">
        <f t="shared" si="2"/>
        <v>2150</v>
      </c>
      <c r="T17" s="320">
        <f t="shared" si="1"/>
        <v>2150</v>
      </c>
    </row>
    <row r="18" spans="1:21" x14ac:dyDescent="0.25">
      <c r="A18" s="267">
        <v>12</v>
      </c>
      <c r="B18" s="305" t="s">
        <v>145</v>
      </c>
      <c r="C18" s="308" t="s">
        <v>457</v>
      </c>
      <c r="D18" s="269"/>
      <c r="E18" s="269"/>
      <c r="F18" s="269"/>
      <c r="G18" s="269"/>
      <c r="H18" s="269"/>
      <c r="I18" s="269"/>
      <c r="J18" s="269"/>
      <c r="K18" s="269"/>
      <c r="L18" s="317"/>
      <c r="M18" s="270"/>
      <c r="N18" s="268"/>
      <c r="O18" s="689"/>
      <c r="P18" s="685">
        <v>1600</v>
      </c>
      <c r="Q18" s="268">
        <v>1500</v>
      </c>
      <c r="R18" s="268">
        <v>1400</v>
      </c>
      <c r="S18" s="317">
        <f t="shared" si="2"/>
        <v>4500</v>
      </c>
      <c r="T18" s="320">
        <f t="shared" si="1"/>
        <v>4500</v>
      </c>
    </row>
    <row r="19" spans="1:21" x14ac:dyDescent="0.25">
      <c r="A19" s="267">
        <v>13</v>
      </c>
      <c r="B19" s="305" t="s">
        <v>169</v>
      </c>
      <c r="C19" s="308" t="s">
        <v>170</v>
      </c>
      <c r="D19" s="269"/>
      <c r="E19" s="269"/>
      <c r="F19" s="269"/>
      <c r="G19" s="269"/>
      <c r="H19" s="269"/>
      <c r="I19" s="269"/>
      <c r="J19" s="269"/>
      <c r="K19" s="269"/>
      <c r="L19" s="317"/>
      <c r="M19" s="270"/>
      <c r="N19" s="268"/>
      <c r="O19" s="689"/>
      <c r="P19" s="685">
        <v>2300</v>
      </c>
      <c r="Q19" s="268">
        <v>2200</v>
      </c>
      <c r="R19" s="268">
        <v>2100</v>
      </c>
      <c r="S19" s="317">
        <f t="shared" si="2"/>
        <v>6600</v>
      </c>
      <c r="T19" s="320">
        <f t="shared" si="1"/>
        <v>6600</v>
      </c>
    </row>
    <row r="20" spans="1:21" x14ac:dyDescent="0.25">
      <c r="A20" s="267">
        <v>14</v>
      </c>
      <c r="B20" s="305" t="s">
        <v>175</v>
      </c>
      <c r="C20" s="311" t="s">
        <v>176</v>
      </c>
      <c r="D20" s="269"/>
      <c r="E20" s="269"/>
      <c r="F20" s="269"/>
      <c r="G20" s="269"/>
      <c r="H20" s="269"/>
      <c r="I20" s="269"/>
      <c r="J20" s="269"/>
      <c r="K20" s="269"/>
      <c r="L20" s="317"/>
      <c r="M20" s="270"/>
      <c r="N20" s="268"/>
      <c r="O20" s="689"/>
      <c r="P20" s="685">
        <v>1650</v>
      </c>
      <c r="Q20" s="268">
        <v>1600</v>
      </c>
      <c r="R20" s="268">
        <v>1570</v>
      </c>
      <c r="S20" s="317">
        <f t="shared" si="2"/>
        <v>4820</v>
      </c>
      <c r="T20" s="320">
        <f t="shared" si="1"/>
        <v>4820</v>
      </c>
    </row>
    <row r="21" spans="1:21" x14ac:dyDescent="0.25">
      <c r="A21" s="267">
        <v>15</v>
      </c>
      <c r="B21" s="305" t="s">
        <v>207</v>
      </c>
      <c r="C21" s="308" t="s">
        <v>208</v>
      </c>
      <c r="D21" s="269"/>
      <c r="E21" s="269"/>
      <c r="F21" s="269"/>
      <c r="G21" s="269"/>
      <c r="H21" s="269"/>
      <c r="I21" s="269"/>
      <c r="J21" s="269"/>
      <c r="K21" s="269"/>
      <c r="L21" s="317"/>
      <c r="M21" s="270"/>
      <c r="N21" s="268"/>
      <c r="O21" s="689"/>
      <c r="P21" s="685">
        <v>800</v>
      </c>
      <c r="Q21" s="268">
        <v>800</v>
      </c>
      <c r="R21" s="268">
        <v>800</v>
      </c>
      <c r="S21" s="317">
        <f t="shared" si="2"/>
        <v>2400</v>
      </c>
      <c r="T21" s="320">
        <f t="shared" si="1"/>
        <v>2400</v>
      </c>
    </row>
    <row r="22" spans="1:21" x14ac:dyDescent="0.25">
      <c r="A22" s="267">
        <v>16</v>
      </c>
      <c r="B22" s="305" t="s">
        <v>258</v>
      </c>
      <c r="C22" s="308" t="s">
        <v>676</v>
      </c>
      <c r="D22" s="269">
        <v>380</v>
      </c>
      <c r="E22" s="269">
        <v>1640</v>
      </c>
      <c r="F22" s="269">
        <v>400</v>
      </c>
      <c r="G22" s="269">
        <v>650</v>
      </c>
      <c r="H22" s="269"/>
      <c r="I22" s="269">
        <v>1000</v>
      </c>
      <c r="J22" s="269">
        <f>D22+E22+F22+G22+H22+I22</f>
        <v>4070</v>
      </c>
      <c r="K22" s="269">
        <v>1030</v>
      </c>
      <c r="L22" s="317">
        <f>J22+K22</f>
        <v>5100</v>
      </c>
      <c r="M22" s="270"/>
      <c r="N22" s="268"/>
      <c r="O22" s="689"/>
      <c r="P22" s="685">
        <v>0</v>
      </c>
      <c r="Q22" s="268">
        <v>0</v>
      </c>
      <c r="R22" s="268">
        <v>0</v>
      </c>
      <c r="S22" s="317">
        <f t="shared" si="2"/>
        <v>0</v>
      </c>
      <c r="T22" s="320">
        <f t="shared" si="1"/>
        <v>5100</v>
      </c>
    </row>
    <row r="23" spans="1:21" x14ac:dyDescent="0.25">
      <c r="A23" s="267">
        <v>17</v>
      </c>
      <c r="B23" s="305" t="s">
        <v>260</v>
      </c>
      <c r="C23" s="308" t="s">
        <v>261</v>
      </c>
      <c r="D23" s="269">
        <v>3270</v>
      </c>
      <c r="E23" s="269">
        <v>2500</v>
      </c>
      <c r="F23" s="269">
        <v>300</v>
      </c>
      <c r="G23" s="269">
        <v>100</v>
      </c>
      <c r="H23" s="269">
        <v>700</v>
      </c>
      <c r="I23" s="269">
        <v>50</v>
      </c>
      <c r="J23" s="269">
        <f>D23+E23+F23+G23+H23+I23</f>
        <v>6920</v>
      </c>
      <c r="K23" s="269"/>
      <c r="L23" s="317">
        <f>J23+K23</f>
        <v>6920</v>
      </c>
      <c r="M23" s="270">
        <v>1000</v>
      </c>
      <c r="N23" s="268"/>
      <c r="O23" s="689"/>
      <c r="P23" s="685">
        <v>0</v>
      </c>
      <c r="Q23" s="268">
        <v>0</v>
      </c>
      <c r="R23" s="268">
        <v>0</v>
      </c>
      <c r="S23" s="317">
        <f t="shared" si="2"/>
        <v>0</v>
      </c>
      <c r="T23" s="320">
        <f t="shared" si="1"/>
        <v>7920</v>
      </c>
    </row>
    <row r="24" spans="1:21" x14ac:dyDescent="0.25">
      <c r="A24" s="267">
        <v>18</v>
      </c>
      <c r="B24" s="305" t="s">
        <v>262</v>
      </c>
      <c r="C24" s="308" t="s">
        <v>263</v>
      </c>
      <c r="D24" s="269"/>
      <c r="E24" s="269">
        <v>330</v>
      </c>
      <c r="F24" s="269">
        <v>140</v>
      </c>
      <c r="G24" s="269">
        <v>730</v>
      </c>
      <c r="H24" s="269"/>
      <c r="I24" s="269"/>
      <c r="J24" s="269">
        <f>D24+E24+F24+G24+H24+I24</f>
        <v>1200</v>
      </c>
      <c r="K24" s="269"/>
      <c r="L24" s="317">
        <f>J24+K24</f>
        <v>1200</v>
      </c>
      <c r="M24" s="270"/>
      <c r="N24" s="268"/>
      <c r="O24" s="689"/>
      <c r="P24" s="685">
        <v>0</v>
      </c>
      <c r="Q24" s="268">
        <v>0</v>
      </c>
      <c r="R24" s="268">
        <v>0</v>
      </c>
      <c r="S24" s="317">
        <f t="shared" si="2"/>
        <v>0</v>
      </c>
      <c r="T24" s="320">
        <f t="shared" si="1"/>
        <v>1200</v>
      </c>
    </row>
    <row r="25" spans="1:21" x14ac:dyDescent="0.25">
      <c r="A25" s="267">
        <v>19</v>
      </c>
      <c r="B25" s="305" t="s">
        <v>268</v>
      </c>
      <c r="C25" s="312" t="s">
        <v>269</v>
      </c>
      <c r="D25" s="269"/>
      <c r="E25" s="269"/>
      <c r="F25" s="269"/>
      <c r="G25" s="269"/>
      <c r="H25" s="269"/>
      <c r="I25" s="269"/>
      <c r="J25" s="269"/>
      <c r="K25" s="269"/>
      <c r="L25" s="317"/>
      <c r="M25" s="270"/>
      <c r="N25" s="268"/>
      <c r="O25" s="689"/>
      <c r="P25" s="685">
        <v>5100</v>
      </c>
      <c r="Q25" s="268">
        <v>4800</v>
      </c>
      <c r="R25" s="268">
        <v>4700</v>
      </c>
      <c r="S25" s="317">
        <f t="shared" si="2"/>
        <v>14600</v>
      </c>
      <c r="T25" s="320">
        <f t="shared" si="1"/>
        <v>14600</v>
      </c>
    </row>
    <row r="26" spans="1:21" x14ac:dyDescent="0.25">
      <c r="A26" s="267">
        <v>20</v>
      </c>
      <c r="B26" s="305" t="s">
        <v>270</v>
      </c>
      <c r="C26" s="311" t="s">
        <v>271</v>
      </c>
      <c r="D26" s="269"/>
      <c r="E26" s="269"/>
      <c r="F26" s="269"/>
      <c r="G26" s="269"/>
      <c r="H26" s="269"/>
      <c r="I26" s="269"/>
      <c r="J26" s="269"/>
      <c r="K26" s="269"/>
      <c r="L26" s="317"/>
      <c r="M26" s="270"/>
      <c r="N26" s="268"/>
      <c r="O26" s="689"/>
      <c r="P26" s="685">
        <v>2100</v>
      </c>
      <c r="Q26" s="268">
        <v>3600</v>
      </c>
      <c r="R26" s="268">
        <v>3000</v>
      </c>
      <c r="S26" s="317">
        <f t="shared" si="2"/>
        <v>8700</v>
      </c>
      <c r="T26" s="320">
        <f t="shared" si="1"/>
        <v>8700</v>
      </c>
    </row>
    <row r="27" spans="1:21" ht="12" thickBot="1" x14ac:dyDescent="0.3">
      <c r="A27" s="267">
        <v>21</v>
      </c>
      <c r="B27" s="313" t="s">
        <v>284</v>
      </c>
      <c r="C27" s="314" t="s">
        <v>285</v>
      </c>
      <c r="D27" s="315"/>
      <c r="E27" s="315"/>
      <c r="F27" s="315"/>
      <c r="G27" s="315"/>
      <c r="H27" s="315"/>
      <c r="I27" s="315"/>
      <c r="J27" s="315"/>
      <c r="K27" s="315"/>
      <c r="L27" s="318"/>
      <c r="M27" s="322"/>
      <c r="N27" s="690">
        <v>11035</v>
      </c>
      <c r="O27" s="691">
        <v>1418</v>
      </c>
      <c r="P27" s="685">
        <v>0</v>
      </c>
      <c r="Q27" s="268">
        <v>0</v>
      </c>
      <c r="R27" s="268">
        <v>0</v>
      </c>
      <c r="S27" s="317">
        <f t="shared" si="2"/>
        <v>0</v>
      </c>
      <c r="T27" s="320">
        <f t="shared" si="1"/>
        <v>11035</v>
      </c>
    </row>
    <row r="28" spans="1:21" x14ac:dyDescent="0.25">
      <c r="A28" s="271"/>
      <c r="B28" s="271"/>
      <c r="C28" s="272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</row>
    <row r="29" spans="1:21" ht="16.5" customHeight="1" x14ac:dyDescent="0.25">
      <c r="A29" s="271"/>
      <c r="B29" s="271"/>
      <c r="C29" s="274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</row>
    <row r="30" spans="1:21" s="274" customFormat="1" x14ac:dyDescent="0.25">
      <c r="A30" s="271"/>
      <c r="B30" s="271"/>
      <c r="C30" s="275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64"/>
    </row>
    <row r="31" spans="1:21" s="274" customFormat="1" x14ac:dyDescent="0.25">
      <c r="A31" s="265"/>
      <c r="B31" s="265"/>
      <c r="C31" s="264" t="s">
        <v>720</v>
      </c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4"/>
    </row>
    <row r="32" spans="1:21" s="274" customFormat="1" x14ac:dyDescent="0.25">
      <c r="A32" s="265"/>
      <c r="B32" s="265"/>
      <c r="C32" s="264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4"/>
    </row>
  </sheetData>
  <mergeCells count="16">
    <mergeCell ref="N3:O4"/>
    <mergeCell ref="S4:S5"/>
    <mergeCell ref="A1:T1"/>
    <mergeCell ref="A3:A5"/>
    <mergeCell ref="B3:B5"/>
    <mergeCell ref="C3:C5"/>
    <mergeCell ref="D3:L3"/>
    <mergeCell ref="M3:M5"/>
    <mergeCell ref="P3:S3"/>
    <mergeCell ref="T3:T5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20" sqref="E20"/>
    </sheetView>
  </sheetViews>
  <sheetFormatPr defaultRowHeight="11.25" x14ac:dyDescent="0.2"/>
  <cols>
    <col min="1" max="1" width="3.7109375" style="26" customWidth="1"/>
    <col min="2" max="2" width="9.140625" style="26"/>
    <col min="3" max="3" width="27.7109375" style="26" customWidth="1"/>
    <col min="4" max="4" width="9.140625" style="26"/>
    <col min="5" max="6" width="12" style="26" customWidth="1"/>
    <col min="7" max="7" width="11.140625" style="26" customWidth="1"/>
    <col min="8" max="8" width="12" style="26" customWidth="1"/>
    <col min="9" max="9" width="11" style="26" customWidth="1"/>
    <col min="10" max="10" width="11.7109375" style="26" customWidth="1"/>
    <col min="11" max="11" width="8" style="667" customWidth="1"/>
    <col min="12" max="12" width="11.42578125" style="26" customWidth="1"/>
    <col min="13" max="14" width="12.7109375" style="26" customWidth="1"/>
    <col min="15" max="15" width="7.7109375" style="667" customWidth="1"/>
    <col min="16" max="16" width="12.28515625" style="26" customWidth="1"/>
    <col min="17" max="17" width="11.28515625" style="26" customWidth="1"/>
    <col min="18" max="18" width="8.28515625" style="26" customWidth="1"/>
    <col min="19" max="19" width="13.28515625" style="26" customWidth="1"/>
    <col min="20" max="20" width="11" style="26" customWidth="1"/>
    <col min="21" max="253" width="9.140625" style="26"/>
    <col min="254" max="254" width="3.7109375" style="26" customWidth="1"/>
    <col min="255" max="255" width="9.140625" style="26"/>
    <col min="256" max="256" width="27.7109375" style="26" customWidth="1"/>
    <col min="257" max="257" width="9.140625" style="26"/>
    <col min="258" max="259" width="12" style="26" customWidth="1"/>
    <col min="260" max="260" width="11.140625" style="26" customWidth="1"/>
    <col min="261" max="261" width="12" style="26" customWidth="1"/>
    <col min="262" max="262" width="11" style="26" customWidth="1"/>
    <col min="263" max="263" width="11.7109375" style="26" customWidth="1"/>
    <col min="264" max="264" width="8" style="26" customWidth="1"/>
    <col min="265" max="265" width="11.42578125" style="26" customWidth="1"/>
    <col min="266" max="267" width="12.7109375" style="26" customWidth="1"/>
    <col min="268" max="268" width="7.7109375" style="26" customWidth="1"/>
    <col min="269" max="269" width="12.28515625" style="26" customWidth="1"/>
    <col min="270" max="270" width="11.28515625" style="26" customWidth="1"/>
    <col min="271" max="271" width="8.28515625" style="26" customWidth="1"/>
    <col min="272" max="272" width="13.28515625" style="26" customWidth="1"/>
    <col min="273" max="273" width="11" style="26" customWidth="1"/>
    <col min="274" max="509" width="9.140625" style="26"/>
    <col min="510" max="510" width="3.7109375" style="26" customWidth="1"/>
    <col min="511" max="511" width="9.140625" style="26"/>
    <col min="512" max="512" width="27.7109375" style="26" customWidth="1"/>
    <col min="513" max="513" width="9.140625" style="26"/>
    <col min="514" max="515" width="12" style="26" customWidth="1"/>
    <col min="516" max="516" width="11.140625" style="26" customWidth="1"/>
    <col min="517" max="517" width="12" style="26" customWidth="1"/>
    <col min="518" max="518" width="11" style="26" customWidth="1"/>
    <col min="519" max="519" width="11.7109375" style="26" customWidth="1"/>
    <col min="520" max="520" width="8" style="26" customWidth="1"/>
    <col min="521" max="521" width="11.42578125" style="26" customWidth="1"/>
    <col min="522" max="523" width="12.7109375" style="26" customWidth="1"/>
    <col min="524" max="524" width="7.7109375" style="26" customWidth="1"/>
    <col min="525" max="525" width="12.28515625" style="26" customWidth="1"/>
    <col min="526" max="526" width="11.28515625" style="26" customWidth="1"/>
    <col min="527" max="527" width="8.28515625" style="26" customWidth="1"/>
    <col min="528" max="528" width="13.28515625" style="26" customWidth="1"/>
    <col min="529" max="529" width="11" style="26" customWidth="1"/>
    <col min="530" max="765" width="9.140625" style="26"/>
    <col min="766" max="766" width="3.7109375" style="26" customWidth="1"/>
    <col min="767" max="767" width="9.140625" style="26"/>
    <col min="768" max="768" width="27.7109375" style="26" customWidth="1"/>
    <col min="769" max="769" width="9.140625" style="26"/>
    <col min="770" max="771" width="12" style="26" customWidth="1"/>
    <col min="772" max="772" width="11.140625" style="26" customWidth="1"/>
    <col min="773" max="773" width="12" style="26" customWidth="1"/>
    <col min="774" max="774" width="11" style="26" customWidth="1"/>
    <col min="775" max="775" width="11.7109375" style="26" customWidth="1"/>
    <col min="776" max="776" width="8" style="26" customWidth="1"/>
    <col min="777" max="777" width="11.42578125" style="26" customWidth="1"/>
    <col min="778" max="779" width="12.7109375" style="26" customWidth="1"/>
    <col min="780" max="780" width="7.7109375" style="26" customWidth="1"/>
    <col min="781" max="781" width="12.28515625" style="26" customWidth="1"/>
    <col min="782" max="782" width="11.28515625" style="26" customWidth="1"/>
    <col min="783" max="783" width="8.28515625" style="26" customWidth="1"/>
    <col min="784" max="784" width="13.28515625" style="26" customWidth="1"/>
    <col min="785" max="785" width="11" style="26" customWidth="1"/>
    <col min="786" max="1021" width="9.140625" style="26"/>
    <col min="1022" max="1022" width="3.7109375" style="26" customWidth="1"/>
    <col min="1023" max="1023" width="9.140625" style="26"/>
    <col min="1024" max="1024" width="27.7109375" style="26" customWidth="1"/>
    <col min="1025" max="1025" width="9.140625" style="26"/>
    <col min="1026" max="1027" width="12" style="26" customWidth="1"/>
    <col min="1028" max="1028" width="11.140625" style="26" customWidth="1"/>
    <col min="1029" max="1029" width="12" style="26" customWidth="1"/>
    <col min="1030" max="1030" width="11" style="26" customWidth="1"/>
    <col min="1031" max="1031" width="11.7109375" style="26" customWidth="1"/>
    <col min="1032" max="1032" width="8" style="26" customWidth="1"/>
    <col min="1033" max="1033" width="11.42578125" style="26" customWidth="1"/>
    <col min="1034" max="1035" width="12.7109375" style="26" customWidth="1"/>
    <col min="1036" max="1036" width="7.7109375" style="26" customWidth="1"/>
    <col min="1037" max="1037" width="12.28515625" style="26" customWidth="1"/>
    <col min="1038" max="1038" width="11.28515625" style="26" customWidth="1"/>
    <col min="1039" max="1039" width="8.28515625" style="26" customWidth="1"/>
    <col min="1040" max="1040" width="13.28515625" style="26" customWidth="1"/>
    <col min="1041" max="1041" width="11" style="26" customWidth="1"/>
    <col min="1042" max="1277" width="9.140625" style="26"/>
    <col min="1278" max="1278" width="3.7109375" style="26" customWidth="1"/>
    <col min="1279" max="1279" width="9.140625" style="26"/>
    <col min="1280" max="1280" width="27.7109375" style="26" customWidth="1"/>
    <col min="1281" max="1281" width="9.140625" style="26"/>
    <col min="1282" max="1283" width="12" style="26" customWidth="1"/>
    <col min="1284" max="1284" width="11.140625" style="26" customWidth="1"/>
    <col min="1285" max="1285" width="12" style="26" customWidth="1"/>
    <col min="1286" max="1286" width="11" style="26" customWidth="1"/>
    <col min="1287" max="1287" width="11.7109375" style="26" customWidth="1"/>
    <col min="1288" max="1288" width="8" style="26" customWidth="1"/>
    <col min="1289" max="1289" width="11.42578125" style="26" customWidth="1"/>
    <col min="1290" max="1291" width="12.7109375" style="26" customWidth="1"/>
    <col min="1292" max="1292" width="7.7109375" style="26" customWidth="1"/>
    <col min="1293" max="1293" width="12.28515625" style="26" customWidth="1"/>
    <col min="1294" max="1294" width="11.28515625" style="26" customWidth="1"/>
    <col min="1295" max="1295" width="8.28515625" style="26" customWidth="1"/>
    <col min="1296" max="1296" width="13.28515625" style="26" customWidth="1"/>
    <col min="1297" max="1297" width="11" style="26" customWidth="1"/>
    <col min="1298" max="1533" width="9.140625" style="26"/>
    <col min="1534" max="1534" width="3.7109375" style="26" customWidth="1"/>
    <col min="1535" max="1535" width="9.140625" style="26"/>
    <col min="1536" max="1536" width="27.7109375" style="26" customWidth="1"/>
    <col min="1537" max="1537" width="9.140625" style="26"/>
    <col min="1538" max="1539" width="12" style="26" customWidth="1"/>
    <col min="1540" max="1540" width="11.140625" style="26" customWidth="1"/>
    <col min="1541" max="1541" width="12" style="26" customWidth="1"/>
    <col min="1542" max="1542" width="11" style="26" customWidth="1"/>
    <col min="1543" max="1543" width="11.7109375" style="26" customWidth="1"/>
    <col min="1544" max="1544" width="8" style="26" customWidth="1"/>
    <col min="1545" max="1545" width="11.42578125" style="26" customWidth="1"/>
    <col min="1546" max="1547" width="12.7109375" style="26" customWidth="1"/>
    <col min="1548" max="1548" width="7.7109375" style="26" customWidth="1"/>
    <col min="1549" max="1549" width="12.28515625" style="26" customWidth="1"/>
    <col min="1550" max="1550" width="11.28515625" style="26" customWidth="1"/>
    <col min="1551" max="1551" width="8.28515625" style="26" customWidth="1"/>
    <col min="1552" max="1552" width="13.28515625" style="26" customWidth="1"/>
    <col min="1553" max="1553" width="11" style="26" customWidth="1"/>
    <col min="1554" max="1789" width="9.140625" style="26"/>
    <col min="1790" max="1790" width="3.7109375" style="26" customWidth="1"/>
    <col min="1791" max="1791" width="9.140625" style="26"/>
    <col min="1792" max="1792" width="27.7109375" style="26" customWidth="1"/>
    <col min="1793" max="1793" width="9.140625" style="26"/>
    <col min="1794" max="1795" width="12" style="26" customWidth="1"/>
    <col min="1796" max="1796" width="11.140625" style="26" customWidth="1"/>
    <col min="1797" max="1797" width="12" style="26" customWidth="1"/>
    <col min="1798" max="1798" width="11" style="26" customWidth="1"/>
    <col min="1799" max="1799" width="11.7109375" style="26" customWidth="1"/>
    <col min="1800" max="1800" width="8" style="26" customWidth="1"/>
    <col min="1801" max="1801" width="11.42578125" style="26" customWidth="1"/>
    <col min="1802" max="1803" width="12.7109375" style="26" customWidth="1"/>
    <col min="1804" max="1804" width="7.7109375" style="26" customWidth="1"/>
    <col min="1805" max="1805" width="12.28515625" style="26" customWidth="1"/>
    <col min="1806" max="1806" width="11.28515625" style="26" customWidth="1"/>
    <col min="1807" max="1807" width="8.28515625" style="26" customWidth="1"/>
    <col min="1808" max="1808" width="13.28515625" style="26" customWidth="1"/>
    <col min="1809" max="1809" width="11" style="26" customWidth="1"/>
    <col min="1810" max="2045" width="9.140625" style="26"/>
    <col min="2046" max="2046" width="3.7109375" style="26" customWidth="1"/>
    <col min="2047" max="2047" width="9.140625" style="26"/>
    <col min="2048" max="2048" width="27.7109375" style="26" customWidth="1"/>
    <col min="2049" max="2049" width="9.140625" style="26"/>
    <col min="2050" max="2051" width="12" style="26" customWidth="1"/>
    <col min="2052" max="2052" width="11.140625" style="26" customWidth="1"/>
    <col min="2053" max="2053" width="12" style="26" customWidth="1"/>
    <col min="2054" max="2054" width="11" style="26" customWidth="1"/>
    <col min="2055" max="2055" width="11.7109375" style="26" customWidth="1"/>
    <col min="2056" max="2056" width="8" style="26" customWidth="1"/>
    <col min="2057" max="2057" width="11.42578125" style="26" customWidth="1"/>
    <col min="2058" max="2059" width="12.7109375" style="26" customWidth="1"/>
    <col min="2060" max="2060" width="7.7109375" style="26" customWidth="1"/>
    <col min="2061" max="2061" width="12.28515625" style="26" customWidth="1"/>
    <col min="2062" max="2062" width="11.28515625" style="26" customWidth="1"/>
    <col min="2063" max="2063" width="8.28515625" style="26" customWidth="1"/>
    <col min="2064" max="2064" width="13.28515625" style="26" customWidth="1"/>
    <col min="2065" max="2065" width="11" style="26" customWidth="1"/>
    <col min="2066" max="2301" width="9.140625" style="26"/>
    <col min="2302" max="2302" width="3.7109375" style="26" customWidth="1"/>
    <col min="2303" max="2303" width="9.140625" style="26"/>
    <col min="2304" max="2304" width="27.7109375" style="26" customWidth="1"/>
    <col min="2305" max="2305" width="9.140625" style="26"/>
    <col min="2306" max="2307" width="12" style="26" customWidth="1"/>
    <col min="2308" max="2308" width="11.140625" style="26" customWidth="1"/>
    <col min="2309" max="2309" width="12" style="26" customWidth="1"/>
    <col min="2310" max="2310" width="11" style="26" customWidth="1"/>
    <col min="2311" max="2311" width="11.7109375" style="26" customWidth="1"/>
    <col min="2312" max="2312" width="8" style="26" customWidth="1"/>
    <col min="2313" max="2313" width="11.42578125" style="26" customWidth="1"/>
    <col min="2314" max="2315" width="12.7109375" style="26" customWidth="1"/>
    <col min="2316" max="2316" width="7.7109375" style="26" customWidth="1"/>
    <col min="2317" max="2317" width="12.28515625" style="26" customWidth="1"/>
    <col min="2318" max="2318" width="11.28515625" style="26" customWidth="1"/>
    <col min="2319" max="2319" width="8.28515625" style="26" customWidth="1"/>
    <col min="2320" max="2320" width="13.28515625" style="26" customWidth="1"/>
    <col min="2321" max="2321" width="11" style="26" customWidth="1"/>
    <col min="2322" max="2557" width="9.140625" style="26"/>
    <col min="2558" max="2558" width="3.7109375" style="26" customWidth="1"/>
    <col min="2559" max="2559" width="9.140625" style="26"/>
    <col min="2560" max="2560" width="27.7109375" style="26" customWidth="1"/>
    <col min="2561" max="2561" width="9.140625" style="26"/>
    <col min="2562" max="2563" width="12" style="26" customWidth="1"/>
    <col min="2564" max="2564" width="11.140625" style="26" customWidth="1"/>
    <col min="2565" max="2565" width="12" style="26" customWidth="1"/>
    <col min="2566" max="2566" width="11" style="26" customWidth="1"/>
    <col min="2567" max="2567" width="11.7109375" style="26" customWidth="1"/>
    <col min="2568" max="2568" width="8" style="26" customWidth="1"/>
    <col min="2569" max="2569" width="11.42578125" style="26" customWidth="1"/>
    <col min="2570" max="2571" width="12.7109375" style="26" customWidth="1"/>
    <col min="2572" max="2572" width="7.7109375" style="26" customWidth="1"/>
    <col min="2573" max="2573" width="12.28515625" style="26" customWidth="1"/>
    <col min="2574" max="2574" width="11.28515625" style="26" customWidth="1"/>
    <col min="2575" max="2575" width="8.28515625" style="26" customWidth="1"/>
    <col min="2576" max="2576" width="13.28515625" style="26" customWidth="1"/>
    <col min="2577" max="2577" width="11" style="26" customWidth="1"/>
    <col min="2578" max="2813" width="9.140625" style="26"/>
    <col min="2814" max="2814" width="3.7109375" style="26" customWidth="1"/>
    <col min="2815" max="2815" width="9.140625" style="26"/>
    <col min="2816" max="2816" width="27.7109375" style="26" customWidth="1"/>
    <col min="2817" max="2817" width="9.140625" style="26"/>
    <col min="2818" max="2819" width="12" style="26" customWidth="1"/>
    <col min="2820" max="2820" width="11.140625" style="26" customWidth="1"/>
    <col min="2821" max="2821" width="12" style="26" customWidth="1"/>
    <col min="2822" max="2822" width="11" style="26" customWidth="1"/>
    <col min="2823" max="2823" width="11.7109375" style="26" customWidth="1"/>
    <col min="2824" max="2824" width="8" style="26" customWidth="1"/>
    <col min="2825" max="2825" width="11.42578125" style="26" customWidth="1"/>
    <col min="2826" max="2827" width="12.7109375" style="26" customWidth="1"/>
    <col min="2828" max="2828" width="7.7109375" style="26" customWidth="1"/>
    <col min="2829" max="2829" width="12.28515625" style="26" customWidth="1"/>
    <col min="2830" max="2830" width="11.28515625" style="26" customWidth="1"/>
    <col min="2831" max="2831" width="8.28515625" style="26" customWidth="1"/>
    <col min="2832" max="2832" width="13.28515625" style="26" customWidth="1"/>
    <col min="2833" max="2833" width="11" style="26" customWidth="1"/>
    <col min="2834" max="3069" width="9.140625" style="26"/>
    <col min="3070" max="3070" width="3.7109375" style="26" customWidth="1"/>
    <col min="3071" max="3071" width="9.140625" style="26"/>
    <col min="3072" max="3072" width="27.7109375" style="26" customWidth="1"/>
    <col min="3073" max="3073" width="9.140625" style="26"/>
    <col min="3074" max="3075" width="12" style="26" customWidth="1"/>
    <col min="3076" max="3076" width="11.140625" style="26" customWidth="1"/>
    <col min="3077" max="3077" width="12" style="26" customWidth="1"/>
    <col min="3078" max="3078" width="11" style="26" customWidth="1"/>
    <col min="3079" max="3079" width="11.7109375" style="26" customWidth="1"/>
    <col min="3080" max="3080" width="8" style="26" customWidth="1"/>
    <col min="3081" max="3081" width="11.42578125" style="26" customWidth="1"/>
    <col min="3082" max="3083" width="12.7109375" style="26" customWidth="1"/>
    <col min="3084" max="3084" width="7.7109375" style="26" customWidth="1"/>
    <col min="3085" max="3085" width="12.28515625" style="26" customWidth="1"/>
    <col min="3086" max="3086" width="11.28515625" style="26" customWidth="1"/>
    <col min="3087" max="3087" width="8.28515625" style="26" customWidth="1"/>
    <col min="3088" max="3088" width="13.28515625" style="26" customWidth="1"/>
    <col min="3089" max="3089" width="11" style="26" customWidth="1"/>
    <col min="3090" max="3325" width="9.140625" style="26"/>
    <col min="3326" max="3326" width="3.7109375" style="26" customWidth="1"/>
    <col min="3327" max="3327" width="9.140625" style="26"/>
    <col min="3328" max="3328" width="27.7109375" style="26" customWidth="1"/>
    <col min="3329" max="3329" width="9.140625" style="26"/>
    <col min="3330" max="3331" width="12" style="26" customWidth="1"/>
    <col min="3332" max="3332" width="11.140625" style="26" customWidth="1"/>
    <col min="3333" max="3333" width="12" style="26" customWidth="1"/>
    <col min="3334" max="3334" width="11" style="26" customWidth="1"/>
    <col min="3335" max="3335" width="11.7109375" style="26" customWidth="1"/>
    <col min="3336" max="3336" width="8" style="26" customWidth="1"/>
    <col min="3337" max="3337" width="11.42578125" style="26" customWidth="1"/>
    <col min="3338" max="3339" width="12.7109375" style="26" customWidth="1"/>
    <col min="3340" max="3340" width="7.7109375" style="26" customWidth="1"/>
    <col min="3341" max="3341" width="12.28515625" style="26" customWidth="1"/>
    <col min="3342" max="3342" width="11.28515625" style="26" customWidth="1"/>
    <col min="3343" max="3343" width="8.28515625" style="26" customWidth="1"/>
    <col min="3344" max="3344" width="13.28515625" style="26" customWidth="1"/>
    <col min="3345" max="3345" width="11" style="26" customWidth="1"/>
    <col min="3346" max="3581" width="9.140625" style="26"/>
    <col min="3582" max="3582" width="3.7109375" style="26" customWidth="1"/>
    <col min="3583" max="3583" width="9.140625" style="26"/>
    <col min="3584" max="3584" width="27.7109375" style="26" customWidth="1"/>
    <col min="3585" max="3585" width="9.140625" style="26"/>
    <col min="3586" max="3587" width="12" style="26" customWidth="1"/>
    <col min="3588" max="3588" width="11.140625" style="26" customWidth="1"/>
    <col min="3589" max="3589" width="12" style="26" customWidth="1"/>
    <col min="3590" max="3590" width="11" style="26" customWidth="1"/>
    <col min="3591" max="3591" width="11.7109375" style="26" customWidth="1"/>
    <col min="3592" max="3592" width="8" style="26" customWidth="1"/>
    <col min="3593" max="3593" width="11.42578125" style="26" customWidth="1"/>
    <col min="3594" max="3595" width="12.7109375" style="26" customWidth="1"/>
    <col min="3596" max="3596" width="7.7109375" style="26" customWidth="1"/>
    <col min="3597" max="3597" width="12.28515625" style="26" customWidth="1"/>
    <col min="3598" max="3598" width="11.28515625" style="26" customWidth="1"/>
    <col min="3599" max="3599" width="8.28515625" style="26" customWidth="1"/>
    <col min="3600" max="3600" width="13.28515625" style="26" customWidth="1"/>
    <col min="3601" max="3601" width="11" style="26" customWidth="1"/>
    <col min="3602" max="3837" width="9.140625" style="26"/>
    <col min="3838" max="3838" width="3.7109375" style="26" customWidth="1"/>
    <col min="3839" max="3839" width="9.140625" style="26"/>
    <col min="3840" max="3840" width="27.7109375" style="26" customWidth="1"/>
    <col min="3841" max="3841" width="9.140625" style="26"/>
    <col min="3842" max="3843" width="12" style="26" customWidth="1"/>
    <col min="3844" max="3844" width="11.140625" style="26" customWidth="1"/>
    <col min="3845" max="3845" width="12" style="26" customWidth="1"/>
    <col min="3846" max="3846" width="11" style="26" customWidth="1"/>
    <col min="3847" max="3847" width="11.7109375" style="26" customWidth="1"/>
    <col min="3848" max="3848" width="8" style="26" customWidth="1"/>
    <col min="3849" max="3849" width="11.42578125" style="26" customWidth="1"/>
    <col min="3850" max="3851" width="12.7109375" style="26" customWidth="1"/>
    <col min="3852" max="3852" width="7.7109375" style="26" customWidth="1"/>
    <col min="3853" max="3853" width="12.28515625" style="26" customWidth="1"/>
    <col min="3854" max="3854" width="11.28515625" style="26" customWidth="1"/>
    <col min="3855" max="3855" width="8.28515625" style="26" customWidth="1"/>
    <col min="3856" max="3856" width="13.28515625" style="26" customWidth="1"/>
    <col min="3857" max="3857" width="11" style="26" customWidth="1"/>
    <col min="3858" max="4093" width="9.140625" style="26"/>
    <col min="4094" max="4094" width="3.7109375" style="26" customWidth="1"/>
    <col min="4095" max="4095" width="9.140625" style="26"/>
    <col min="4096" max="4096" width="27.7109375" style="26" customWidth="1"/>
    <col min="4097" max="4097" width="9.140625" style="26"/>
    <col min="4098" max="4099" width="12" style="26" customWidth="1"/>
    <col min="4100" max="4100" width="11.140625" style="26" customWidth="1"/>
    <col min="4101" max="4101" width="12" style="26" customWidth="1"/>
    <col min="4102" max="4102" width="11" style="26" customWidth="1"/>
    <col min="4103" max="4103" width="11.7109375" style="26" customWidth="1"/>
    <col min="4104" max="4104" width="8" style="26" customWidth="1"/>
    <col min="4105" max="4105" width="11.42578125" style="26" customWidth="1"/>
    <col min="4106" max="4107" width="12.7109375" style="26" customWidth="1"/>
    <col min="4108" max="4108" width="7.7109375" style="26" customWidth="1"/>
    <col min="4109" max="4109" width="12.28515625" style="26" customWidth="1"/>
    <col min="4110" max="4110" width="11.28515625" style="26" customWidth="1"/>
    <col min="4111" max="4111" width="8.28515625" style="26" customWidth="1"/>
    <col min="4112" max="4112" width="13.28515625" style="26" customWidth="1"/>
    <col min="4113" max="4113" width="11" style="26" customWidth="1"/>
    <col min="4114" max="4349" width="9.140625" style="26"/>
    <col min="4350" max="4350" width="3.7109375" style="26" customWidth="1"/>
    <col min="4351" max="4351" width="9.140625" style="26"/>
    <col min="4352" max="4352" width="27.7109375" style="26" customWidth="1"/>
    <col min="4353" max="4353" width="9.140625" style="26"/>
    <col min="4354" max="4355" width="12" style="26" customWidth="1"/>
    <col min="4356" max="4356" width="11.140625" style="26" customWidth="1"/>
    <col min="4357" max="4357" width="12" style="26" customWidth="1"/>
    <col min="4358" max="4358" width="11" style="26" customWidth="1"/>
    <col min="4359" max="4359" width="11.7109375" style="26" customWidth="1"/>
    <col min="4360" max="4360" width="8" style="26" customWidth="1"/>
    <col min="4361" max="4361" width="11.42578125" style="26" customWidth="1"/>
    <col min="4362" max="4363" width="12.7109375" style="26" customWidth="1"/>
    <col min="4364" max="4364" width="7.7109375" style="26" customWidth="1"/>
    <col min="4365" max="4365" width="12.28515625" style="26" customWidth="1"/>
    <col min="4366" max="4366" width="11.28515625" style="26" customWidth="1"/>
    <col min="4367" max="4367" width="8.28515625" style="26" customWidth="1"/>
    <col min="4368" max="4368" width="13.28515625" style="26" customWidth="1"/>
    <col min="4369" max="4369" width="11" style="26" customWidth="1"/>
    <col min="4370" max="4605" width="9.140625" style="26"/>
    <col min="4606" max="4606" width="3.7109375" style="26" customWidth="1"/>
    <col min="4607" max="4607" width="9.140625" style="26"/>
    <col min="4608" max="4608" width="27.7109375" style="26" customWidth="1"/>
    <col min="4609" max="4609" width="9.140625" style="26"/>
    <col min="4610" max="4611" width="12" style="26" customWidth="1"/>
    <col min="4612" max="4612" width="11.140625" style="26" customWidth="1"/>
    <col min="4613" max="4613" width="12" style="26" customWidth="1"/>
    <col min="4614" max="4614" width="11" style="26" customWidth="1"/>
    <col min="4615" max="4615" width="11.7109375" style="26" customWidth="1"/>
    <col min="4616" max="4616" width="8" style="26" customWidth="1"/>
    <col min="4617" max="4617" width="11.42578125" style="26" customWidth="1"/>
    <col min="4618" max="4619" width="12.7109375" style="26" customWidth="1"/>
    <col min="4620" max="4620" width="7.7109375" style="26" customWidth="1"/>
    <col min="4621" max="4621" width="12.28515625" style="26" customWidth="1"/>
    <col min="4622" max="4622" width="11.28515625" style="26" customWidth="1"/>
    <col min="4623" max="4623" width="8.28515625" style="26" customWidth="1"/>
    <col min="4624" max="4624" width="13.28515625" style="26" customWidth="1"/>
    <col min="4625" max="4625" width="11" style="26" customWidth="1"/>
    <col min="4626" max="4861" width="9.140625" style="26"/>
    <col min="4862" max="4862" width="3.7109375" style="26" customWidth="1"/>
    <col min="4863" max="4863" width="9.140625" style="26"/>
    <col min="4864" max="4864" width="27.7109375" style="26" customWidth="1"/>
    <col min="4865" max="4865" width="9.140625" style="26"/>
    <col min="4866" max="4867" width="12" style="26" customWidth="1"/>
    <col min="4868" max="4868" width="11.140625" style="26" customWidth="1"/>
    <col min="4869" max="4869" width="12" style="26" customWidth="1"/>
    <col min="4870" max="4870" width="11" style="26" customWidth="1"/>
    <col min="4871" max="4871" width="11.7109375" style="26" customWidth="1"/>
    <col min="4872" max="4872" width="8" style="26" customWidth="1"/>
    <col min="4873" max="4873" width="11.42578125" style="26" customWidth="1"/>
    <col min="4874" max="4875" width="12.7109375" style="26" customWidth="1"/>
    <col min="4876" max="4876" width="7.7109375" style="26" customWidth="1"/>
    <col min="4877" max="4877" width="12.28515625" style="26" customWidth="1"/>
    <col min="4878" max="4878" width="11.28515625" style="26" customWidth="1"/>
    <col min="4879" max="4879" width="8.28515625" style="26" customWidth="1"/>
    <col min="4880" max="4880" width="13.28515625" style="26" customWidth="1"/>
    <col min="4881" max="4881" width="11" style="26" customWidth="1"/>
    <col min="4882" max="5117" width="9.140625" style="26"/>
    <col min="5118" max="5118" width="3.7109375" style="26" customWidth="1"/>
    <col min="5119" max="5119" width="9.140625" style="26"/>
    <col min="5120" max="5120" width="27.7109375" style="26" customWidth="1"/>
    <col min="5121" max="5121" width="9.140625" style="26"/>
    <col min="5122" max="5123" width="12" style="26" customWidth="1"/>
    <col min="5124" max="5124" width="11.140625" style="26" customWidth="1"/>
    <col min="5125" max="5125" width="12" style="26" customWidth="1"/>
    <col min="5126" max="5126" width="11" style="26" customWidth="1"/>
    <col min="5127" max="5127" width="11.7109375" style="26" customWidth="1"/>
    <col min="5128" max="5128" width="8" style="26" customWidth="1"/>
    <col min="5129" max="5129" width="11.42578125" style="26" customWidth="1"/>
    <col min="5130" max="5131" width="12.7109375" style="26" customWidth="1"/>
    <col min="5132" max="5132" width="7.7109375" style="26" customWidth="1"/>
    <col min="5133" max="5133" width="12.28515625" style="26" customWidth="1"/>
    <col min="5134" max="5134" width="11.28515625" style="26" customWidth="1"/>
    <col min="5135" max="5135" width="8.28515625" style="26" customWidth="1"/>
    <col min="5136" max="5136" width="13.28515625" style="26" customWidth="1"/>
    <col min="5137" max="5137" width="11" style="26" customWidth="1"/>
    <col min="5138" max="5373" width="9.140625" style="26"/>
    <col min="5374" max="5374" width="3.7109375" style="26" customWidth="1"/>
    <col min="5375" max="5375" width="9.140625" style="26"/>
    <col min="5376" max="5376" width="27.7109375" style="26" customWidth="1"/>
    <col min="5377" max="5377" width="9.140625" style="26"/>
    <col min="5378" max="5379" width="12" style="26" customWidth="1"/>
    <col min="5380" max="5380" width="11.140625" style="26" customWidth="1"/>
    <col min="5381" max="5381" width="12" style="26" customWidth="1"/>
    <col min="5382" max="5382" width="11" style="26" customWidth="1"/>
    <col min="5383" max="5383" width="11.7109375" style="26" customWidth="1"/>
    <col min="5384" max="5384" width="8" style="26" customWidth="1"/>
    <col min="5385" max="5385" width="11.42578125" style="26" customWidth="1"/>
    <col min="5386" max="5387" width="12.7109375" style="26" customWidth="1"/>
    <col min="5388" max="5388" width="7.7109375" style="26" customWidth="1"/>
    <col min="5389" max="5389" width="12.28515625" style="26" customWidth="1"/>
    <col min="5390" max="5390" width="11.28515625" style="26" customWidth="1"/>
    <col min="5391" max="5391" width="8.28515625" style="26" customWidth="1"/>
    <col min="5392" max="5392" width="13.28515625" style="26" customWidth="1"/>
    <col min="5393" max="5393" width="11" style="26" customWidth="1"/>
    <col min="5394" max="5629" width="9.140625" style="26"/>
    <col min="5630" max="5630" width="3.7109375" style="26" customWidth="1"/>
    <col min="5631" max="5631" width="9.140625" style="26"/>
    <col min="5632" max="5632" width="27.7109375" style="26" customWidth="1"/>
    <col min="5633" max="5633" width="9.140625" style="26"/>
    <col min="5634" max="5635" width="12" style="26" customWidth="1"/>
    <col min="5636" max="5636" width="11.140625" style="26" customWidth="1"/>
    <col min="5637" max="5637" width="12" style="26" customWidth="1"/>
    <col min="5638" max="5638" width="11" style="26" customWidth="1"/>
    <col min="5639" max="5639" width="11.7109375" style="26" customWidth="1"/>
    <col min="5640" max="5640" width="8" style="26" customWidth="1"/>
    <col min="5641" max="5641" width="11.42578125" style="26" customWidth="1"/>
    <col min="5642" max="5643" width="12.7109375" style="26" customWidth="1"/>
    <col min="5644" max="5644" width="7.7109375" style="26" customWidth="1"/>
    <col min="5645" max="5645" width="12.28515625" style="26" customWidth="1"/>
    <col min="5646" max="5646" width="11.28515625" style="26" customWidth="1"/>
    <col min="5647" max="5647" width="8.28515625" style="26" customWidth="1"/>
    <col min="5648" max="5648" width="13.28515625" style="26" customWidth="1"/>
    <col min="5649" max="5649" width="11" style="26" customWidth="1"/>
    <col min="5650" max="5885" width="9.140625" style="26"/>
    <col min="5886" max="5886" width="3.7109375" style="26" customWidth="1"/>
    <col min="5887" max="5887" width="9.140625" style="26"/>
    <col min="5888" max="5888" width="27.7109375" style="26" customWidth="1"/>
    <col min="5889" max="5889" width="9.140625" style="26"/>
    <col min="5890" max="5891" width="12" style="26" customWidth="1"/>
    <col min="5892" max="5892" width="11.140625" style="26" customWidth="1"/>
    <col min="5893" max="5893" width="12" style="26" customWidth="1"/>
    <col min="5894" max="5894" width="11" style="26" customWidth="1"/>
    <col min="5895" max="5895" width="11.7109375" style="26" customWidth="1"/>
    <col min="5896" max="5896" width="8" style="26" customWidth="1"/>
    <col min="5897" max="5897" width="11.42578125" style="26" customWidth="1"/>
    <col min="5898" max="5899" width="12.7109375" style="26" customWidth="1"/>
    <col min="5900" max="5900" width="7.7109375" style="26" customWidth="1"/>
    <col min="5901" max="5901" width="12.28515625" style="26" customWidth="1"/>
    <col min="5902" max="5902" width="11.28515625" style="26" customWidth="1"/>
    <col min="5903" max="5903" width="8.28515625" style="26" customWidth="1"/>
    <col min="5904" max="5904" width="13.28515625" style="26" customWidth="1"/>
    <col min="5905" max="5905" width="11" style="26" customWidth="1"/>
    <col min="5906" max="6141" width="9.140625" style="26"/>
    <col min="6142" max="6142" width="3.7109375" style="26" customWidth="1"/>
    <col min="6143" max="6143" width="9.140625" style="26"/>
    <col min="6144" max="6144" width="27.7109375" style="26" customWidth="1"/>
    <col min="6145" max="6145" width="9.140625" style="26"/>
    <col min="6146" max="6147" width="12" style="26" customWidth="1"/>
    <col min="6148" max="6148" width="11.140625" style="26" customWidth="1"/>
    <col min="6149" max="6149" width="12" style="26" customWidth="1"/>
    <col min="6150" max="6150" width="11" style="26" customWidth="1"/>
    <col min="6151" max="6151" width="11.7109375" style="26" customWidth="1"/>
    <col min="6152" max="6152" width="8" style="26" customWidth="1"/>
    <col min="6153" max="6153" width="11.42578125" style="26" customWidth="1"/>
    <col min="6154" max="6155" width="12.7109375" style="26" customWidth="1"/>
    <col min="6156" max="6156" width="7.7109375" style="26" customWidth="1"/>
    <col min="6157" max="6157" width="12.28515625" style="26" customWidth="1"/>
    <col min="6158" max="6158" width="11.28515625" style="26" customWidth="1"/>
    <col min="6159" max="6159" width="8.28515625" style="26" customWidth="1"/>
    <col min="6160" max="6160" width="13.28515625" style="26" customWidth="1"/>
    <col min="6161" max="6161" width="11" style="26" customWidth="1"/>
    <col min="6162" max="6397" width="9.140625" style="26"/>
    <col min="6398" max="6398" width="3.7109375" style="26" customWidth="1"/>
    <col min="6399" max="6399" width="9.140625" style="26"/>
    <col min="6400" max="6400" width="27.7109375" style="26" customWidth="1"/>
    <col min="6401" max="6401" width="9.140625" style="26"/>
    <col min="6402" max="6403" width="12" style="26" customWidth="1"/>
    <col min="6404" max="6404" width="11.140625" style="26" customWidth="1"/>
    <col min="6405" max="6405" width="12" style="26" customWidth="1"/>
    <col min="6406" max="6406" width="11" style="26" customWidth="1"/>
    <col min="6407" max="6407" width="11.7109375" style="26" customWidth="1"/>
    <col min="6408" max="6408" width="8" style="26" customWidth="1"/>
    <col min="6409" max="6409" width="11.42578125" style="26" customWidth="1"/>
    <col min="6410" max="6411" width="12.7109375" style="26" customWidth="1"/>
    <col min="6412" max="6412" width="7.7109375" style="26" customWidth="1"/>
    <col min="6413" max="6413" width="12.28515625" style="26" customWidth="1"/>
    <col min="6414" max="6414" width="11.28515625" style="26" customWidth="1"/>
    <col min="6415" max="6415" width="8.28515625" style="26" customWidth="1"/>
    <col min="6416" max="6416" width="13.28515625" style="26" customWidth="1"/>
    <col min="6417" max="6417" width="11" style="26" customWidth="1"/>
    <col min="6418" max="6653" width="9.140625" style="26"/>
    <col min="6654" max="6654" width="3.7109375" style="26" customWidth="1"/>
    <col min="6655" max="6655" width="9.140625" style="26"/>
    <col min="6656" max="6656" width="27.7109375" style="26" customWidth="1"/>
    <col min="6657" max="6657" width="9.140625" style="26"/>
    <col min="6658" max="6659" width="12" style="26" customWidth="1"/>
    <col min="6660" max="6660" width="11.140625" style="26" customWidth="1"/>
    <col min="6661" max="6661" width="12" style="26" customWidth="1"/>
    <col min="6662" max="6662" width="11" style="26" customWidth="1"/>
    <col min="6663" max="6663" width="11.7109375" style="26" customWidth="1"/>
    <col min="6664" max="6664" width="8" style="26" customWidth="1"/>
    <col min="6665" max="6665" width="11.42578125" style="26" customWidth="1"/>
    <col min="6666" max="6667" width="12.7109375" style="26" customWidth="1"/>
    <col min="6668" max="6668" width="7.7109375" style="26" customWidth="1"/>
    <col min="6669" max="6669" width="12.28515625" style="26" customWidth="1"/>
    <col min="6670" max="6670" width="11.28515625" style="26" customWidth="1"/>
    <col min="6671" max="6671" width="8.28515625" style="26" customWidth="1"/>
    <col min="6672" max="6672" width="13.28515625" style="26" customWidth="1"/>
    <col min="6673" max="6673" width="11" style="26" customWidth="1"/>
    <col min="6674" max="6909" width="9.140625" style="26"/>
    <col min="6910" max="6910" width="3.7109375" style="26" customWidth="1"/>
    <col min="6911" max="6911" width="9.140625" style="26"/>
    <col min="6912" max="6912" width="27.7109375" style="26" customWidth="1"/>
    <col min="6913" max="6913" width="9.140625" style="26"/>
    <col min="6914" max="6915" width="12" style="26" customWidth="1"/>
    <col min="6916" max="6916" width="11.140625" style="26" customWidth="1"/>
    <col min="6917" max="6917" width="12" style="26" customWidth="1"/>
    <col min="6918" max="6918" width="11" style="26" customWidth="1"/>
    <col min="6919" max="6919" width="11.7109375" style="26" customWidth="1"/>
    <col min="6920" max="6920" width="8" style="26" customWidth="1"/>
    <col min="6921" max="6921" width="11.42578125" style="26" customWidth="1"/>
    <col min="6922" max="6923" width="12.7109375" style="26" customWidth="1"/>
    <col min="6924" max="6924" width="7.7109375" style="26" customWidth="1"/>
    <col min="6925" max="6925" width="12.28515625" style="26" customWidth="1"/>
    <col min="6926" max="6926" width="11.28515625" style="26" customWidth="1"/>
    <col min="6927" max="6927" width="8.28515625" style="26" customWidth="1"/>
    <col min="6928" max="6928" width="13.28515625" style="26" customWidth="1"/>
    <col min="6929" max="6929" width="11" style="26" customWidth="1"/>
    <col min="6930" max="7165" width="9.140625" style="26"/>
    <col min="7166" max="7166" width="3.7109375" style="26" customWidth="1"/>
    <col min="7167" max="7167" width="9.140625" style="26"/>
    <col min="7168" max="7168" width="27.7109375" style="26" customWidth="1"/>
    <col min="7169" max="7169" width="9.140625" style="26"/>
    <col min="7170" max="7171" width="12" style="26" customWidth="1"/>
    <col min="7172" max="7172" width="11.140625" style="26" customWidth="1"/>
    <col min="7173" max="7173" width="12" style="26" customWidth="1"/>
    <col min="7174" max="7174" width="11" style="26" customWidth="1"/>
    <col min="7175" max="7175" width="11.7109375" style="26" customWidth="1"/>
    <col min="7176" max="7176" width="8" style="26" customWidth="1"/>
    <col min="7177" max="7177" width="11.42578125" style="26" customWidth="1"/>
    <col min="7178" max="7179" width="12.7109375" style="26" customWidth="1"/>
    <col min="7180" max="7180" width="7.7109375" style="26" customWidth="1"/>
    <col min="7181" max="7181" width="12.28515625" style="26" customWidth="1"/>
    <col min="7182" max="7182" width="11.28515625" style="26" customWidth="1"/>
    <col min="7183" max="7183" width="8.28515625" style="26" customWidth="1"/>
    <col min="7184" max="7184" width="13.28515625" style="26" customWidth="1"/>
    <col min="7185" max="7185" width="11" style="26" customWidth="1"/>
    <col min="7186" max="7421" width="9.140625" style="26"/>
    <col min="7422" max="7422" width="3.7109375" style="26" customWidth="1"/>
    <col min="7423" max="7423" width="9.140625" style="26"/>
    <col min="7424" max="7424" width="27.7109375" style="26" customWidth="1"/>
    <col min="7425" max="7425" width="9.140625" style="26"/>
    <col min="7426" max="7427" width="12" style="26" customWidth="1"/>
    <col min="7428" max="7428" width="11.140625" style="26" customWidth="1"/>
    <col min="7429" max="7429" width="12" style="26" customWidth="1"/>
    <col min="7430" max="7430" width="11" style="26" customWidth="1"/>
    <col min="7431" max="7431" width="11.7109375" style="26" customWidth="1"/>
    <col min="7432" max="7432" width="8" style="26" customWidth="1"/>
    <col min="7433" max="7433" width="11.42578125" style="26" customWidth="1"/>
    <col min="7434" max="7435" width="12.7109375" style="26" customWidth="1"/>
    <col min="7436" max="7436" width="7.7109375" style="26" customWidth="1"/>
    <col min="7437" max="7437" width="12.28515625" style="26" customWidth="1"/>
    <col min="7438" max="7438" width="11.28515625" style="26" customWidth="1"/>
    <col min="7439" max="7439" width="8.28515625" style="26" customWidth="1"/>
    <col min="7440" max="7440" width="13.28515625" style="26" customWidth="1"/>
    <col min="7441" max="7441" width="11" style="26" customWidth="1"/>
    <col min="7442" max="7677" width="9.140625" style="26"/>
    <col min="7678" max="7678" width="3.7109375" style="26" customWidth="1"/>
    <col min="7679" max="7679" width="9.140625" style="26"/>
    <col min="7680" max="7680" width="27.7109375" style="26" customWidth="1"/>
    <col min="7681" max="7681" width="9.140625" style="26"/>
    <col min="7682" max="7683" width="12" style="26" customWidth="1"/>
    <col min="7684" max="7684" width="11.140625" style="26" customWidth="1"/>
    <col min="7685" max="7685" width="12" style="26" customWidth="1"/>
    <col min="7686" max="7686" width="11" style="26" customWidth="1"/>
    <col min="7687" max="7687" width="11.7109375" style="26" customWidth="1"/>
    <col min="7688" max="7688" width="8" style="26" customWidth="1"/>
    <col min="7689" max="7689" width="11.42578125" style="26" customWidth="1"/>
    <col min="7690" max="7691" width="12.7109375" style="26" customWidth="1"/>
    <col min="7692" max="7692" width="7.7109375" style="26" customWidth="1"/>
    <col min="7693" max="7693" width="12.28515625" style="26" customWidth="1"/>
    <col min="7694" max="7694" width="11.28515625" style="26" customWidth="1"/>
    <col min="7695" max="7695" width="8.28515625" style="26" customWidth="1"/>
    <col min="7696" max="7696" width="13.28515625" style="26" customWidth="1"/>
    <col min="7697" max="7697" width="11" style="26" customWidth="1"/>
    <col min="7698" max="7933" width="9.140625" style="26"/>
    <col min="7934" max="7934" width="3.7109375" style="26" customWidth="1"/>
    <col min="7935" max="7935" width="9.140625" style="26"/>
    <col min="7936" max="7936" width="27.7109375" style="26" customWidth="1"/>
    <col min="7937" max="7937" width="9.140625" style="26"/>
    <col min="7938" max="7939" width="12" style="26" customWidth="1"/>
    <col min="7940" max="7940" width="11.140625" style="26" customWidth="1"/>
    <col min="7941" max="7941" width="12" style="26" customWidth="1"/>
    <col min="7942" max="7942" width="11" style="26" customWidth="1"/>
    <col min="7943" max="7943" width="11.7109375" style="26" customWidth="1"/>
    <col min="7944" max="7944" width="8" style="26" customWidth="1"/>
    <col min="7945" max="7945" width="11.42578125" style="26" customWidth="1"/>
    <col min="7946" max="7947" width="12.7109375" style="26" customWidth="1"/>
    <col min="7948" max="7948" width="7.7109375" style="26" customWidth="1"/>
    <col min="7949" max="7949" width="12.28515625" style="26" customWidth="1"/>
    <col min="7950" max="7950" width="11.28515625" style="26" customWidth="1"/>
    <col min="7951" max="7951" width="8.28515625" style="26" customWidth="1"/>
    <col min="7952" max="7952" width="13.28515625" style="26" customWidth="1"/>
    <col min="7953" max="7953" width="11" style="26" customWidth="1"/>
    <col min="7954" max="8189" width="9.140625" style="26"/>
    <col min="8190" max="8190" width="3.7109375" style="26" customWidth="1"/>
    <col min="8191" max="8191" width="9.140625" style="26"/>
    <col min="8192" max="8192" width="27.7109375" style="26" customWidth="1"/>
    <col min="8193" max="8193" width="9.140625" style="26"/>
    <col min="8194" max="8195" width="12" style="26" customWidth="1"/>
    <col min="8196" max="8196" width="11.140625" style="26" customWidth="1"/>
    <col min="8197" max="8197" width="12" style="26" customWidth="1"/>
    <col min="8198" max="8198" width="11" style="26" customWidth="1"/>
    <col min="8199" max="8199" width="11.7109375" style="26" customWidth="1"/>
    <col min="8200" max="8200" width="8" style="26" customWidth="1"/>
    <col min="8201" max="8201" width="11.42578125" style="26" customWidth="1"/>
    <col min="8202" max="8203" width="12.7109375" style="26" customWidth="1"/>
    <col min="8204" max="8204" width="7.7109375" style="26" customWidth="1"/>
    <col min="8205" max="8205" width="12.28515625" style="26" customWidth="1"/>
    <col min="8206" max="8206" width="11.28515625" style="26" customWidth="1"/>
    <col min="8207" max="8207" width="8.28515625" style="26" customWidth="1"/>
    <col min="8208" max="8208" width="13.28515625" style="26" customWidth="1"/>
    <col min="8209" max="8209" width="11" style="26" customWidth="1"/>
    <col min="8210" max="8445" width="9.140625" style="26"/>
    <col min="8446" max="8446" width="3.7109375" style="26" customWidth="1"/>
    <col min="8447" max="8447" width="9.140625" style="26"/>
    <col min="8448" max="8448" width="27.7109375" style="26" customWidth="1"/>
    <col min="8449" max="8449" width="9.140625" style="26"/>
    <col min="8450" max="8451" width="12" style="26" customWidth="1"/>
    <col min="8452" max="8452" width="11.140625" style="26" customWidth="1"/>
    <col min="8453" max="8453" width="12" style="26" customWidth="1"/>
    <col min="8454" max="8454" width="11" style="26" customWidth="1"/>
    <col min="8455" max="8455" width="11.7109375" style="26" customWidth="1"/>
    <col min="8456" max="8456" width="8" style="26" customWidth="1"/>
    <col min="8457" max="8457" width="11.42578125" style="26" customWidth="1"/>
    <col min="8458" max="8459" width="12.7109375" style="26" customWidth="1"/>
    <col min="8460" max="8460" width="7.7109375" style="26" customWidth="1"/>
    <col min="8461" max="8461" width="12.28515625" style="26" customWidth="1"/>
    <col min="8462" max="8462" width="11.28515625" style="26" customWidth="1"/>
    <col min="8463" max="8463" width="8.28515625" style="26" customWidth="1"/>
    <col min="8464" max="8464" width="13.28515625" style="26" customWidth="1"/>
    <col min="8465" max="8465" width="11" style="26" customWidth="1"/>
    <col min="8466" max="8701" width="9.140625" style="26"/>
    <col min="8702" max="8702" width="3.7109375" style="26" customWidth="1"/>
    <col min="8703" max="8703" width="9.140625" style="26"/>
    <col min="8704" max="8704" width="27.7109375" style="26" customWidth="1"/>
    <col min="8705" max="8705" width="9.140625" style="26"/>
    <col min="8706" max="8707" width="12" style="26" customWidth="1"/>
    <col min="8708" max="8708" width="11.140625" style="26" customWidth="1"/>
    <col min="8709" max="8709" width="12" style="26" customWidth="1"/>
    <col min="8710" max="8710" width="11" style="26" customWidth="1"/>
    <col min="8711" max="8711" width="11.7109375" style="26" customWidth="1"/>
    <col min="8712" max="8712" width="8" style="26" customWidth="1"/>
    <col min="8713" max="8713" width="11.42578125" style="26" customWidth="1"/>
    <col min="8714" max="8715" width="12.7109375" style="26" customWidth="1"/>
    <col min="8716" max="8716" width="7.7109375" style="26" customWidth="1"/>
    <col min="8717" max="8717" width="12.28515625" style="26" customWidth="1"/>
    <col min="8718" max="8718" width="11.28515625" style="26" customWidth="1"/>
    <col min="8719" max="8719" width="8.28515625" style="26" customWidth="1"/>
    <col min="8720" max="8720" width="13.28515625" style="26" customWidth="1"/>
    <col min="8721" max="8721" width="11" style="26" customWidth="1"/>
    <col min="8722" max="8957" width="9.140625" style="26"/>
    <col min="8958" max="8958" width="3.7109375" style="26" customWidth="1"/>
    <col min="8959" max="8959" width="9.140625" style="26"/>
    <col min="8960" max="8960" width="27.7109375" style="26" customWidth="1"/>
    <col min="8961" max="8961" width="9.140625" style="26"/>
    <col min="8962" max="8963" width="12" style="26" customWidth="1"/>
    <col min="8964" max="8964" width="11.140625" style="26" customWidth="1"/>
    <col min="8965" max="8965" width="12" style="26" customWidth="1"/>
    <col min="8966" max="8966" width="11" style="26" customWidth="1"/>
    <col min="8967" max="8967" width="11.7109375" style="26" customWidth="1"/>
    <col min="8968" max="8968" width="8" style="26" customWidth="1"/>
    <col min="8969" max="8969" width="11.42578125" style="26" customWidth="1"/>
    <col min="8970" max="8971" width="12.7109375" style="26" customWidth="1"/>
    <col min="8972" max="8972" width="7.7109375" style="26" customWidth="1"/>
    <col min="8973" max="8973" width="12.28515625" style="26" customWidth="1"/>
    <col min="8974" max="8974" width="11.28515625" style="26" customWidth="1"/>
    <col min="8975" max="8975" width="8.28515625" style="26" customWidth="1"/>
    <col min="8976" max="8976" width="13.28515625" style="26" customWidth="1"/>
    <col min="8977" max="8977" width="11" style="26" customWidth="1"/>
    <col min="8978" max="9213" width="9.140625" style="26"/>
    <col min="9214" max="9214" width="3.7109375" style="26" customWidth="1"/>
    <col min="9215" max="9215" width="9.140625" style="26"/>
    <col min="9216" max="9216" width="27.7109375" style="26" customWidth="1"/>
    <col min="9217" max="9217" width="9.140625" style="26"/>
    <col min="9218" max="9219" width="12" style="26" customWidth="1"/>
    <col min="9220" max="9220" width="11.140625" style="26" customWidth="1"/>
    <col min="9221" max="9221" width="12" style="26" customWidth="1"/>
    <col min="9222" max="9222" width="11" style="26" customWidth="1"/>
    <col min="9223" max="9223" width="11.7109375" style="26" customWidth="1"/>
    <col min="9224" max="9224" width="8" style="26" customWidth="1"/>
    <col min="9225" max="9225" width="11.42578125" style="26" customWidth="1"/>
    <col min="9226" max="9227" width="12.7109375" style="26" customWidth="1"/>
    <col min="9228" max="9228" width="7.7109375" style="26" customWidth="1"/>
    <col min="9229" max="9229" width="12.28515625" style="26" customWidth="1"/>
    <col min="9230" max="9230" width="11.28515625" style="26" customWidth="1"/>
    <col min="9231" max="9231" width="8.28515625" style="26" customWidth="1"/>
    <col min="9232" max="9232" width="13.28515625" style="26" customWidth="1"/>
    <col min="9233" max="9233" width="11" style="26" customWidth="1"/>
    <col min="9234" max="9469" width="9.140625" style="26"/>
    <col min="9470" max="9470" width="3.7109375" style="26" customWidth="1"/>
    <col min="9471" max="9471" width="9.140625" style="26"/>
    <col min="9472" max="9472" width="27.7109375" style="26" customWidth="1"/>
    <col min="9473" max="9473" width="9.140625" style="26"/>
    <col min="9474" max="9475" width="12" style="26" customWidth="1"/>
    <col min="9476" max="9476" width="11.140625" style="26" customWidth="1"/>
    <col min="9477" max="9477" width="12" style="26" customWidth="1"/>
    <col min="9478" max="9478" width="11" style="26" customWidth="1"/>
    <col min="9479" max="9479" width="11.7109375" style="26" customWidth="1"/>
    <col min="9480" max="9480" width="8" style="26" customWidth="1"/>
    <col min="9481" max="9481" width="11.42578125" style="26" customWidth="1"/>
    <col min="9482" max="9483" width="12.7109375" style="26" customWidth="1"/>
    <col min="9484" max="9484" width="7.7109375" style="26" customWidth="1"/>
    <col min="9485" max="9485" width="12.28515625" style="26" customWidth="1"/>
    <col min="9486" max="9486" width="11.28515625" style="26" customWidth="1"/>
    <col min="9487" max="9487" width="8.28515625" style="26" customWidth="1"/>
    <col min="9488" max="9488" width="13.28515625" style="26" customWidth="1"/>
    <col min="9489" max="9489" width="11" style="26" customWidth="1"/>
    <col min="9490" max="9725" width="9.140625" style="26"/>
    <col min="9726" max="9726" width="3.7109375" style="26" customWidth="1"/>
    <col min="9727" max="9727" width="9.140625" style="26"/>
    <col min="9728" max="9728" width="27.7109375" style="26" customWidth="1"/>
    <col min="9729" max="9729" width="9.140625" style="26"/>
    <col min="9730" max="9731" width="12" style="26" customWidth="1"/>
    <col min="9732" max="9732" width="11.140625" style="26" customWidth="1"/>
    <col min="9733" max="9733" width="12" style="26" customWidth="1"/>
    <col min="9734" max="9734" width="11" style="26" customWidth="1"/>
    <col min="9735" max="9735" width="11.7109375" style="26" customWidth="1"/>
    <col min="9736" max="9736" width="8" style="26" customWidth="1"/>
    <col min="9737" max="9737" width="11.42578125" style="26" customWidth="1"/>
    <col min="9738" max="9739" width="12.7109375" style="26" customWidth="1"/>
    <col min="9740" max="9740" width="7.7109375" style="26" customWidth="1"/>
    <col min="9741" max="9741" width="12.28515625" style="26" customWidth="1"/>
    <col min="9742" max="9742" width="11.28515625" style="26" customWidth="1"/>
    <col min="9743" max="9743" width="8.28515625" style="26" customWidth="1"/>
    <col min="9744" max="9744" width="13.28515625" style="26" customWidth="1"/>
    <col min="9745" max="9745" width="11" style="26" customWidth="1"/>
    <col min="9746" max="9981" width="9.140625" style="26"/>
    <col min="9982" max="9982" width="3.7109375" style="26" customWidth="1"/>
    <col min="9983" max="9983" width="9.140625" style="26"/>
    <col min="9984" max="9984" width="27.7109375" style="26" customWidth="1"/>
    <col min="9985" max="9985" width="9.140625" style="26"/>
    <col min="9986" max="9987" width="12" style="26" customWidth="1"/>
    <col min="9988" max="9988" width="11.140625" style="26" customWidth="1"/>
    <col min="9989" max="9989" width="12" style="26" customWidth="1"/>
    <col min="9990" max="9990" width="11" style="26" customWidth="1"/>
    <col min="9991" max="9991" width="11.7109375" style="26" customWidth="1"/>
    <col min="9992" max="9992" width="8" style="26" customWidth="1"/>
    <col min="9993" max="9993" width="11.42578125" style="26" customWidth="1"/>
    <col min="9994" max="9995" width="12.7109375" style="26" customWidth="1"/>
    <col min="9996" max="9996" width="7.7109375" style="26" customWidth="1"/>
    <col min="9997" max="9997" width="12.28515625" style="26" customWidth="1"/>
    <col min="9998" max="9998" width="11.28515625" style="26" customWidth="1"/>
    <col min="9999" max="9999" width="8.28515625" style="26" customWidth="1"/>
    <col min="10000" max="10000" width="13.28515625" style="26" customWidth="1"/>
    <col min="10001" max="10001" width="11" style="26" customWidth="1"/>
    <col min="10002" max="10237" width="9.140625" style="26"/>
    <col min="10238" max="10238" width="3.7109375" style="26" customWidth="1"/>
    <col min="10239" max="10239" width="9.140625" style="26"/>
    <col min="10240" max="10240" width="27.7109375" style="26" customWidth="1"/>
    <col min="10241" max="10241" width="9.140625" style="26"/>
    <col min="10242" max="10243" width="12" style="26" customWidth="1"/>
    <col min="10244" max="10244" width="11.140625" style="26" customWidth="1"/>
    <col min="10245" max="10245" width="12" style="26" customWidth="1"/>
    <col min="10246" max="10246" width="11" style="26" customWidth="1"/>
    <col min="10247" max="10247" width="11.7109375" style="26" customWidth="1"/>
    <col min="10248" max="10248" width="8" style="26" customWidth="1"/>
    <col min="10249" max="10249" width="11.42578125" style="26" customWidth="1"/>
    <col min="10250" max="10251" width="12.7109375" style="26" customWidth="1"/>
    <col min="10252" max="10252" width="7.7109375" style="26" customWidth="1"/>
    <col min="10253" max="10253" width="12.28515625" style="26" customWidth="1"/>
    <col min="10254" max="10254" width="11.28515625" style="26" customWidth="1"/>
    <col min="10255" max="10255" width="8.28515625" style="26" customWidth="1"/>
    <col min="10256" max="10256" width="13.28515625" style="26" customWidth="1"/>
    <col min="10257" max="10257" width="11" style="26" customWidth="1"/>
    <col min="10258" max="10493" width="9.140625" style="26"/>
    <col min="10494" max="10494" width="3.7109375" style="26" customWidth="1"/>
    <col min="10495" max="10495" width="9.140625" style="26"/>
    <col min="10496" max="10496" width="27.7109375" style="26" customWidth="1"/>
    <col min="10497" max="10497" width="9.140625" style="26"/>
    <col min="10498" max="10499" width="12" style="26" customWidth="1"/>
    <col min="10500" max="10500" width="11.140625" style="26" customWidth="1"/>
    <col min="10501" max="10501" width="12" style="26" customWidth="1"/>
    <col min="10502" max="10502" width="11" style="26" customWidth="1"/>
    <col min="10503" max="10503" width="11.7109375" style="26" customWidth="1"/>
    <col min="10504" max="10504" width="8" style="26" customWidth="1"/>
    <col min="10505" max="10505" width="11.42578125" style="26" customWidth="1"/>
    <col min="10506" max="10507" width="12.7109375" style="26" customWidth="1"/>
    <col min="10508" max="10508" width="7.7109375" style="26" customWidth="1"/>
    <col min="10509" max="10509" width="12.28515625" style="26" customWidth="1"/>
    <col min="10510" max="10510" width="11.28515625" style="26" customWidth="1"/>
    <col min="10511" max="10511" width="8.28515625" style="26" customWidth="1"/>
    <col min="10512" max="10512" width="13.28515625" style="26" customWidth="1"/>
    <col min="10513" max="10513" width="11" style="26" customWidth="1"/>
    <col min="10514" max="10749" width="9.140625" style="26"/>
    <col min="10750" max="10750" width="3.7109375" style="26" customWidth="1"/>
    <col min="10751" max="10751" width="9.140625" style="26"/>
    <col min="10752" max="10752" width="27.7109375" style="26" customWidth="1"/>
    <col min="10753" max="10753" width="9.140625" style="26"/>
    <col min="10754" max="10755" width="12" style="26" customWidth="1"/>
    <col min="10756" max="10756" width="11.140625" style="26" customWidth="1"/>
    <col min="10757" max="10757" width="12" style="26" customWidth="1"/>
    <col min="10758" max="10758" width="11" style="26" customWidth="1"/>
    <col min="10759" max="10759" width="11.7109375" style="26" customWidth="1"/>
    <col min="10760" max="10760" width="8" style="26" customWidth="1"/>
    <col min="10761" max="10761" width="11.42578125" style="26" customWidth="1"/>
    <col min="10762" max="10763" width="12.7109375" style="26" customWidth="1"/>
    <col min="10764" max="10764" width="7.7109375" style="26" customWidth="1"/>
    <col min="10765" max="10765" width="12.28515625" style="26" customWidth="1"/>
    <col min="10766" max="10766" width="11.28515625" style="26" customWidth="1"/>
    <col min="10767" max="10767" width="8.28515625" style="26" customWidth="1"/>
    <col min="10768" max="10768" width="13.28515625" style="26" customWidth="1"/>
    <col min="10769" max="10769" width="11" style="26" customWidth="1"/>
    <col min="10770" max="11005" width="9.140625" style="26"/>
    <col min="11006" max="11006" width="3.7109375" style="26" customWidth="1"/>
    <col min="11007" max="11007" width="9.140625" style="26"/>
    <col min="11008" max="11008" width="27.7109375" style="26" customWidth="1"/>
    <col min="11009" max="11009" width="9.140625" style="26"/>
    <col min="11010" max="11011" width="12" style="26" customWidth="1"/>
    <col min="11012" max="11012" width="11.140625" style="26" customWidth="1"/>
    <col min="11013" max="11013" width="12" style="26" customWidth="1"/>
    <col min="11014" max="11014" width="11" style="26" customWidth="1"/>
    <col min="11015" max="11015" width="11.7109375" style="26" customWidth="1"/>
    <col min="11016" max="11016" width="8" style="26" customWidth="1"/>
    <col min="11017" max="11017" width="11.42578125" style="26" customWidth="1"/>
    <col min="11018" max="11019" width="12.7109375" style="26" customWidth="1"/>
    <col min="11020" max="11020" width="7.7109375" style="26" customWidth="1"/>
    <col min="11021" max="11021" width="12.28515625" style="26" customWidth="1"/>
    <col min="11022" max="11022" width="11.28515625" style="26" customWidth="1"/>
    <col min="11023" max="11023" width="8.28515625" style="26" customWidth="1"/>
    <col min="11024" max="11024" width="13.28515625" style="26" customWidth="1"/>
    <col min="11025" max="11025" width="11" style="26" customWidth="1"/>
    <col min="11026" max="11261" width="9.140625" style="26"/>
    <col min="11262" max="11262" width="3.7109375" style="26" customWidth="1"/>
    <col min="11263" max="11263" width="9.140625" style="26"/>
    <col min="11264" max="11264" width="27.7109375" style="26" customWidth="1"/>
    <col min="11265" max="11265" width="9.140625" style="26"/>
    <col min="11266" max="11267" width="12" style="26" customWidth="1"/>
    <col min="11268" max="11268" width="11.140625" style="26" customWidth="1"/>
    <col min="11269" max="11269" width="12" style="26" customWidth="1"/>
    <col min="11270" max="11270" width="11" style="26" customWidth="1"/>
    <col min="11271" max="11271" width="11.7109375" style="26" customWidth="1"/>
    <col min="11272" max="11272" width="8" style="26" customWidth="1"/>
    <col min="11273" max="11273" width="11.42578125" style="26" customWidth="1"/>
    <col min="11274" max="11275" width="12.7109375" style="26" customWidth="1"/>
    <col min="11276" max="11276" width="7.7109375" style="26" customWidth="1"/>
    <col min="11277" max="11277" width="12.28515625" style="26" customWidth="1"/>
    <col min="11278" max="11278" width="11.28515625" style="26" customWidth="1"/>
    <col min="11279" max="11279" width="8.28515625" style="26" customWidth="1"/>
    <col min="11280" max="11280" width="13.28515625" style="26" customWidth="1"/>
    <col min="11281" max="11281" width="11" style="26" customWidth="1"/>
    <col min="11282" max="11517" width="9.140625" style="26"/>
    <col min="11518" max="11518" width="3.7109375" style="26" customWidth="1"/>
    <col min="11519" max="11519" width="9.140625" style="26"/>
    <col min="11520" max="11520" width="27.7109375" style="26" customWidth="1"/>
    <col min="11521" max="11521" width="9.140625" style="26"/>
    <col min="11522" max="11523" width="12" style="26" customWidth="1"/>
    <col min="11524" max="11524" width="11.140625" style="26" customWidth="1"/>
    <col min="11525" max="11525" width="12" style="26" customWidth="1"/>
    <col min="11526" max="11526" width="11" style="26" customWidth="1"/>
    <col min="11527" max="11527" width="11.7109375" style="26" customWidth="1"/>
    <col min="11528" max="11528" width="8" style="26" customWidth="1"/>
    <col min="11529" max="11529" width="11.42578125" style="26" customWidth="1"/>
    <col min="11530" max="11531" width="12.7109375" style="26" customWidth="1"/>
    <col min="11532" max="11532" width="7.7109375" style="26" customWidth="1"/>
    <col min="11533" max="11533" width="12.28515625" style="26" customWidth="1"/>
    <col min="11534" max="11534" width="11.28515625" style="26" customWidth="1"/>
    <col min="11535" max="11535" width="8.28515625" style="26" customWidth="1"/>
    <col min="11536" max="11536" width="13.28515625" style="26" customWidth="1"/>
    <col min="11537" max="11537" width="11" style="26" customWidth="1"/>
    <col min="11538" max="11773" width="9.140625" style="26"/>
    <col min="11774" max="11774" width="3.7109375" style="26" customWidth="1"/>
    <col min="11775" max="11775" width="9.140625" style="26"/>
    <col min="11776" max="11776" width="27.7109375" style="26" customWidth="1"/>
    <col min="11777" max="11777" width="9.140625" style="26"/>
    <col min="11778" max="11779" width="12" style="26" customWidth="1"/>
    <col min="11780" max="11780" width="11.140625" style="26" customWidth="1"/>
    <col min="11781" max="11781" width="12" style="26" customWidth="1"/>
    <col min="11782" max="11782" width="11" style="26" customWidth="1"/>
    <col min="11783" max="11783" width="11.7109375" style="26" customWidth="1"/>
    <col min="11784" max="11784" width="8" style="26" customWidth="1"/>
    <col min="11785" max="11785" width="11.42578125" style="26" customWidth="1"/>
    <col min="11786" max="11787" width="12.7109375" style="26" customWidth="1"/>
    <col min="11788" max="11788" width="7.7109375" style="26" customWidth="1"/>
    <col min="11789" max="11789" width="12.28515625" style="26" customWidth="1"/>
    <col min="11790" max="11790" width="11.28515625" style="26" customWidth="1"/>
    <col min="11791" max="11791" width="8.28515625" style="26" customWidth="1"/>
    <col min="11792" max="11792" width="13.28515625" style="26" customWidth="1"/>
    <col min="11793" max="11793" width="11" style="26" customWidth="1"/>
    <col min="11794" max="12029" width="9.140625" style="26"/>
    <col min="12030" max="12030" width="3.7109375" style="26" customWidth="1"/>
    <col min="12031" max="12031" width="9.140625" style="26"/>
    <col min="12032" max="12032" width="27.7109375" style="26" customWidth="1"/>
    <col min="12033" max="12033" width="9.140625" style="26"/>
    <col min="12034" max="12035" width="12" style="26" customWidth="1"/>
    <col min="12036" max="12036" width="11.140625" style="26" customWidth="1"/>
    <col min="12037" max="12037" width="12" style="26" customWidth="1"/>
    <col min="12038" max="12038" width="11" style="26" customWidth="1"/>
    <col min="12039" max="12039" width="11.7109375" style="26" customWidth="1"/>
    <col min="12040" max="12040" width="8" style="26" customWidth="1"/>
    <col min="12041" max="12041" width="11.42578125" style="26" customWidth="1"/>
    <col min="12042" max="12043" width="12.7109375" style="26" customWidth="1"/>
    <col min="12044" max="12044" width="7.7109375" style="26" customWidth="1"/>
    <col min="12045" max="12045" width="12.28515625" style="26" customWidth="1"/>
    <col min="12046" max="12046" width="11.28515625" style="26" customWidth="1"/>
    <col min="12047" max="12047" width="8.28515625" style="26" customWidth="1"/>
    <col min="12048" max="12048" width="13.28515625" style="26" customWidth="1"/>
    <col min="12049" max="12049" width="11" style="26" customWidth="1"/>
    <col min="12050" max="12285" width="9.140625" style="26"/>
    <col min="12286" max="12286" width="3.7109375" style="26" customWidth="1"/>
    <col min="12287" max="12287" width="9.140625" style="26"/>
    <col min="12288" max="12288" width="27.7109375" style="26" customWidth="1"/>
    <col min="12289" max="12289" width="9.140625" style="26"/>
    <col min="12290" max="12291" width="12" style="26" customWidth="1"/>
    <col min="12292" max="12292" width="11.140625" style="26" customWidth="1"/>
    <col min="12293" max="12293" width="12" style="26" customWidth="1"/>
    <col min="12294" max="12294" width="11" style="26" customWidth="1"/>
    <col min="12295" max="12295" width="11.7109375" style="26" customWidth="1"/>
    <col min="12296" max="12296" width="8" style="26" customWidth="1"/>
    <col min="12297" max="12297" width="11.42578125" style="26" customWidth="1"/>
    <col min="12298" max="12299" width="12.7109375" style="26" customWidth="1"/>
    <col min="12300" max="12300" width="7.7109375" style="26" customWidth="1"/>
    <col min="12301" max="12301" width="12.28515625" style="26" customWidth="1"/>
    <col min="12302" max="12302" width="11.28515625" style="26" customWidth="1"/>
    <col min="12303" max="12303" width="8.28515625" style="26" customWidth="1"/>
    <col min="12304" max="12304" width="13.28515625" style="26" customWidth="1"/>
    <col min="12305" max="12305" width="11" style="26" customWidth="1"/>
    <col min="12306" max="12541" width="9.140625" style="26"/>
    <col min="12542" max="12542" width="3.7109375" style="26" customWidth="1"/>
    <col min="12543" max="12543" width="9.140625" style="26"/>
    <col min="12544" max="12544" width="27.7109375" style="26" customWidth="1"/>
    <col min="12545" max="12545" width="9.140625" style="26"/>
    <col min="12546" max="12547" width="12" style="26" customWidth="1"/>
    <col min="12548" max="12548" width="11.140625" style="26" customWidth="1"/>
    <col min="12549" max="12549" width="12" style="26" customWidth="1"/>
    <col min="12550" max="12550" width="11" style="26" customWidth="1"/>
    <col min="12551" max="12551" width="11.7109375" style="26" customWidth="1"/>
    <col min="12552" max="12552" width="8" style="26" customWidth="1"/>
    <col min="12553" max="12553" width="11.42578125" style="26" customWidth="1"/>
    <col min="12554" max="12555" width="12.7109375" style="26" customWidth="1"/>
    <col min="12556" max="12556" width="7.7109375" style="26" customWidth="1"/>
    <col min="12557" max="12557" width="12.28515625" style="26" customWidth="1"/>
    <col min="12558" max="12558" width="11.28515625" style="26" customWidth="1"/>
    <col min="12559" max="12559" width="8.28515625" style="26" customWidth="1"/>
    <col min="12560" max="12560" width="13.28515625" style="26" customWidth="1"/>
    <col min="12561" max="12561" width="11" style="26" customWidth="1"/>
    <col min="12562" max="12797" width="9.140625" style="26"/>
    <col min="12798" max="12798" width="3.7109375" style="26" customWidth="1"/>
    <col min="12799" max="12799" width="9.140625" style="26"/>
    <col min="12800" max="12800" width="27.7109375" style="26" customWidth="1"/>
    <col min="12801" max="12801" width="9.140625" style="26"/>
    <col min="12802" max="12803" width="12" style="26" customWidth="1"/>
    <col min="12804" max="12804" width="11.140625" style="26" customWidth="1"/>
    <col min="12805" max="12805" width="12" style="26" customWidth="1"/>
    <col min="12806" max="12806" width="11" style="26" customWidth="1"/>
    <col min="12807" max="12807" width="11.7109375" style="26" customWidth="1"/>
    <col min="12808" max="12808" width="8" style="26" customWidth="1"/>
    <col min="12809" max="12809" width="11.42578125" style="26" customWidth="1"/>
    <col min="12810" max="12811" width="12.7109375" style="26" customWidth="1"/>
    <col min="12812" max="12812" width="7.7109375" style="26" customWidth="1"/>
    <col min="12813" max="12813" width="12.28515625" style="26" customWidth="1"/>
    <col min="12814" max="12814" width="11.28515625" style="26" customWidth="1"/>
    <col min="12815" max="12815" width="8.28515625" style="26" customWidth="1"/>
    <col min="12816" max="12816" width="13.28515625" style="26" customWidth="1"/>
    <col min="12817" max="12817" width="11" style="26" customWidth="1"/>
    <col min="12818" max="13053" width="9.140625" style="26"/>
    <col min="13054" max="13054" width="3.7109375" style="26" customWidth="1"/>
    <col min="13055" max="13055" width="9.140625" style="26"/>
    <col min="13056" max="13056" width="27.7109375" style="26" customWidth="1"/>
    <col min="13057" max="13057" width="9.140625" style="26"/>
    <col min="13058" max="13059" width="12" style="26" customWidth="1"/>
    <col min="13060" max="13060" width="11.140625" style="26" customWidth="1"/>
    <col min="13061" max="13061" width="12" style="26" customWidth="1"/>
    <col min="13062" max="13062" width="11" style="26" customWidth="1"/>
    <col min="13063" max="13063" width="11.7109375" style="26" customWidth="1"/>
    <col min="13064" max="13064" width="8" style="26" customWidth="1"/>
    <col min="13065" max="13065" width="11.42578125" style="26" customWidth="1"/>
    <col min="13066" max="13067" width="12.7109375" style="26" customWidth="1"/>
    <col min="13068" max="13068" width="7.7109375" style="26" customWidth="1"/>
    <col min="13069" max="13069" width="12.28515625" style="26" customWidth="1"/>
    <col min="13070" max="13070" width="11.28515625" style="26" customWidth="1"/>
    <col min="13071" max="13071" width="8.28515625" style="26" customWidth="1"/>
    <col min="13072" max="13072" width="13.28515625" style="26" customWidth="1"/>
    <col min="13073" max="13073" width="11" style="26" customWidth="1"/>
    <col min="13074" max="13309" width="9.140625" style="26"/>
    <col min="13310" max="13310" width="3.7109375" style="26" customWidth="1"/>
    <col min="13311" max="13311" width="9.140625" style="26"/>
    <col min="13312" max="13312" width="27.7109375" style="26" customWidth="1"/>
    <col min="13313" max="13313" width="9.140625" style="26"/>
    <col min="13314" max="13315" width="12" style="26" customWidth="1"/>
    <col min="13316" max="13316" width="11.140625" style="26" customWidth="1"/>
    <col min="13317" max="13317" width="12" style="26" customWidth="1"/>
    <col min="13318" max="13318" width="11" style="26" customWidth="1"/>
    <col min="13319" max="13319" width="11.7109375" style="26" customWidth="1"/>
    <col min="13320" max="13320" width="8" style="26" customWidth="1"/>
    <col min="13321" max="13321" width="11.42578125" style="26" customWidth="1"/>
    <col min="13322" max="13323" width="12.7109375" style="26" customWidth="1"/>
    <col min="13324" max="13324" width="7.7109375" style="26" customWidth="1"/>
    <col min="13325" max="13325" width="12.28515625" style="26" customWidth="1"/>
    <col min="13326" max="13326" width="11.28515625" style="26" customWidth="1"/>
    <col min="13327" max="13327" width="8.28515625" style="26" customWidth="1"/>
    <col min="13328" max="13328" width="13.28515625" style="26" customWidth="1"/>
    <col min="13329" max="13329" width="11" style="26" customWidth="1"/>
    <col min="13330" max="13565" width="9.140625" style="26"/>
    <col min="13566" max="13566" width="3.7109375" style="26" customWidth="1"/>
    <col min="13567" max="13567" width="9.140625" style="26"/>
    <col min="13568" max="13568" width="27.7109375" style="26" customWidth="1"/>
    <col min="13569" max="13569" width="9.140625" style="26"/>
    <col min="13570" max="13571" width="12" style="26" customWidth="1"/>
    <col min="13572" max="13572" width="11.140625" style="26" customWidth="1"/>
    <col min="13573" max="13573" width="12" style="26" customWidth="1"/>
    <col min="13574" max="13574" width="11" style="26" customWidth="1"/>
    <col min="13575" max="13575" width="11.7109375" style="26" customWidth="1"/>
    <col min="13576" max="13576" width="8" style="26" customWidth="1"/>
    <col min="13577" max="13577" width="11.42578125" style="26" customWidth="1"/>
    <col min="13578" max="13579" width="12.7109375" style="26" customWidth="1"/>
    <col min="13580" max="13580" width="7.7109375" style="26" customWidth="1"/>
    <col min="13581" max="13581" width="12.28515625" style="26" customWidth="1"/>
    <col min="13582" max="13582" width="11.28515625" style="26" customWidth="1"/>
    <col min="13583" max="13583" width="8.28515625" style="26" customWidth="1"/>
    <col min="13584" max="13584" width="13.28515625" style="26" customWidth="1"/>
    <col min="13585" max="13585" width="11" style="26" customWidth="1"/>
    <col min="13586" max="13821" width="9.140625" style="26"/>
    <col min="13822" max="13822" width="3.7109375" style="26" customWidth="1"/>
    <col min="13823" max="13823" width="9.140625" style="26"/>
    <col min="13824" max="13824" width="27.7109375" style="26" customWidth="1"/>
    <col min="13825" max="13825" width="9.140625" style="26"/>
    <col min="13826" max="13827" width="12" style="26" customWidth="1"/>
    <col min="13828" max="13828" width="11.140625" style="26" customWidth="1"/>
    <col min="13829" max="13829" width="12" style="26" customWidth="1"/>
    <col min="13830" max="13830" width="11" style="26" customWidth="1"/>
    <col min="13831" max="13831" width="11.7109375" style="26" customWidth="1"/>
    <col min="13832" max="13832" width="8" style="26" customWidth="1"/>
    <col min="13833" max="13833" width="11.42578125" style="26" customWidth="1"/>
    <col min="13834" max="13835" width="12.7109375" style="26" customWidth="1"/>
    <col min="13836" max="13836" width="7.7109375" style="26" customWidth="1"/>
    <col min="13837" max="13837" width="12.28515625" style="26" customWidth="1"/>
    <col min="13838" max="13838" width="11.28515625" style="26" customWidth="1"/>
    <col min="13839" max="13839" width="8.28515625" style="26" customWidth="1"/>
    <col min="13840" max="13840" width="13.28515625" style="26" customWidth="1"/>
    <col min="13841" max="13841" width="11" style="26" customWidth="1"/>
    <col min="13842" max="14077" width="9.140625" style="26"/>
    <col min="14078" max="14078" width="3.7109375" style="26" customWidth="1"/>
    <col min="14079" max="14079" width="9.140625" style="26"/>
    <col min="14080" max="14080" width="27.7109375" style="26" customWidth="1"/>
    <col min="14081" max="14081" width="9.140625" style="26"/>
    <col min="14082" max="14083" width="12" style="26" customWidth="1"/>
    <col min="14084" max="14084" width="11.140625" style="26" customWidth="1"/>
    <col min="14085" max="14085" width="12" style="26" customWidth="1"/>
    <col min="14086" max="14086" width="11" style="26" customWidth="1"/>
    <col min="14087" max="14087" width="11.7109375" style="26" customWidth="1"/>
    <col min="14088" max="14088" width="8" style="26" customWidth="1"/>
    <col min="14089" max="14089" width="11.42578125" style="26" customWidth="1"/>
    <col min="14090" max="14091" width="12.7109375" style="26" customWidth="1"/>
    <col min="14092" max="14092" width="7.7109375" style="26" customWidth="1"/>
    <col min="14093" max="14093" width="12.28515625" style="26" customWidth="1"/>
    <col min="14094" max="14094" width="11.28515625" style="26" customWidth="1"/>
    <col min="14095" max="14095" width="8.28515625" style="26" customWidth="1"/>
    <col min="14096" max="14096" width="13.28515625" style="26" customWidth="1"/>
    <col min="14097" max="14097" width="11" style="26" customWidth="1"/>
    <col min="14098" max="14333" width="9.140625" style="26"/>
    <col min="14334" max="14334" width="3.7109375" style="26" customWidth="1"/>
    <col min="14335" max="14335" width="9.140625" style="26"/>
    <col min="14336" max="14336" width="27.7109375" style="26" customWidth="1"/>
    <col min="14337" max="14337" width="9.140625" style="26"/>
    <col min="14338" max="14339" width="12" style="26" customWidth="1"/>
    <col min="14340" max="14340" width="11.140625" style="26" customWidth="1"/>
    <col min="14341" max="14341" width="12" style="26" customWidth="1"/>
    <col min="14342" max="14342" width="11" style="26" customWidth="1"/>
    <col min="14343" max="14343" width="11.7109375" style="26" customWidth="1"/>
    <col min="14344" max="14344" width="8" style="26" customWidth="1"/>
    <col min="14345" max="14345" width="11.42578125" style="26" customWidth="1"/>
    <col min="14346" max="14347" width="12.7109375" style="26" customWidth="1"/>
    <col min="14348" max="14348" width="7.7109375" style="26" customWidth="1"/>
    <col min="14349" max="14349" width="12.28515625" style="26" customWidth="1"/>
    <col min="14350" max="14350" width="11.28515625" style="26" customWidth="1"/>
    <col min="14351" max="14351" width="8.28515625" style="26" customWidth="1"/>
    <col min="14352" max="14352" width="13.28515625" style="26" customWidth="1"/>
    <col min="14353" max="14353" width="11" style="26" customWidth="1"/>
    <col min="14354" max="14589" width="9.140625" style="26"/>
    <col min="14590" max="14590" width="3.7109375" style="26" customWidth="1"/>
    <col min="14591" max="14591" width="9.140625" style="26"/>
    <col min="14592" max="14592" width="27.7109375" style="26" customWidth="1"/>
    <col min="14593" max="14593" width="9.140625" style="26"/>
    <col min="14594" max="14595" width="12" style="26" customWidth="1"/>
    <col min="14596" max="14596" width="11.140625" style="26" customWidth="1"/>
    <col min="14597" max="14597" width="12" style="26" customWidth="1"/>
    <col min="14598" max="14598" width="11" style="26" customWidth="1"/>
    <col min="14599" max="14599" width="11.7109375" style="26" customWidth="1"/>
    <col min="14600" max="14600" width="8" style="26" customWidth="1"/>
    <col min="14601" max="14601" width="11.42578125" style="26" customWidth="1"/>
    <col min="14602" max="14603" width="12.7109375" style="26" customWidth="1"/>
    <col min="14604" max="14604" width="7.7109375" style="26" customWidth="1"/>
    <col min="14605" max="14605" width="12.28515625" style="26" customWidth="1"/>
    <col min="14606" max="14606" width="11.28515625" style="26" customWidth="1"/>
    <col min="14607" max="14607" width="8.28515625" style="26" customWidth="1"/>
    <col min="14608" max="14608" width="13.28515625" style="26" customWidth="1"/>
    <col min="14609" max="14609" width="11" style="26" customWidth="1"/>
    <col min="14610" max="14845" width="9.140625" style="26"/>
    <col min="14846" max="14846" width="3.7109375" style="26" customWidth="1"/>
    <col min="14847" max="14847" width="9.140625" style="26"/>
    <col min="14848" max="14848" width="27.7109375" style="26" customWidth="1"/>
    <col min="14849" max="14849" width="9.140625" style="26"/>
    <col min="14850" max="14851" width="12" style="26" customWidth="1"/>
    <col min="14852" max="14852" width="11.140625" style="26" customWidth="1"/>
    <col min="14853" max="14853" width="12" style="26" customWidth="1"/>
    <col min="14854" max="14854" width="11" style="26" customWidth="1"/>
    <col min="14855" max="14855" width="11.7109375" style="26" customWidth="1"/>
    <col min="14856" max="14856" width="8" style="26" customWidth="1"/>
    <col min="14857" max="14857" width="11.42578125" style="26" customWidth="1"/>
    <col min="14858" max="14859" width="12.7109375" style="26" customWidth="1"/>
    <col min="14860" max="14860" width="7.7109375" style="26" customWidth="1"/>
    <col min="14861" max="14861" width="12.28515625" style="26" customWidth="1"/>
    <col min="14862" max="14862" width="11.28515625" style="26" customWidth="1"/>
    <col min="14863" max="14863" width="8.28515625" style="26" customWidth="1"/>
    <col min="14864" max="14864" width="13.28515625" style="26" customWidth="1"/>
    <col min="14865" max="14865" width="11" style="26" customWidth="1"/>
    <col min="14866" max="15101" width="9.140625" style="26"/>
    <col min="15102" max="15102" width="3.7109375" style="26" customWidth="1"/>
    <col min="15103" max="15103" width="9.140625" style="26"/>
    <col min="15104" max="15104" width="27.7109375" style="26" customWidth="1"/>
    <col min="15105" max="15105" width="9.140625" style="26"/>
    <col min="15106" max="15107" width="12" style="26" customWidth="1"/>
    <col min="15108" max="15108" width="11.140625" style="26" customWidth="1"/>
    <col min="15109" max="15109" width="12" style="26" customWidth="1"/>
    <col min="15110" max="15110" width="11" style="26" customWidth="1"/>
    <col min="15111" max="15111" width="11.7109375" style="26" customWidth="1"/>
    <col min="15112" max="15112" width="8" style="26" customWidth="1"/>
    <col min="15113" max="15113" width="11.42578125" style="26" customWidth="1"/>
    <col min="15114" max="15115" width="12.7109375" style="26" customWidth="1"/>
    <col min="15116" max="15116" width="7.7109375" style="26" customWidth="1"/>
    <col min="15117" max="15117" width="12.28515625" style="26" customWidth="1"/>
    <col min="15118" max="15118" width="11.28515625" style="26" customWidth="1"/>
    <col min="15119" max="15119" width="8.28515625" style="26" customWidth="1"/>
    <col min="15120" max="15120" width="13.28515625" style="26" customWidth="1"/>
    <col min="15121" max="15121" width="11" style="26" customWidth="1"/>
    <col min="15122" max="15357" width="9.140625" style="26"/>
    <col min="15358" max="15358" width="3.7109375" style="26" customWidth="1"/>
    <col min="15359" max="15359" width="9.140625" style="26"/>
    <col min="15360" max="15360" width="27.7109375" style="26" customWidth="1"/>
    <col min="15361" max="15361" width="9.140625" style="26"/>
    <col min="15362" max="15363" width="12" style="26" customWidth="1"/>
    <col min="15364" max="15364" width="11.140625" style="26" customWidth="1"/>
    <col min="15365" max="15365" width="12" style="26" customWidth="1"/>
    <col min="15366" max="15366" width="11" style="26" customWidth="1"/>
    <col min="15367" max="15367" width="11.7109375" style="26" customWidth="1"/>
    <col min="15368" max="15368" width="8" style="26" customWidth="1"/>
    <col min="15369" max="15369" width="11.42578125" style="26" customWidth="1"/>
    <col min="15370" max="15371" width="12.7109375" style="26" customWidth="1"/>
    <col min="15372" max="15372" width="7.7109375" style="26" customWidth="1"/>
    <col min="15373" max="15373" width="12.28515625" style="26" customWidth="1"/>
    <col min="15374" max="15374" width="11.28515625" style="26" customWidth="1"/>
    <col min="15375" max="15375" width="8.28515625" style="26" customWidth="1"/>
    <col min="15376" max="15376" width="13.28515625" style="26" customWidth="1"/>
    <col min="15377" max="15377" width="11" style="26" customWidth="1"/>
    <col min="15378" max="15613" width="9.140625" style="26"/>
    <col min="15614" max="15614" width="3.7109375" style="26" customWidth="1"/>
    <col min="15615" max="15615" width="9.140625" style="26"/>
    <col min="15616" max="15616" width="27.7109375" style="26" customWidth="1"/>
    <col min="15617" max="15617" width="9.140625" style="26"/>
    <col min="15618" max="15619" width="12" style="26" customWidth="1"/>
    <col min="15620" max="15620" width="11.140625" style="26" customWidth="1"/>
    <col min="15621" max="15621" width="12" style="26" customWidth="1"/>
    <col min="15622" max="15622" width="11" style="26" customWidth="1"/>
    <col min="15623" max="15623" width="11.7109375" style="26" customWidth="1"/>
    <col min="15624" max="15624" width="8" style="26" customWidth="1"/>
    <col min="15625" max="15625" width="11.42578125" style="26" customWidth="1"/>
    <col min="15626" max="15627" width="12.7109375" style="26" customWidth="1"/>
    <col min="15628" max="15628" width="7.7109375" style="26" customWidth="1"/>
    <col min="15629" max="15629" width="12.28515625" style="26" customWidth="1"/>
    <col min="15630" max="15630" width="11.28515625" style="26" customWidth="1"/>
    <col min="15631" max="15631" width="8.28515625" style="26" customWidth="1"/>
    <col min="15632" max="15632" width="13.28515625" style="26" customWidth="1"/>
    <col min="15633" max="15633" width="11" style="26" customWidth="1"/>
    <col min="15634" max="15869" width="9.140625" style="26"/>
    <col min="15870" max="15870" width="3.7109375" style="26" customWidth="1"/>
    <col min="15871" max="15871" width="9.140625" style="26"/>
    <col min="15872" max="15872" width="27.7109375" style="26" customWidth="1"/>
    <col min="15873" max="15873" width="9.140625" style="26"/>
    <col min="15874" max="15875" width="12" style="26" customWidth="1"/>
    <col min="15876" max="15876" width="11.140625" style="26" customWidth="1"/>
    <col min="15877" max="15877" width="12" style="26" customWidth="1"/>
    <col min="15878" max="15878" width="11" style="26" customWidth="1"/>
    <col min="15879" max="15879" width="11.7109375" style="26" customWidth="1"/>
    <col min="15880" max="15880" width="8" style="26" customWidth="1"/>
    <col min="15881" max="15881" width="11.42578125" style="26" customWidth="1"/>
    <col min="15882" max="15883" width="12.7109375" style="26" customWidth="1"/>
    <col min="15884" max="15884" width="7.7109375" style="26" customWidth="1"/>
    <col min="15885" max="15885" width="12.28515625" style="26" customWidth="1"/>
    <col min="15886" max="15886" width="11.28515625" style="26" customWidth="1"/>
    <col min="15887" max="15887" width="8.28515625" style="26" customWidth="1"/>
    <col min="15888" max="15888" width="13.28515625" style="26" customWidth="1"/>
    <col min="15889" max="15889" width="11" style="26" customWidth="1"/>
    <col min="15890" max="16125" width="9.140625" style="26"/>
    <col min="16126" max="16126" width="3.7109375" style="26" customWidth="1"/>
    <col min="16127" max="16127" width="9.140625" style="26"/>
    <col min="16128" max="16128" width="27.7109375" style="26" customWidth="1"/>
    <col min="16129" max="16129" width="9.140625" style="26"/>
    <col min="16130" max="16131" width="12" style="26" customWidth="1"/>
    <col min="16132" max="16132" width="11.140625" style="26" customWidth="1"/>
    <col min="16133" max="16133" width="12" style="26" customWidth="1"/>
    <col min="16134" max="16134" width="11" style="26" customWidth="1"/>
    <col min="16135" max="16135" width="11.7109375" style="26" customWidth="1"/>
    <col min="16136" max="16136" width="8" style="26" customWidth="1"/>
    <col min="16137" max="16137" width="11.42578125" style="26" customWidth="1"/>
    <col min="16138" max="16139" width="12.7109375" style="26" customWidth="1"/>
    <col min="16140" max="16140" width="7.7109375" style="26" customWidth="1"/>
    <col min="16141" max="16141" width="12.28515625" style="26" customWidth="1"/>
    <col min="16142" max="16142" width="11.28515625" style="26" customWidth="1"/>
    <col min="16143" max="16143" width="8.28515625" style="26" customWidth="1"/>
    <col min="16144" max="16144" width="13.28515625" style="26" customWidth="1"/>
    <col min="16145" max="16145" width="11" style="26" customWidth="1"/>
    <col min="16146" max="16384" width="9.140625" style="26"/>
  </cols>
  <sheetData>
    <row r="1" spans="1:20" s="666" customFormat="1" ht="15.75" x14ac:dyDescent="0.25">
      <c r="A1" s="1334" t="s">
        <v>723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1334"/>
      <c r="M1" s="1334"/>
      <c r="N1" s="1334"/>
      <c r="O1" s="1334"/>
      <c r="P1" s="1334"/>
      <c r="Q1" s="1334"/>
      <c r="R1" s="1334"/>
      <c r="S1" s="1334"/>
      <c r="T1" s="1334"/>
    </row>
    <row r="3" spans="1:20" x14ac:dyDescent="0.2">
      <c r="A3" s="1335" t="s">
        <v>0</v>
      </c>
      <c r="B3" s="1336" t="s">
        <v>1</v>
      </c>
      <c r="C3" s="1339" t="s">
        <v>2</v>
      </c>
      <c r="D3" s="1342" t="s">
        <v>724</v>
      </c>
      <c r="E3" s="1345" t="s">
        <v>725</v>
      </c>
      <c r="F3" s="1346"/>
      <c r="G3" s="1346"/>
      <c r="H3" s="1346"/>
      <c r="I3" s="1346"/>
      <c r="J3" s="1347"/>
      <c r="K3" s="1348" t="s">
        <v>726</v>
      </c>
      <c r="L3" s="1348"/>
      <c r="M3" s="1348"/>
      <c r="N3" s="1348"/>
      <c r="O3" s="1348"/>
      <c r="P3" s="1348"/>
      <c r="Q3" s="1348"/>
      <c r="R3" s="1348"/>
      <c r="S3" s="1348"/>
      <c r="T3" s="1348"/>
    </row>
    <row r="4" spans="1:20" ht="21.75" customHeight="1" x14ac:dyDescent="0.2">
      <c r="A4" s="1335"/>
      <c r="B4" s="1337"/>
      <c r="C4" s="1340"/>
      <c r="D4" s="1343"/>
      <c r="E4" s="1349" t="s">
        <v>727</v>
      </c>
      <c r="F4" s="1350"/>
      <c r="G4" s="1353" t="s">
        <v>728</v>
      </c>
      <c r="H4" s="1353"/>
      <c r="I4" s="1353"/>
      <c r="J4" s="1353"/>
      <c r="K4" s="1354" t="s">
        <v>6</v>
      </c>
      <c r="L4" s="1186" t="s">
        <v>729</v>
      </c>
      <c r="M4" s="1186"/>
      <c r="N4" s="1186"/>
      <c r="O4" s="1357" t="s">
        <v>727</v>
      </c>
      <c r="P4" s="1358"/>
      <c r="Q4" s="1358"/>
      <c r="R4" s="1358"/>
      <c r="S4" s="1358"/>
      <c r="T4" s="1359"/>
    </row>
    <row r="5" spans="1:20" ht="48" customHeight="1" x14ac:dyDescent="0.2">
      <c r="A5" s="1335"/>
      <c r="B5" s="1337"/>
      <c r="C5" s="1340"/>
      <c r="D5" s="1343"/>
      <c r="E5" s="1351"/>
      <c r="F5" s="1352"/>
      <c r="G5" s="1353"/>
      <c r="H5" s="1353"/>
      <c r="I5" s="1353"/>
      <c r="J5" s="1353"/>
      <c r="K5" s="1355"/>
      <c r="L5" s="664" t="s">
        <v>730</v>
      </c>
      <c r="M5" s="1186" t="s">
        <v>728</v>
      </c>
      <c r="N5" s="1186"/>
      <c r="O5" s="1360"/>
      <c r="P5" s="1361"/>
      <c r="Q5" s="1361"/>
      <c r="R5" s="1361"/>
      <c r="S5" s="1361"/>
      <c r="T5" s="1362"/>
    </row>
    <row r="6" spans="1:20" ht="27" customHeight="1" x14ac:dyDescent="0.2">
      <c r="A6" s="1335"/>
      <c r="B6" s="1337"/>
      <c r="C6" s="1340"/>
      <c r="D6" s="1343"/>
      <c r="E6" s="1330" t="s">
        <v>731</v>
      </c>
      <c r="F6" s="1328" t="s">
        <v>732</v>
      </c>
      <c r="G6" s="1330" t="s">
        <v>733</v>
      </c>
      <c r="H6" s="1327" t="s">
        <v>731</v>
      </c>
      <c r="I6" s="1327" t="s">
        <v>734</v>
      </c>
      <c r="J6" s="1327"/>
      <c r="K6" s="1355"/>
      <c r="L6" s="1328" t="s">
        <v>731</v>
      </c>
      <c r="M6" s="1328" t="s">
        <v>735</v>
      </c>
      <c r="N6" s="1330" t="s">
        <v>733</v>
      </c>
      <c r="O6" s="1332" t="s">
        <v>592</v>
      </c>
      <c r="P6" s="1328" t="s">
        <v>732</v>
      </c>
      <c r="Q6" s="1328" t="s">
        <v>735</v>
      </c>
      <c r="R6" s="1328" t="s">
        <v>736</v>
      </c>
      <c r="S6" s="1327" t="s">
        <v>737</v>
      </c>
      <c r="T6" s="1330" t="s">
        <v>733</v>
      </c>
    </row>
    <row r="7" spans="1:20" ht="33.75" customHeight="1" x14ac:dyDescent="0.2">
      <c r="A7" s="1335"/>
      <c r="B7" s="1338"/>
      <c r="C7" s="1341"/>
      <c r="D7" s="1344"/>
      <c r="E7" s="1331"/>
      <c r="F7" s="1329"/>
      <c r="G7" s="1331"/>
      <c r="H7" s="1327"/>
      <c r="I7" s="668" t="s">
        <v>738</v>
      </c>
      <c r="J7" s="668" t="s">
        <v>739</v>
      </c>
      <c r="K7" s="1356"/>
      <c r="L7" s="1329"/>
      <c r="M7" s="1329"/>
      <c r="N7" s="1331"/>
      <c r="O7" s="1333"/>
      <c r="P7" s="1329"/>
      <c r="Q7" s="1329"/>
      <c r="R7" s="1329"/>
      <c r="S7" s="1327"/>
      <c r="T7" s="1331"/>
    </row>
    <row r="8" spans="1:20" ht="15" customHeight="1" x14ac:dyDescent="0.2">
      <c r="A8" s="669">
        <v>1</v>
      </c>
      <c r="B8" s="670" t="s">
        <v>258</v>
      </c>
      <c r="C8" s="671" t="s">
        <v>520</v>
      </c>
      <c r="D8" s="672">
        <f>E8+G8+H8+I8+J8+K8+F8</f>
        <v>2608</v>
      </c>
      <c r="E8" s="664"/>
      <c r="F8" s="664"/>
      <c r="G8" s="664">
        <f>50-50</f>
        <v>0</v>
      </c>
      <c r="H8" s="664">
        <v>350</v>
      </c>
      <c r="I8" s="664">
        <v>30</v>
      </c>
      <c r="J8" s="664">
        <f>20-2</f>
        <v>18</v>
      </c>
      <c r="K8" s="672">
        <f>L8+M8+O8+N8</f>
        <v>2210</v>
      </c>
      <c r="L8" s="673">
        <v>500</v>
      </c>
      <c r="M8" s="664">
        <v>1300</v>
      </c>
      <c r="N8" s="664">
        <f>0+50</f>
        <v>50</v>
      </c>
      <c r="O8" s="672">
        <f>P8+Q8+R8+T8+S8</f>
        <v>360</v>
      </c>
      <c r="P8" s="664"/>
      <c r="Q8" s="664"/>
      <c r="R8" s="664"/>
      <c r="S8" s="664"/>
      <c r="T8" s="664">
        <f>360+50-50</f>
        <v>360</v>
      </c>
    </row>
    <row r="9" spans="1:20" x14ac:dyDescent="0.2">
      <c r="A9" s="669">
        <v>2</v>
      </c>
      <c r="B9" s="674" t="s">
        <v>264</v>
      </c>
      <c r="C9" s="675" t="s">
        <v>265</v>
      </c>
      <c r="D9" s="672">
        <f t="shared" ref="D9:D23" si="0">E9+G9+H9+I9+J9+K9+F9</f>
        <v>4120</v>
      </c>
      <c r="E9" s="664"/>
      <c r="F9" s="664"/>
      <c r="G9" s="664">
        <v>80</v>
      </c>
      <c r="H9" s="664">
        <v>20</v>
      </c>
      <c r="I9" s="664"/>
      <c r="J9" s="664"/>
      <c r="K9" s="672">
        <f t="shared" ref="K9:K22" si="1">L9+M9+O9</f>
        <v>4020</v>
      </c>
      <c r="L9" s="676"/>
      <c r="M9" s="676"/>
      <c r="N9" s="676"/>
      <c r="O9" s="672">
        <f>P9+Q9+R9+T9+S9</f>
        <v>4020</v>
      </c>
      <c r="P9" s="664"/>
      <c r="Q9" s="664">
        <f>864-324</f>
        <v>540</v>
      </c>
      <c r="R9" s="664">
        <f>384-144</f>
        <v>240</v>
      </c>
      <c r="S9" s="664">
        <v>360</v>
      </c>
      <c r="T9" s="664">
        <v>2880</v>
      </c>
    </row>
    <row r="10" spans="1:20" x14ac:dyDescent="0.2">
      <c r="A10" s="669">
        <v>3</v>
      </c>
      <c r="B10" s="670" t="s">
        <v>262</v>
      </c>
      <c r="C10" s="675" t="s">
        <v>263</v>
      </c>
      <c r="D10" s="672">
        <f t="shared" si="0"/>
        <v>90</v>
      </c>
      <c r="E10" s="664"/>
      <c r="F10" s="664"/>
      <c r="G10" s="664">
        <v>20</v>
      </c>
      <c r="H10" s="664"/>
      <c r="I10" s="664">
        <v>70</v>
      </c>
      <c r="J10" s="664"/>
      <c r="K10" s="672">
        <f t="shared" si="1"/>
        <v>0</v>
      </c>
      <c r="L10" s="676"/>
      <c r="M10" s="676"/>
      <c r="N10" s="676"/>
      <c r="O10" s="672">
        <f t="shared" ref="O10:O19" si="2">P10+Q10+R10+T10+S10</f>
        <v>0</v>
      </c>
      <c r="P10" s="664"/>
      <c r="Q10" s="664"/>
      <c r="R10" s="664"/>
      <c r="S10" s="664"/>
      <c r="T10" s="664"/>
    </row>
    <row r="11" spans="1:20" x14ac:dyDescent="0.2">
      <c r="A11" s="669">
        <v>4</v>
      </c>
      <c r="B11" s="677" t="s">
        <v>276</v>
      </c>
      <c r="C11" s="675" t="s">
        <v>277</v>
      </c>
      <c r="D11" s="672">
        <f t="shared" si="0"/>
        <v>18</v>
      </c>
      <c r="E11" s="664"/>
      <c r="F11" s="664"/>
      <c r="G11" s="664"/>
      <c r="H11" s="664"/>
      <c r="I11" s="664">
        <v>18</v>
      </c>
      <c r="J11" s="664"/>
      <c r="K11" s="672">
        <f t="shared" si="1"/>
        <v>0</v>
      </c>
      <c r="L11" s="676"/>
      <c r="M11" s="676"/>
      <c r="N11" s="676"/>
      <c r="O11" s="672">
        <f t="shared" si="2"/>
        <v>0</v>
      </c>
      <c r="P11" s="664"/>
      <c r="Q11" s="664"/>
      <c r="R11" s="664"/>
      <c r="S11" s="664"/>
      <c r="T11" s="664"/>
    </row>
    <row r="12" spans="1:20" x14ac:dyDescent="0.2">
      <c r="A12" s="669">
        <v>5</v>
      </c>
      <c r="B12" s="678" t="s">
        <v>278</v>
      </c>
      <c r="C12" s="675" t="s">
        <v>669</v>
      </c>
      <c r="D12" s="672">
        <f t="shared" si="0"/>
        <v>20</v>
      </c>
      <c r="E12" s="664"/>
      <c r="F12" s="664"/>
      <c r="G12" s="664"/>
      <c r="H12" s="664"/>
      <c r="I12" s="664">
        <v>20</v>
      </c>
      <c r="J12" s="664"/>
      <c r="K12" s="672">
        <f t="shared" si="1"/>
        <v>0</v>
      </c>
      <c r="L12" s="676"/>
      <c r="M12" s="676"/>
      <c r="N12" s="676"/>
      <c r="O12" s="672">
        <f t="shared" si="2"/>
        <v>0</v>
      </c>
      <c r="P12" s="664"/>
      <c r="Q12" s="664"/>
      <c r="R12" s="664"/>
      <c r="S12" s="664"/>
      <c r="T12" s="664"/>
    </row>
    <row r="13" spans="1:20" x14ac:dyDescent="0.2">
      <c r="A13" s="669">
        <v>6</v>
      </c>
      <c r="B13" s="674" t="s">
        <v>280</v>
      </c>
      <c r="C13" s="671" t="s">
        <v>281</v>
      </c>
      <c r="D13" s="672">
        <f t="shared" si="0"/>
        <v>50</v>
      </c>
      <c r="E13" s="664"/>
      <c r="F13" s="664"/>
      <c r="G13" s="664"/>
      <c r="H13" s="664"/>
      <c r="I13" s="664">
        <v>50</v>
      </c>
      <c r="J13" s="664"/>
      <c r="K13" s="672">
        <f t="shared" si="1"/>
        <v>0</v>
      </c>
      <c r="L13" s="676"/>
      <c r="M13" s="676"/>
      <c r="N13" s="676"/>
      <c r="O13" s="672">
        <f t="shared" si="2"/>
        <v>0</v>
      </c>
      <c r="P13" s="664"/>
      <c r="Q13" s="664"/>
      <c r="R13" s="664"/>
      <c r="S13" s="664"/>
      <c r="T13" s="664"/>
    </row>
    <row r="14" spans="1:20" x14ac:dyDescent="0.2">
      <c r="A14" s="669">
        <v>7</v>
      </c>
      <c r="B14" s="674" t="s">
        <v>173</v>
      </c>
      <c r="C14" s="675" t="s">
        <v>740</v>
      </c>
      <c r="D14" s="672">
        <f t="shared" si="0"/>
        <v>156</v>
      </c>
      <c r="E14" s="664"/>
      <c r="F14" s="664"/>
      <c r="G14" s="664"/>
      <c r="H14" s="664"/>
      <c r="I14" s="664">
        <f>160-4</f>
        <v>156</v>
      </c>
      <c r="J14" s="664"/>
      <c r="K14" s="672">
        <f t="shared" si="1"/>
        <v>0</v>
      </c>
      <c r="L14" s="676"/>
      <c r="M14" s="676"/>
      <c r="N14" s="676"/>
      <c r="O14" s="672">
        <f t="shared" si="2"/>
        <v>0</v>
      </c>
      <c r="P14" s="664"/>
      <c r="Q14" s="664"/>
      <c r="R14" s="664"/>
      <c r="S14" s="664"/>
      <c r="T14" s="664"/>
    </row>
    <row r="15" spans="1:20" x14ac:dyDescent="0.2">
      <c r="A15" s="669">
        <v>8</v>
      </c>
      <c r="B15" s="670" t="s">
        <v>26</v>
      </c>
      <c r="C15" s="675" t="s">
        <v>658</v>
      </c>
      <c r="D15" s="672">
        <f t="shared" si="0"/>
        <v>15</v>
      </c>
      <c r="E15" s="664"/>
      <c r="F15" s="664"/>
      <c r="G15" s="664"/>
      <c r="H15" s="664"/>
      <c r="I15" s="664">
        <v>15</v>
      </c>
      <c r="J15" s="664"/>
      <c r="K15" s="672">
        <f t="shared" si="1"/>
        <v>0</v>
      </c>
      <c r="L15" s="676"/>
      <c r="M15" s="676"/>
      <c r="N15" s="676"/>
      <c r="O15" s="672">
        <f t="shared" si="2"/>
        <v>0</v>
      </c>
      <c r="P15" s="664"/>
      <c r="Q15" s="664"/>
      <c r="R15" s="664"/>
      <c r="S15" s="664"/>
      <c r="T15" s="664"/>
    </row>
    <row r="16" spans="1:20" ht="13.5" customHeight="1" x14ac:dyDescent="0.2">
      <c r="A16" s="669">
        <v>9</v>
      </c>
      <c r="B16" s="674" t="s">
        <v>66</v>
      </c>
      <c r="C16" s="671" t="s">
        <v>481</v>
      </c>
      <c r="D16" s="672">
        <f t="shared" si="0"/>
        <v>89</v>
      </c>
      <c r="E16" s="664"/>
      <c r="F16" s="664"/>
      <c r="G16" s="664"/>
      <c r="H16" s="664">
        <v>75</v>
      </c>
      <c r="I16" s="664">
        <v>12</v>
      </c>
      <c r="J16" s="664">
        <f>0+2</f>
        <v>2</v>
      </c>
      <c r="K16" s="672">
        <f t="shared" si="1"/>
        <v>0</v>
      </c>
      <c r="L16" s="676"/>
      <c r="M16" s="676"/>
      <c r="N16" s="676"/>
      <c r="O16" s="672">
        <f t="shared" si="2"/>
        <v>0</v>
      </c>
      <c r="P16" s="664"/>
      <c r="Q16" s="664"/>
      <c r="R16" s="664"/>
      <c r="S16" s="664"/>
      <c r="T16" s="664"/>
    </row>
    <row r="17" spans="1:21" ht="13.5" customHeight="1" x14ac:dyDescent="0.2">
      <c r="A17" s="669">
        <v>10</v>
      </c>
      <c r="B17" s="674" t="s">
        <v>68</v>
      </c>
      <c r="C17" s="671" t="s">
        <v>741</v>
      </c>
      <c r="D17" s="672">
        <f t="shared" si="0"/>
        <v>20</v>
      </c>
      <c r="E17" s="664"/>
      <c r="F17" s="664"/>
      <c r="G17" s="664"/>
      <c r="H17" s="664"/>
      <c r="I17" s="664">
        <v>20</v>
      </c>
      <c r="J17" s="664"/>
      <c r="K17" s="672">
        <f t="shared" si="1"/>
        <v>0</v>
      </c>
      <c r="L17" s="676"/>
      <c r="M17" s="676"/>
      <c r="N17" s="676"/>
      <c r="O17" s="672">
        <f t="shared" si="2"/>
        <v>0</v>
      </c>
      <c r="P17" s="664"/>
      <c r="Q17" s="664"/>
      <c r="R17" s="664"/>
      <c r="S17" s="664"/>
      <c r="T17" s="664"/>
    </row>
    <row r="18" spans="1:21" ht="13.5" customHeight="1" x14ac:dyDescent="0.2">
      <c r="A18" s="669">
        <v>11</v>
      </c>
      <c r="B18" s="674" t="s">
        <v>117</v>
      </c>
      <c r="C18" s="671" t="s">
        <v>118</v>
      </c>
      <c r="D18" s="672">
        <f t="shared" si="0"/>
        <v>8</v>
      </c>
      <c r="E18" s="664"/>
      <c r="F18" s="664"/>
      <c r="G18" s="664"/>
      <c r="H18" s="664"/>
      <c r="I18" s="664">
        <f>0+4+4</f>
        <v>8</v>
      </c>
      <c r="J18" s="664"/>
      <c r="K18" s="672">
        <f t="shared" si="1"/>
        <v>0</v>
      </c>
      <c r="L18" s="676"/>
      <c r="M18" s="676"/>
      <c r="N18" s="676"/>
      <c r="O18" s="672">
        <f t="shared" si="2"/>
        <v>0</v>
      </c>
      <c r="P18" s="664"/>
      <c r="Q18" s="664"/>
      <c r="R18" s="664"/>
      <c r="S18" s="664"/>
      <c r="T18" s="664"/>
    </row>
    <row r="19" spans="1:21" x14ac:dyDescent="0.2">
      <c r="A19" s="669">
        <v>12</v>
      </c>
      <c r="B19" s="670" t="s">
        <v>221</v>
      </c>
      <c r="C19" s="675" t="s">
        <v>742</v>
      </c>
      <c r="D19" s="672">
        <f t="shared" si="0"/>
        <v>4416</v>
      </c>
      <c r="E19" s="664"/>
      <c r="F19" s="664"/>
      <c r="G19" s="664"/>
      <c r="H19" s="664"/>
      <c r="I19" s="664"/>
      <c r="J19" s="664"/>
      <c r="K19" s="672">
        <f>L19+M19+O19</f>
        <v>4416</v>
      </c>
      <c r="L19" s="676"/>
      <c r="M19" s="676"/>
      <c r="N19" s="676"/>
      <c r="O19" s="672">
        <f t="shared" si="2"/>
        <v>4416</v>
      </c>
      <c r="P19" s="664"/>
      <c r="Q19" s="664">
        <f>4469-1170</f>
        <v>3299</v>
      </c>
      <c r="R19" s="664">
        <v>1117</v>
      </c>
      <c r="S19" s="664"/>
      <c r="T19" s="664"/>
    </row>
    <row r="20" spans="1:21" ht="12" customHeight="1" x14ac:dyDescent="0.2">
      <c r="A20" s="669">
        <v>13</v>
      </c>
      <c r="B20" s="670" t="s">
        <v>231</v>
      </c>
      <c r="C20" s="671" t="s">
        <v>232</v>
      </c>
      <c r="D20" s="672">
        <f t="shared" si="0"/>
        <v>115643</v>
      </c>
      <c r="E20" s="664">
        <f>596+18+103</f>
        <v>717</v>
      </c>
      <c r="F20" s="664"/>
      <c r="G20" s="664"/>
      <c r="H20" s="664"/>
      <c r="I20" s="664"/>
      <c r="J20" s="664"/>
      <c r="K20" s="672">
        <f t="shared" si="1"/>
        <v>114926</v>
      </c>
      <c r="L20" s="676"/>
      <c r="M20" s="676"/>
      <c r="N20" s="676"/>
      <c r="O20" s="672">
        <f>P20+Q20+R20+T20+S20</f>
        <v>114926</v>
      </c>
      <c r="P20" s="664"/>
      <c r="Q20" s="664">
        <f>86069+4212-221-103</f>
        <v>89957</v>
      </c>
      <c r="R20" s="664">
        <v>21517</v>
      </c>
      <c r="S20" s="664">
        <f>1660+750+900</f>
        <v>3310</v>
      </c>
      <c r="T20" s="664">
        <f>140+2</f>
        <v>142</v>
      </c>
    </row>
    <row r="21" spans="1:21" x14ac:dyDescent="0.2">
      <c r="A21" s="669">
        <v>14</v>
      </c>
      <c r="B21" s="674" t="s">
        <v>217</v>
      </c>
      <c r="C21" s="675" t="s">
        <v>743</v>
      </c>
      <c r="D21" s="672">
        <f t="shared" si="0"/>
        <v>31033</v>
      </c>
      <c r="E21" s="664"/>
      <c r="F21" s="664"/>
      <c r="G21" s="664"/>
      <c r="H21" s="664"/>
      <c r="I21" s="664"/>
      <c r="J21" s="664"/>
      <c r="K21" s="672">
        <f t="shared" si="1"/>
        <v>31033</v>
      </c>
      <c r="L21" s="676"/>
      <c r="M21" s="676"/>
      <c r="N21" s="676"/>
      <c r="O21" s="672">
        <f>P21+Q21+R21+T21+S21</f>
        <v>31033</v>
      </c>
      <c r="P21" s="664"/>
      <c r="Q21" s="664">
        <f>17525+936+884</f>
        <v>19345</v>
      </c>
      <c r="R21" s="664">
        <v>11688</v>
      </c>
      <c r="S21" s="664"/>
      <c r="T21" s="664"/>
    </row>
    <row r="22" spans="1:21" x14ac:dyDescent="0.2">
      <c r="A22" s="669">
        <v>15</v>
      </c>
      <c r="B22" s="674" t="s">
        <v>250</v>
      </c>
      <c r="C22" s="675" t="s">
        <v>744</v>
      </c>
      <c r="D22" s="672">
        <f t="shared" si="0"/>
        <v>5326</v>
      </c>
      <c r="E22" s="664"/>
      <c r="F22" s="664"/>
      <c r="G22" s="664"/>
      <c r="H22" s="664"/>
      <c r="I22" s="664"/>
      <c r="J22" s="664"/>
      <c r="K22" s="672">
        <f t="shared" si="1"/>
        <v>5326</v>
      </c>
      <c r="L22" s="676"/>
      <c r="M22" s="676"/>
      <c r="N22" s="676"/>
      <c r="O22" s="672">
        <f>P22+Q22+R22+T22+S22</f>
        <v>5326</v>
      </c>
      <c r="P22" s="664"/>
      <c r="Q22" s="664">
        <f>5721-3107+260</f>
        <v>2874</v>
      </c>
      <c r="R22" s="664">
        <v>2452</v>
      </c>
      <c r="S22" s="664"/>
      <c r="T22" s="664"/>
    </row>
    <row r="23" spans="1:21" x14ac:dyDescent="0.2">
      <c r="A23" s="669">
        <v>16</v>
      </c>
      <c r="B23" s="670" t="s">
        <v>254</v>
      </c>
      <c r="C23" s="675" t="s">
        <v>255</v>
      </c>
      <c r="D23" s="672">
        <f t="shared" si="0"/>
        <v>37618</v>
      </c>
      <c r="E23" s="664">
        <v>50</v>
      </c>
      <c r="F23" s="664">
        <v>100</v>
      </c>
      <c r="G23" s="664"/>
      <c r="H23" s="664"/>
      <c r="I23" s="664"/>
      <c r="J23" s="664"/>
      <c r="K23" s="672">
        <f>L23+M23+O23</f>
        <v>37468</v>
      </c>
      <c r="L23" s="676"/>
      <c r="M23" s="676"/>
      <c r="N23" s="676"/>
      <c r="O23" s="672">
        <f>P23+Q23+R23+T23+S23</f>
        <v>37468</v>
      </c>
      <c r="P23" s="664">
        <v>7103</v>
      </c>
      <c r="Q23" s="664">
        <f>23441+1131+403</f>
        <v>24975</v>
      </c>
      <c r="R23" s="664">
        <v>5390</v>
      </c>
      <c r="S23" s="664"/>
      <c r="T23" s="664"/>
    </row>
    <row r="24" spans="1:21" x14ac:dyDescent="0.2">
      <c r="A24" s="679"/>
      <c r="B24" s="679"/>
      <c r="C24" s="680" t="s">
        <v>469</v>
      </c>
      <c r="D24" s="672">
        <f t="shared" ref="D24:T24" si="3">SUM(D8:D23)</f>
        <v>201230</v>
      </c>
      <c r="E24" s="672">
        <f t="shared" si="3"/>
        <v>767</v>
      </c>
      <c r="F24" s="672">
        <f t="shared" si="3"/>
        <v>100</v>
      </c>
      <c r="G24" s="672">
        <f t="shared" si="3"/>
        <v>100</v>
      </c>
      <c r="H24" s="672">
        <f t="shared" si="3"/>
        <v>445</v>
      </c>
      <c r="I24" s="672">
        <f t="shared" si="3"/>
        <v>399</v>
      </c>
      <c r="J24" s="672">
        <f t="shared" si="3"/>
        <v>20</v>
      </c>
      <c r="K24" s="672">
        <f t="shared" si="3"/>
        <v>199399</v>
      </c>
      <c r="L24" s="672">
        <f t="shared" si="3"/>
        <v>500</v>
      </c>
      <c r="M24" s="672">
        <f t="shared" si="3"/>
        <v>1300</v>
      </c>
      <c r="N24" s="672"/>
      <c r="O24" s="672">
        <f t="shared" si="3"/>
        <v>197549</v>
      </c>
      <c r="P24" s="672">
        <f t="shared" si="3"/>
        <v>7103</v>
      </c>
      <c r="Q24" s="672">
        <f t="shared" si="3"/>
        <v>140990</v>
      </c>
      <c r="R24" s="672">
        <f t="shared" si="3"/>
        <v>42404</v>
      </c>
      <c r="S24" s="672">
        <f t="shared" si="3"/>
        <v>3670</v>
      </c>
      <c r="T24" s="672">
        <f t="shared" si="3"/>
        <v>3382</v>
      </c>
      <c r="U24" s="27"/>
    </row>
    <row r="25" spans="1:21" ht="13.5" customHeight="1" x14ac:dyDescent="0.2">
      <c r="A25" s="669"/>
      <c r="B25" s="669"/>
      <c r="C25" s="671" t="s">
        <v>745</v>
      </c>
      <c r="D25" s="672">
        <f>E25+G25+H25+I25+J25+K25</f>
        <v>14658</v>
      </c>
      <c r="E25" s="676"/>
      <c r="F25" s="676"/>
      <c r="G25" s="676"/>
      <c r="H25" s="676"/>
      <c r="I25" s="676"/>
      <c r="J25" s="676"/>
      <c r="K25" s="672">
        <f>L25+M25+O25</f>
        <v>14658</v>
      </c>
      <c r="L25" s="676"/>
      <c r="M25" s="676"/>
      <c r="N25" s="676"/>
      <c r="O25" s="672">
        <f>P25+Q25+R25+T25+S25</f>
        <v>14658</v>
      </c>
      <c r="P25" s="664"/>
      <c r="Q25" s="664">
        <f>19188-2752+468-20-2226</f>
        <v>14658</v>
      </c>
      <c r="R25" s="664"/>
      <c r="S25" s="664"/>
      <c r="T25" s="664"/>
    </row>
    <row r="26" spans="1:21" ht="25.5" customHeight="1" x14ac:dyDescent="0.2">
      <c r="A26" s="669"/>
      <c r="B26" s="669"/>
      <c r="C26" s="681" t="s">
        <v>746</v>
      </c>
      <c r="D26" s="672">
        <f t="shared" ref="D26:T26" si="4">D24+D25</f>
        <v>215888</v>
      </c>
      <c r="E26" s="672">
        <f t="shared" si="4"/>
        <v>767</v>
      </c>
      <c r="F26" s="672">
        <f t="shared" si="4"/>
        <v>100</v>
      </c>
      <c r="G26" s="672">
        <f t="shared" si="4"/>
        <v>100</v>
      </c>
      <c r="H26" s="672">
        <f t="shared" si="4"/>
        <v>445</v>
      </c>
      <c r="I26" s="672">
        <f t="shared" si="4"/>
        <v>399</v>
      </c>
      <c r="J26" s="672">
        <f t="shared" si="4"/>
        <v>20</v>
      </c>
      <c r="K26" s="672">
        <f t="shared" si="4"/>
        <v>214057</v>
      </c>
      <c r="L26" s="672">
        <f t="shared" si="4"/>
        <v>500</v>
      </c>
      <c r="M26" s="672">
        <f t="shared" si="4"/>
        <v>1300</v>
      </c>
      <c r="N26" s="672"/>
      <c r="O26" s="672">
        <f t="shared" si="4"/>
        <v>212207</v>
      </c>
      <c r="P26" s="672">
        <f t="shared" si="4"/>
        <v>7103</v>
      </c>
      <c r="Q26" s="672">
        <f t="shared" si="4"/>
        <v>155648</v>
      </c>
      <c r="R26" s="672">
        <f t="shared" si="4"/>
        <v>42404</v>
      </c>
      <c r="S26" s="672"/>
      <c r="T26" s="672">
        <f t="shared" si="4"/>
        <v>3382</v>
      </c>
      <c r="U26" s="27"/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5"/>
  <sheetViews>
    <sheetView zoomScaleNormal="100" workbookViewId="0">
      <pane xSplit="3" ySplit="6" topLeftCell="D130" activePane="bottomRight" state="frozen"/>
      <selection pane="topRight" activeCell="D1" sqref="D1"/>
      <selection pane="bottomLeft" activeCell="A6" sqref="A6"/>
      <selection pane="bottomRight" activeCell="D143" sqref="D143"/>
    </sheetView>
  </sheetViews>
  <sheetFormatPr defaultRowHeight="12" x14ac:dyDescent="0.25"/>
  <cols>
    <col min="1" max="1" width="4" style="124" customWidth="1"/>
    <col min="2" max="2" width="9.28515625" style="124" customWidth="1"/>
    <col min="3" max="3" width="31" style="153" customWidth="1"/>
    <col min="4" max="4" width="12.140625" style="153" customWidth="1"/>
    <col min="5" max="7" width="10.85546875" style="124" customWidth="1"/>
    <col min="8" max="8" width="12.85546875" style="124" customWidth="1"/>
    <col min="9" max="10" width="10.85546875" style="124" customWidth="1"/>
    <col min="11" max="11" width="11.5703125" style="124" customWidth="1"/>
    <col min="12" max="12" width="14.7109375" style="154" customWidth="1"/>
    <col min="13" max="16384" width="9.140625" style="154"/>
  </cols>
  <sheetData>
    <row r="2" spans="1:12" s="123" customFormat="1" ht="15.75" customHeight="1" x14ac:dyDescent="0.25">
      <c r="A2" s="950" t="s">
        <v>630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</row>
    <row r="3" spans="1:12" s="123" customFormat="1" x14ac:dyDescent="0.25">
      <c r="A3" s="124"/>
      <c r="B3" s="124"/>
      <c r="C3" s="125"/>
      <c r="D3" s="125"/>
      <c r="E3" s="125"/>
      <c r="F3" s="124"/>
      <c r="G3" s="124"/>
      <c r="H3" s="124"/>
      <c r="I3" s="124"/>
      <c r="J3" s="124"/>
      <c r="K3" s="124"/>
    </row>
    <row r="4" spans="1:12" s="123" customFormat="1" x14ac:dyDescent="0.25">
      <c r="A4" s="124"/>
      <c r="B4" s="124"/>
      <c r="C4" s="125"/>
      <c r="D4" s="125"/>
      <c r="E4" s="125"/>
      <c r="F4" s="124"/>
      <c r="G4" s="124"/>
      <c r="H4" s="124"/>
      <c r="I4" s="124"/>
      <c r="J4" s="124"/>
      <c r="K4" s="124"/>
    </row>
    <row r="5" spans="1:12" s="123" customFormat="1" ht="12.75" customHeight="1" x14ac:dyDescent="0.25">
      <c r="A5" s="951" t="s">
        <v>0</v>
      </c>
      <c r="B5" s="951" t="s">
        <v>302</v>
      </c>
      <c r="C5" s="951" t="s">
        <v>292</v>
      </c>
      <c r="D5" s="951" t="s">
        <v>631</v>
      </c>
      <c r="E5" s="951" t="s">
        <v>632</v>
      </c>
      <c r="F5" s="952"/>
      <c r="G5" s="952"/>
      <c r="H5" s="952"/>
      <c r="I5" s="952"/>
      <c r="J5" s="953" t="s">
        <v>633</v>
      </c>
      <c r="K5" s="954" t="s">
        <v>634</v>
      </c>
      <c r="L5" s="947" t="s">
        <v>809</v>
      </c>
    </row>
    <row r="6" spans="1:12" s="126" customFormat="1" ht="48.75" customHeight="1" x14ac:dyDescent="0.25">
      <c r="A6" s="951"/>
      <c r="B6" s="951"/>
      <c r="C6" s="951"/>
      <c r="D6" s="951"/>
      <c r="E6" s="951"/>
      <c r="F6" s="498" t="s">
        <v>635</v>
      </c>
      <c r="G6" s="497" t="s">
        <v>636</v>
      </c>
      <c r="H6" s="497" t="s">
        <v>637</v>
      </c>
      <c r="I6" s="497" t="s">
        <v>638</v>
      </c>
      <c r="J6" s="953"/>
      <c r="K6" s="954"/>
      <c r="L6" s="948"/>
    </row>
    <row r="7" spans="1:12" s="123" customFormat="1" ht="12" customHeight="1" x14ac:dyDescent="0.25">
      <c r="A7" s="496">
        <v>1</v>
      </c>
      <c r="B7" s="127" t="s">
        <v>16</v>
      </c>
      <c r="C7" s="128" t="s">
        <v>17</v>
      </c>
      <c r="D7" s="129">
        <f t="shared" ref="D7:D70" si="0">E7+J7</f>
        <v>968</v>
      </c>
      <c r="E7" s="129">
        <v>968</v>
      </c>
      <c r="F7" s="496"/>
      <c r="G7" s="496"/>
      <c r="H7" s="496"/>
      <c r="I7" s="496"/>
      <c r="J7" s="496"/>
      <c r="K7" s="496"/>
      <c r="L7" s="682"/>
    </row>
    <row r="8" spans="1:12" s="123" customFormat="1" x14ac:dyDescent="0.25">
      <c r="A8" s="496">
        <v>2</v>
      </c>
      <c r="B8" s="127" t="s">
        <v>18</v>
      </c>
      <c r="C8" s="130" t="s">
        <v>19</v>
      </c>
      <c r="D8" s="129">
        <f t="shared" si="0"/>
        <v>976</v>
      </c>
      <c r="E8" s="131">
        <v>976</v>
      </c>
      <c r="F8" s="496"/>
      <c r="G8" s="496"/>
      <c r="H8" s="496"/>
      <c r="I8" s="496"/>
      <c r="J8" s="496"/>
      <c r="K8" s="496"/>
      <c r="L8" s="682"/>
    </row>
    <row r="9" spans="1:12" s="123" customFormat="1" x14ac:dyDescent="0.25">
      <c r="A9" s="496">
        <v>3</v>
      </c>
      <c r="B9" s="132" t="s">
        <v>20</v>
      </c>
      <c r="C9" s="133" t="s">
        <v>21</v>
      </c>
      <c r="D9" s="129">
        <f t="shared" si="0"/>
        <v>2984</v>
      </c>
      <c r="E9" s="134">
        <v>2984</v>
      </c>
      <c r="F9" s="496"/>
      <c r="G9" s="496"/>
      <c r="H9" s="496">
        <v>7</v>
      </c>
      <c r="I9" s="496"/>
      <c r="J9" s="496"/>
      <c r="K9" s="496"/>
      <c r="L9" s="682"/>
    </row>
    <row r="10" spans="1:12" s="123" customFormat="1" ht="11.25" customHeight="1" x14ac:dyDescent="0.25">
      <c r="A10" s="496">
        <v>4</v>
      </c>
      <c r="B10" s="127" t="s">
        <v>22</v>
      </c>
      <c r="C10" s="130" t="s">
        <v>23</v>
      </c>
      <c r="D10" s="129">
        <f t="shared" si="0"/>
        <v>1060</v>
      </c>
      <c r="E10" s="131">
        <v>1060</v>
      </c>
      <c r="F10" s="496"/>
      <c r="G10" s="496"/>
      <c r="H10" s="496"/>
      <c r="I10" s="496"/>
      <c r="J10" s="496"/>
      <c r="K10" s="496"/>
      <c r="L10" s="682"/>
    </row>
    <row r="11" spans="1:12" s="123" customFormat="1" ht="12.75" customHeight="1" x14ac:dyDescent="0.25">
      <c r="A11" s="496">
        <v>5</v>
      </c>
      <c r="B11" s="127" t="s">
        <v>24</v>
      </c>
      <c r="C11" s="130" t="s">
        <v>25</v>
      </c>
      <c r="D11" s="129">
        <f t="shared" si="0"/>
        <v>1153</v>
      </c>
      <c r="E11" s="131">
        <v>1153</v>
      </c>
      <c r="F11" s="496"/>
      <c r="G11" s="496"/>
      <c r="H11" s="496"/>
      <c r="I11" s="496"/>
      <c r="J11" s="496"/>
      <c r="K11" s="496"/>
      <c r="L11" s="682"/>
    </row>
    <row r="12" spans="1:12" s="123" customFormat="1" x14ac:dyDescent="0.25">
      <c r="A12" s="496">
        <v>6</v>
      </c>
      <c r="B12" s="132" t="s">
        <v>26</v>
      </c>
      <c r="C12" s="133" t="s">
        <v>27</v>
      </c>
      <c r="D12" s="129">
        <f t="shared" si="0"/>
        <v>8263</v>
      </c>
      <c r="E12" s="134">
        <v>8263</v>
      </c>
      <c r="F12" s="496"/>
      <c r="G12" s="496"/>
      <c r="H12" s="496">
        <v>7</v>
      </c>
      <c r="I12" s="496"/>
      <c r="J12" s="496"/>
      <c r="K12" s="496">
        <v>400</v>
      </c>
      <c r="L12" s="682"/>
    </row>
    <row r="13" spans="1:12" s="123" customFormat="1" x14ac:dyDescent="0.25">
      <c r="A13" s="496">
        <v>7</v>
      </c>
      <c r="B13" s="135" t="s">
        <v>28</v>
      </c>
      <c r="C13" s="136" t="s">
        <v>29</v>
      </c>
      <c r="D13" s="129">
        <f t="shared" si="0"/>
        <v>2977</v>
      </c>
      <c r="E13" s="137">
        <v>2977</v>
      </c>
      <c r="F13" s="496"/>
      <c r="G13" s="496"/>
      <c r="H13" s="496"/>
      <c r="I13" s="496"/>
      <c r="J13" s="496"/>
      <c r="K13" s="496">
        <v>360</v>
      </c>
      <c r="L13" s="682"/>
    </row>
    <row r="14" spans="1:12" s="123" customFormat="1" x14ac:dyDescent="0.25">
      <c r="A14" s="496">
        <v>8</v>
      </c>
      <c r="B14" s="132" t="s">
        <v>30</v>
      </c>
      <c r="C14" s="133" t="s">
        <v>31</v>
      </c>
      <c r="D14" s="129">
        <f t="shared" si="0"/>
        <v>1236</v>
      </c>
      <c r="E14" s="134">
        <v>1236</v>
      </c>
      <c r="F14" s="496"/>
      <c r="G14" s="496"/>
      <c r="H14" s="496"/>
      <c r="I14" s="496"/>
      <c r="J14" s="496"/>
      <c r="K14" s="496"/>
      <c r="L14" s="682"/>
    </row>
    <row r="15" spans="1:12" s="123" customFormat="1" x14ac:dyDescent="0.25">
      <c r="A15" s="496">
        <v>9</v>
      </c>
      <c r="B15" s="132" t="s">
        <v>32</v>
      </c>
      <c r="C15" s="133" t="s">
        <v>33</v>
      </c>
      <c r="D15" s="129">
        <f t="shared" si="0"/>
        <v>1076</v>
      </c>
      <c r="E15" s="134">
        <v>1076</v>
      </c>
      <c r="F15" s="496"/>
      <c r="G15" s="496"/>
      <c r="H15" s="496"/>
      <c r="I15" s="496"/>
      <c r="J15" s="496"/>
      <c r="K15" s="496"/>
      <c r="L15" s="682"/>
    </row>
    <row r="16" spans="1:12" s="123" customFormat="1" x14ac:dyDescent="0.25">
      <c r="A16" s="496">
        <v>10</v>
      </c>
      <c r="B16" s="132" t="s">
        <v>34</v>
      </c>
      <c r="C16" s="133" t="s">
        <v>35</v>
      </c>
      <c r="D16" s="129">
        <f t="shared" si="0"/>
        <v>1380</v>
      </c>
      <c r="E16" s="134">
        <v>1380</v>
      </c>
      <c r="F16" s="496"/>
      <c r="G16" s="496"/>
      <c r="H16" s="496"/>
      <c r="I16" s="496"/>
      <c r="J16" s="496"/>
      <c r="K16" s="496"/>
      <c r="L16" s="682"/>
    </row>
    <row r="17" spans="1:12" s="123" customFormat="1" x14ac:dyDescent="0.25">
      <c r="A17" s="496">
        <v>11</v>
      </c>
      <c r="B17" s="132" t="s">
        <v>36</v>
      </c>
      <c r="C17" s="133" t="s">
        <v>37</v>
      </c>
      <c r="D17" s="129">
        <f t="shared" si="0"/>
        <v>1127</v>
      </c>
      <c r="E17" s="134">
        <v>1127</v>
      </c>
      <c r="F17" s="496"/>
      <c r="G17" s="496"/>
      <c r="H17" s="496"/>
      <c r="I17" s="496"/>
      <c r="J17" s="496"/>
      <c r="K17" s="496"/>
      <c r="L17" s="682"/>
    </row>
    <row r="18" spans="1:12" s="123" customFormat="1" x14ac:dyDescent="0.25">
      <c r="A18" s="496">
        <v>12</v>
      </c>
      <c r="B18" s="132" t="s">
        <v>38</v>
      </c>
      <c r="C18" s="133" t="s">
        <v>39</v>
      </c>
      <c r="D18" s="129">
        <f t="shared" si="0"/>
        <v>2211</v>
      </c>
      <c r="E18" s="134">
        <v>2211</v>
      </c>
      <c r="F18" s="496"/>
      <c r="G18" s="496"/>
      <c r="H18" s="496"/>
      <c r="I18" s="496"/>
      <c r="J18" s="496"/>
      <c r="K18" s="496"/>
      <c r="L18" s="682"/>
    </row>
    <row r="19" spans="1:12" s="123" customFormat="1" x14ac:dyDescent="0.25">
      <c r="A19" s="496">
        <v>13</v>
      </c>
      <c r="B19" s="138" t="s">
        <v>639</v>
      </c>
      <c r="C19" s="139" t="s">
        <v>41</v>
      </c>
      <c r="D19" s="129">
        <f t="shared" si="0"/>
        <v>0</v>
      </c>
      <c r="E19" s="131">
        <v>0</v>
      </c>
      <c r="F19" s="496"/>
      <c r="G19" s="496"/>
      <c r="H19" s="496"/>
      <c r="I19" s="496"/>
      <c r="J19" s="496"/>
      <c r="K19" s="496"/>
      <c r="L19" s="682"/>
    </row>
    <row r="20" spans="1:12" s="123" customFormat="1" ht="13.5" customHeight="1" x14ac:dyDescent="0.25">
      <c r="A20" s="496">
        <v>14</v>
      </c>
      <c r="B20" s="127" t="s">
        <v>42</v>
      </c>
      <c r="C20" s="133" t="s">
        <v>43</v>
      </c>
      <c r="D20" s="129">
        <f t="shared" si="0"/>
        <v>0</v>
      </c>
      <c r="E20" s="134">
        <v>0</v>
      </c>
      <c r="F20" s="496"/>
      <c r="G20" s="496"/>
      <c r="H20" s="496"/>
      <c r="I20" s="496"/>
      <c r="J20" s="496"/>
      <c r="K20" s="496"/>
      <c r="L20" s="682"/>
    </row>
    <row r="21" spans="1:12" s="123" customFormat="1" x14ac:dyDescent="0.25">
      <c r="A21" s="496">
        <v>15</v>
      </c>
      <c r="B21" s="132" t="s">
        <v>44</v>
      </c>
      <c r="C21" s="133" t="s">
        <v>45</v>
      </c>
      <c r="D21" s="129">
        <f t="shared" si="0"/>
        <v>1462</v>
      </c>
      <c r="E21" s="134">
        <v>1462</v>
      </c>
      <c r="F21" s="496"/>
      <c r="G21" s="496"/>
      <c r="H21" s="496"/>
      <c r="I21" s="496"/>
      <c r="J21" s="496"/>
      <c r="K21" s="496"/>
      <c r="L21" s="682"/>
    </row>
    <row r="22" spans="1:12" s="123" customFormat="1" x14ac:dyDescent="0.25">
      <c r="A22" s="496">
        <v>16</v>
      </c>
      <c r="B22" s="132" t="s">
        <v>46</v>
      </c>
      <c r="C22" s="133" t="s">
        <v>47</v>
      </c>
      <c r="D22" s="129">
        <f t="shared" si="0"/>
        <v>2170</v>
      </c>
      <c r="E22" s="134">
        <v>2170</v>
      </c>
      <c r="F22" s="496"/>
      <c r="G22" s="496"/>
      <c r="H22" s="496"/>
      <c r="I22" s="496"/>
      <c r="J22" s="496"/>
      <c r="K22" s="496"/>
      <c r="L22" s="682"/>
    </row>
    <row r="23" spans="1:12" s="123" customFormat="1" x14ac:dyDescent="0.25">
      <c r="A23" s="496">
        <v>17</v>
      </c>
      <c r="B23" s="132" t="s">
        <v>48</v>
      </c>
      <c r="C23" s="133" t="s">
        <v>49</v>
      </c>
      <c r="D23" s="129">
        <f t="shared" si="0"/>
        <v>2828</v>
      </c>
      <c r="E23" s="134">
        <v>2828</v>
      </c>
      <c r="F23" s="496"/>
      <c r="G23" s="496"/>
      <c r="H23" s="496"/>
      <c r="I23" s="496"/>
      <c r="J23" s="496"/>
      <c r="K23" s="496"/>
      <c r="L23" s="682"/>
    </row>
    <row r="24" spans="1:12" s="123" customFormat="1" x14ac:dyDescent="0.25">
      <c r="A24" s="496">
        <v>18</v>
      </c>
      <c r="B24" s="132" t="s">
        <v>50</v>
      </c>
      <c r="C24" s="133" t="s">
        <v>51</v>
      </c>
      <c r="D24" s="129">
        <f t="shared" si="0"/>
        <v>5347</v>
      </c>
      <c r="E24" s="134">
        <v>5347</v>
      </c>
      <c r="F24" s="496"/>
      <c r="G24" s="496"/>
      <c r="H24" s="496">
        <v>10</v>
      </c>
      <c r="I24" s="496"/>
      <c r="J24" s="496"/>
      <c r="K24" s="496">
        <v>465</v>
      </c>
      <c r="L24" s="682"/>
    </row>
    <row r="25" spans="1:12" s="123" customFormat="1" x14ac:dyDescent="0.25">
      <c r="A25" s="496">
        <v>19</v>
      </c>
      <c r="B25" s="127" t="s">
        <v>52</v>
      </c>
      <c r="C25" s="130" t="s">
        <v>53</v>
      </c>
      <c r="D25" s="129">
        <f t="shared" si="0"/>
        <v>902</v>
      </c>
      <c r="E25" s="131">
        <v>902</v>
      </c>
      <c r="F25" s="496"/>
      <c r="G25" s="496"/>
      <c r="H25" s="496"/>
      <c r="I25" s="496"/>
      <c r="J25" s="496"/>
      <c r="K25" s="496"/>
      <c r="L25" s="682"/>
    </row>
    <row r="26" spans="1:12" s="123" customFormat="1" x14ac:dyDescent="0.25">
      <c r="A26" s="496">
        <v>20</v>
      </c>
      <c r="B26" s="127" t="s">
        <v>54</v>
      </c>
      <c r="C26" s="130" t="s">
        <v>55</v>
      </c>
      <c r="D26" s="129">
        <f t="shared" si="0"/>
        <v>696</v>
      </c>
      <c r="E26" s="131">
        <v>696</v>
      </c>
      <c r="F26" s="496"/>
      <c r="G26" s="496"/>
      <c r="H26" s="496"/>
      <c r="I26" s="496"/>
      <c r="J26" s="496"/>
      <c r="K26" s="496"/>
      <c r="L26" s="682"/>
    </row>
    <row r="27" spans="1:12" s="123" customFormat="1" x14ac:dyDescent="0.25">
      <c r="A27" s="496">
        <v>21</v>
      </c>
      <c r="B27" s="127" t="s">
        <v>56</v>
      </c>
      <c r="C27" s="130" t="s">
        <v>57</v>
      </c>
      <c r="D27" s="129">
        <f t="shared" si="0"/>
        <v>3757</v>
      </c>
      <c r="E27" s="131">
        <v>3757</v>
      </c>
      <c r="F27" s="496"/>
      <c r="G27" s="496"/>
      <c r="H27" s="496"/>
      <c r="I27" s="496"/>
      <c r="J27" s="496"/>
      <c r="K27" s="496"/>
      <c r="L27" s="682"/>
    </row>
    <row r="28" spans="1:12" s="123" customFormat="1" x14ac:dyDescent="0.25">
      <c r="A28" s="496">
        <v>22</v>
      </c>
      <c r="B28" s="127" t="s">
        <v>58</v>
      </c>
      <c r="C28" s="130" t="s">
        <v>59</v>
      </c>
      <c r="D28" s="129">
        <f t="shared" si="0"/>
        <v>3295</v>
      </c>
      <c r="E28" s="131">
        <v>3295</v>
      </c>
      <c r="F28" s="496"/>
      <c r="G28" s="496"/>
      <c r="H28" s="496">
        <v>5</v>
      </c>
      <c r="I28" s="496"/>
      <c r="J28" s="496"/>
      <c r="K28" s="496"/>
      <c r="L28" s="682"/>
    </row>
    <row r="29" spans="1:12" s="123" customFormat="1" x14ac:dyDescent="0.25">
      <c r="A29" s="496">
        <v>23</v>
      </c>
      <c r="B29" s="132" t="s">
        <v>60</v>
      </c>
      <c r="C29" s="133" t="s">
        <v>61</v>
      </c>
      <c r="D29" s="129">
        <f t="shared" si="0"/>
        <v>274</v>
      </c>
      <c r="E29" s="134">
        <v>274</v>
      </c>
      <c r="F29" s="496"/>
      <c r="G29" s="496"/>
      <c r="H29" s="496"/>
      <c r="I29" s="496"/>
      <c r="J29" s="496"/>
      <c r="K29" s="496"/>
      <c r="L29" s="682"/>
    </row>
    <row r="30" spans="1:12" s="123" customFormat="1" ht="12" customHeight="1" x14ac:dyDescent="0.25">
      <c r="A30" s="496">
        <v>24</v>
      </c>
      <c r="B30" s="132" t="s">
        <v>62</v>
      </c>
      <c r="C30" s="133" t="s">
        <v>63</v>
      </c>
      <c r="D30" s="129">
        <f t="shared" si="0"/>
        <v>0</v>
      </c>
      <c r="E30" s="134">
        <v>0</v>
      </c>
      <c r="F30" s="496"/>
      <c r="G30" s="496"/>
      <c r="H30" s="496"/>
      <c r="I30" s="496"/>
      <c r="J30" s="496"/>
      <c r="K30" s="496"/>
      <c r="L30" s="682"/>
    </row>
    <row r="31" spans="1:12" s="123" customFormat="1" ht="24" x14ac:dyDescent="0.25">
      <c r="A31" s="496">
        <v>25</v>
      </c>
      <c r="B31" s="132" t="s">
        <v>64</v>
      </c>
      <c r="C31" s="133" t="s">
        <v>65</v>
      </c>
      <c r="D31" s="129">
        <f t="shared" si="0"/>
        <v>0</v>
      </c>
      <c r="E31" s="134">
        <v>0</v>
      </c>
      <c r="F31" s="496"/>
      <c r="G31" s="496"/>
      <c r="H31" s="496"/>
      <c r="I31" s="496"/>
      <c r="J31" s="496"/>
      <c r="K31" s="496">
        <v>530</v>
      </c>
      <c r="L31" s="682"/>
    </row>
    <row r="32" spans="1:12" s="123" customFormat="1" x14ac:dyDescent="0.25">
      <c r="A32" s="496">
        <v>26</v>
      </c>
      <c r="B32" s="127" t="s">
        <v>66</v>
      </c>
      <c r="C32" s="136" t="s">
        <v>67</v>
      </c>
      <c r="D32" s="129">
        <f t="shared" si="0"/>
        <v>9996</v>
      </c>
      <c r="E32" s="137">
        <v>9996</v>
      </c>
      <c r="F32" s="496"/>
      <c r="G32" s="496"/>
      <c r="H32" s="496"/>
      <c r="I32" s="496"/>
      <c r="J32" s="496"/>
      <c r="K32" s="496"/>
      <c r="L32" s="682"/>
    </row>
    <row r="33" spans="1:12" s="123" customFormat="1" x14ac:dyDescent="0.25">
      <c r="A33" s="496">
        <v>27</v>
      </c>
      <c r="B33" s="132" t="s">
        <v>68</v>
      </c>
      <c r="C33" s="133" t="s">
        <v>69</v>
      </c>
      <c r="D33" s="129">
        <f t="shared" si="0"/>
        <v>3262</v>
      </c>
      <c r="E33" s="134">
        <v>3262</v>
      </c>
      <c r="F33" s="496"/>
      <c r="G33" s="496"/>
      <c r="H33" s="496"/>
      <c r="I33" s="496"/>
      <c r="J33" s="496"/>
      <c r="K33" s="496"/>
      <c r="L33" s="682"/>
    </row>
    <row r="34" spans="1:12" s="123" customFormat="1" ht="13.5" customHeight="1" x14ac:dyDescent="0.25">
      <c r="A34" s="496">
        <v>28</v>
      </c>
      <c r="B34" s="132" t="s">
        <v>70</v>
      </c>
      <c r="C34" s="133" t="s">
        <v>71</v>
      </c>
      <c r="D34" s="129">
        <f t="shared" si="0"/>
        <v>2304</v>
      </c>
      <c r="E34" s="134">
        <v>2304</v>
      </c>
      <c r="F34" s="496"/>
      <c r="G34" s="496"/>
      <c r="H34" s="496">
        <v>50</v>
      </c>
      <c r="I34" s="496"/>
      <c r="J34" s="496"/>
      <c r="K34" s="496"/>
      <c r="L34" s="682"/>
    </row>
    <row r="35" spans="1:12" s="123" customFormat="1" ht="12" customHeight="1" x14ac:dyDescent="0.25">
      <c r="A35" s="496">
        <v>29</v>
      </c>
      <c r="B35" s="127" t="s">
        <v>72</v>
      </c>
      <c r="C35" s="130" t="s">
        <v>73</v>
      </c>
      <c r="D35" s="129">
        <f t="shared" si="0"/>
        <v>0</v>
      </c>
      <c r="E35" s="131">
        <v>0</v>
      </c>
      <c r="F35" s="496"/>
      <c r="G35" s="496"/>
      <c r="H35" s="496"/>
      <c r="I35" s="496"/>
      <c r="J35" s="496"/>
      <c r="K35" s="496"/>
      <c r="L35" s="682"/>
    </row>
    <row r="36" spans="1:12" s="123" customFormat="1" ht="24" x14ac:dyDescent="0.25">
      <c r="A36" s="496">
        <v>30</v>
      </c>
      <c r="B36" s="127" t="s">
        <v>74</v>
      </c>
      <c r="C36" s="136" t="s">
        <v>377</v>
      </c>
      <c r="D36" s="129">
        <f t="shared" si="0"/>
        <v>0</v>
      </c>
      <c r="E36" s="137">
        <v>0</v>
      </c>
      <c r="F36" s="496"/>
      <c r="G36" s="496"/>
      <c r="H36" s="496"/>
      <c r="I36" s="496"/>
      <c r="J36" s="496"/>
      <c r="K36" s="496"/>
      <c r="L36" s="682"/>
    </row>
    <row r="37" spans="1:12" s="123" customFormat="1" x14ac:dyDescent="0.25">
      <c r="A37" s="496">
        <v>31</v>
      </c>
      <c r="B37" s="127" t="s">
        <v>75</v>
      </c>
      <c r="C37" s="130" t="s">
        <v>76</v>
      </c>
      <c r="D37" s="129">
        <f t="shared" si="0"/>
        <v>449</v>
      </c>
      <c r="E37" s="131">
        <v>449</v>
      </c>
      <c r="F37" s="496"/>
      <c r="G37" s="496"/>
      <c r="H37" s="496"/>
      <c r="I37" s="496"/>
      <c r="J37" s="496"/>
      <c r="K37" s="496"/>
      <c r="L37" s="682"/>
    </row>
    <row r="38" spans="1:12" s="123" customFormat="1" x14ac:dyDescent="0.25">
      <c r="A38" s="496">
        <v>32</v>
      </c>
      <c r="B38" s="132" t="s">
        <v>77</v>
      </c>
      <c r="C38" s="133" t="s">
        <v>78</v>
      </c>
      <c r="D38" s="129">
        <f t="shared" si="0"/>
        <v>4317</v>
      </c>
      <c r="E38" s="134">
        <v>4317</v>
      </c>
      <c r="F38" s="496"/>
      <c r="G38" s="496"/>
      <c r="H38" s="496">
        <v>7</v>
      </c>
      <c r="I38" s="496"/>
      <c r="J38" s="496"/>
      <c r="K38" s="496"/>
      <c r="L38" s="682"/>
    </row>
    <row r="39" spans="1:12" s="123" customFormat="1" x14ac:dyDescent="0.25">
      <c r="A39" s="496">
        <v>33</v>
      </c>
      <c r="B39" s="127" t="s">
        <v>79</v>
      </c>
      <c r="C39" s="130" t="s">
        <v>80</v>
      </c>
      <c r="D39" s="129">
        <f t="shared" si="0"/>
        <v>6394</v>
      </c>
      <c r="E39" s="131">
        <v>6394</v>
      </c>
      <c r="F39" s="496"/>
      <c r="G39" s="496"/>
      <c r="H39" s="496">
        <v>8</v>
      </c>
      <c r="I39" s="496"/>
      <c r="J39" s="496"/>
      <c r="K39" s="496"/>
      <c r="L39" s="682"/>
    </row>
    <row r="40" spans="1:12" s="123" customFormat="1" x14ac:dyDescent="0.25">
      <c r="A40" s="496">
        <v>34</v>
      </c>
      <c r="B40" s="135" t="s">
        <v>81</v>
      </c>
      <c r="C40" s="136" t="s">
        <v>82</v>
      </c>
      <c r="D40" s="129">
        <f t="shared" si="0"/>
        <v>1257</v>
      </c>
      <c r="E40" s="137">
        <v>1257</v>
      </c>
      <c r="F40" s="496"/>
      <c r="G40" s="496"/>
      <c r="H40" s="496"/>
      <c r="I40" s="496"/>
      <c r="J40" s="496"/>
      <c r="K40" s="496"/>
      <c r="L40" s="682"/>
    </row>
    <row r="41" spans="1:12" s="123" customFormat="1" x14ac:dyDescent="0.25">
      <c r="A41" s="496">
        <v>35</v>
      </c>
      <c r="B41" s="127" t="s">
        <v>83</v>
      </c>
      <c r="C41" s="130" t="s">
        <v>84</v>
      </c>
      <c r="D41" s="129">
        <f t="shared" si="0"/>
        <v>4228</v>
      </c>
      <c r="E41" s="131">
        <v>4228</v>
      </c>
      <c r="F41" s="496"/>
      <c r="G41" s="496"/>
      <c r="H41" s="496">
        <v>10</v>
      </c>
      <c r="I41" s="496"/>
      <c r="J41" s="496"/>
      <c r="K41" s="496">
        <v>510</v>
      </c>
      <c r="L41" s="682"/>
    </row>
    <row r="42" spans="1:12" s="123" customFormat="1" x14ac:dyDescent="0.25">
      <c r="A42" s="496">
        <v>36</v>
      </c>
      <c r="B42" s="127" t="s">
        <v>85</v>
      </c>
      <c r="C42" s="130" t="s">
        <v>86</v>
      </c>
      <c r="D42" s="129">
        <f t="shared" si="0"/>
        <v>1636</v>
      </c>
      <c r="E42" s="131">
        <v>1636</v>
      </c>
      <c r="F42" s="496"/>
      <c r="G42" s="496"/>
      <c r="H42" s="496">
        <v>0</v>
      </c>
      <c r="I42" s="496"/>
      <c r="J42" s="496"/>
      <c r="K42" s="496"/>
      <c r="L42" s="682"/>
    </row>
    <row r="43" spans="1:12" s="123" customFormat="1" x14ac:dyDescent="0.25">
      <c r="A43" s="496">
        <v>37</v>
      </c>
      <c r="B43" s="132" t="s">
        <v>87</v>
      </c>
      <c r="C43" s="133" t="s">
        <v>88</v>
      </c>
      <c r="D43" s="129">
        <f t="shared" si="0"/>
        <v>4367</v>
      </c>
      <c r="E43" s="134">
        <v>4367</v>
      </c>
      <c r="F43" s="496"/>
      <c r="G43" s="496"/>
      <c r="H43" s="496">
        <v>10</v>
      </c>
      <c r="I43" s="496"/>
      <c r="J43" s="496"/>
      <c r="K43" s="496"/>
      <c r="L43" s="682"/>
    </row>
    <row r="44" spans="1:12" s="123" customFormat="1" x14ac:dyDescent="0.25">
      <c r="A44" s="496">
        <v>38</v>
      </c>
      <c r="B44" s="127" t="s">
        <v>89</v>
      </c>
      <c r="C44" s="130" t="s">
        <v>90</v>
      </c>
      <c r="D44" s="129">
        <f t="shared" si="0"/>
        <v>1485</v>
      </c>
      <c r="E44" s="131">
        <v>1485</v>
      </c>
      <c r="F44" s="496"/>
      <c r="G44" s="496"/>
      <c r="H44" s="496"/>
      <c r="I44" s="496"/>
      <c r="J44" s="496"/>
      <c r="K44" s="496"/>
      <c r="L44" s="682"/>
    </row>
    <row r="45" spans="1:12" s="123" customFormat="1" x14ac:dyDescent="0.25">
      <c r="A45" s="496">
        <v>39</v>
      </c>
      <c r="B45" s="127" t="s">
        <v>91</v>
      </c>
      <c r="C45" s="130" t="s">
        <v>92</v>
      </c>
      <c r="D45" s="129">
        <f t="shared" si="0"/>
        <v>914</v>
      </c>
      <c r="E45" s="131">
        <v>914</v>
      </c>
      <c r="F45" s="496"/>
      <c r="G45" s="496"/>
      <c r="H45" s="496"/>
      <c r="I45" s="496"/>
      <c r="J45" s="496"/>
      <c r="K45" s="496"/>
      <c r="L45" s="682"/>
    </row>
    <row r="46" spans="1:12" s="123" customFormat="1" x14ac:dyDescent="0.25">
      <c r="A46" s="496">
        <v>40</v>
      </c>
      <c r="B46" s="140" t="s">
        <v>93</v>
      </c>
      <c r="C46" s="141" t="s">
        <v>94</v>
      </c>
      <c r="D46" s="129">
        <f t="shared" si="0"/>
        <v>1617</v>
      </c>
      <c r="E46" s="142">
        <v>1617</v>
      </c>
      <c r="F46" s="496"/>
      <c r="G46" s="496"/>
      <c r="H46" s="496">
        <v>0</v>
      </c>
      <c r="I46" s="496"/>
      <c r="J46" s="496"/>
      <c r="K46" s="496"/>
      <c r="L46" s="682"/>
    </row>
    <row r="47" spans="1:12" s="123" customFormat="1" x14ac:dyDescent="0.25">
      <c r="A47" s="496">
        <v>41</v>
      </c>
      <c r="B47" s="127" t="s">
        <v>95</v>
      </c>
      <c r="C47" s="130" t="s">
        <v>96</v>
      </c>
      <c r="D47" s="129">
        <f t="shared" si="0"/>
        <v>739</v>
      </c>
      <c r="E47" s="131">
        <v>739</v>
      </c>
      <c r="F47" s="496"/>
      <c r="G47" s="496"/>
      <c r="H47" s="496"/>
      <c r="I47" s="496"/>
      <c r="J47" s="496"/>
      <c r="K47" s="496"/>
      <c r="L47" s="682"/>
    </row>
    <row r="48" spans="1:12" s="123" customFormat="1" x14ac:dyDescent="0.25">
      <c r="A48" s="496">
        <v>42</v>
      </c>
      <c r="B48" s="135" t="s">
        <v>97</v>
      </c>
      <c r="C48" s="136" t="s">
        <v>98</v>
      </c>
      <c r="D48" s="129">
        <f t="shared" si="0"/>
        <v>340</v>
      </c>
      <c r="E48" s="137">
        <v>340</v>
      </c>
      <c r="F48" s="496"/>
      <c r="G48" s="496"/>
      <c r="H48" s="496"/>
      <c r="I48" s="496">
        <v>100</v>
      </c>
      <c r="J48" s="496"/>
      <c r="K48" s="496"/>
      <c r="L48" s="682"/>
    </row>
    <row r="49" spans="1:12" s="123" customFormat="1" x14ac:dyDescent="0.25">
      <c r="A49" s="496">
        <v>43</v>
      </c>
      <c r="B49" s="132" t="s">
        <v>99</v>
      </c>
      <c r="C49" s="133" t="s">
        <v>100</v>
      </c>
      <c r="D49" s="129">
        <f t="shared" si="0"/>
        <v>5485</v>
      </c>
      <c r="E49" s="134">
        <v>5485</v>
      </c>
      <c r="F49" s="496"/>
      <c r="G49" s="496"/>
      <c r="H49" s="496">
        <v>17</v>
      </c>
      <c r="I49" s="496"/>
      <c r="J49" s="496"/>
      <c r="K49" s="496">
        <v>300</v>
      </c>
      <c r="L49" s="682"/>
    </row>
    <row r="50" spans="1:12" s="123" customFormat="1" x14ac:dyDescent="0.25">
      <c r="A50" s="496">
        <v>44</v>
      </c>
      <c r="B50" s="127" t="s">
        <v>101</v>
      </c>
      <c r="C50" s="130" t="s">
        <v>102</v>
      </c>
      <c r="D50" s="129">
        <f t="shared" si="0"/>
        <v>1349</v>
      </c>
      <c r="E50" s="131">
        <v>1349</v>
      </c>
      <c r="F50" s="496"/>
      <c r="G50" s="496"/>
      <c r="H50" s="496"/>
      <c r="I50" s="496"/>
      <c r="J50" s="496"/>
      <c r="K50" s="496"/>
      <c r="L50" s="682"/>
    </row>
    <row r="51" spans="1:12" s="123" customFormat="1" x14ac:dyDescent="0.25">
      <c r="A51" s="496">
        <v>45</v>
      </c>
      <c r="B51" s="132" t="s">
        <v>103</v>
      </c>
      <c r="C51" s="133" t="s">
        <v>104</v>
      </c>
      <c r="D51" s="129">
        <f t="shared" si="0"/>
        <v>4586</v>
      </c>
      <c r="E51" s="134">
        <v>4586</v>
      </c>
      <c r="F51" s="496"/>
      <c r="G51" s="496"/>
      <c r="H51" s="496">
        <v>0</v>
      </c>
      <c r="I51" s="496"/>
      <c r="J51" s="496"/>
      <c r="K51" s="496"/>
      <c r="L51" s="682"/>
    </row>
    <row r="52" spans="1:12" s="123" customFormat="1" x14ac:dyDescent="0.25">
      <c r="A52" s="496">
        <v>46</v>
      </c>
      <c r="B52" s="127" t="s">
        <v>105</v>
      </c>
      <c r="C52" s="130" t="s">
        <v>106</v>
      </c>
      <c r="D52" s="129">
        <f t="shared" si="0"/>
        <v>1009</v>
      </c>
      <c r="E52" s="131">
        <v>1009</v>
      </c>
      <c r="F52" s="496"/>
      <c r="G52" s="496"/>
      <c r="H52" s="496"/>
      <c r="I52" s="496"/>
      <c r="J52" s="496"/>
      <c r="K52" s="496"/>
      <c r="L52" s="682"/>
    </row>
    <row r="53" spans="1:12" s="123" customFormat="1" ht="10.5" customHeight="1" x14ac:dyDescent="0.25">
      <c r="A53" s="496">
        <v>47</v>
      </c>
      <c r="B53" s="127" t="s">
        <v>107</v>
      </c>
      <c r="C53" s="130" t="s">
        <v>108</v>
      </c>
      <c r="D53" s="129">
        <f t="shared" si="0"/>
        <v>1579</v>
      </c>
      <c r="E53" s="131">
        <v>1579</v>
      </c>
      <c r="F53" s="496"/>
      <c r="G53" s="496"/>
      <c r="H53" s="496"/>
      <c r="I53" s="496"/>
      <c r="J53" s="496"/>
      <c r="K53" s="496"/>
      <c r="L53" s="682"/>
    </row>
    <row r="54" spans="1:12" s="123" customFormat="1" x14ac:dyDescent="0.25">
      <c r="A54" s="496">
        <v>48</v>
      </c>
      <c r="B54" s="143" t="s">
        <v>109</v>
      </c>
      <c r="C54" s="499" t="s">
        <v>110</v>
      </c>
      <c r="D54" s="129">
        <f t="shared" si="0"/>
        <v>1903</v>
      </c>
      <c r="E54" s="500">
        <v>1903</v>
      </c>
      <c r="F54" s="496"/>
      <c r="G54" s="496"/>
      <c r="H54" s="496"/>
      <c r="I54" s="496"/>
      <c r="J54" s="496"/>
      <c r="K54" s="496"/>
      <c r="L54" s="682"/>
    </row>
    <row r="55" spans="1:12" s="123" customFormat="1" x14ac:dyDescent="0.25">
      <c r="A55" s="496">
        <v>49</v>
      </c>
      <c r="B55" s="132" t="s">
        <v>111</v>
      </c>
      <c r="C55" s="133" t="s">
        <v>112</v>
      </c>
      <c r="D55" s="129">
        <f t="shared" si="0"/>
        <v>640</v>
      </c>
      <c r="E55" s="134">
        <v>640</v>
      </c>
      <c r="F55" s="496"/>
      <c r="G55" s="496"/>
      <c r="H55" s="496"/>
      <c r="I55" s="496"/>
      <c r="J55" s="496"/>
      <c r="K55" s="496"/>
      <c r="L55" s="682"/>
    </row>
    <row r="56" spans="1:12" s="123" customFormat="1" x14ac:dyDescent="0.25">
      <c r="A56" s="496">
        <v>50</v>
      </c>
      <c r="B56" s="127" t="s">
        <v>113</v>
      </c>
      <c r="C56" s="130" t="s">
        <v>114</v>
      </c>
      <c r="D56" s="129">
        <f t="shared" si="0"/>
        <v>1275</v>
      </c>
      <c r="E56" s="131">
        <v>1275</v>
      </c>
      <c r="F56" s="496"/>
      <c r="G56" s="496"/>
      <c r="H56" s="496"/>
      <c r="I56" s="496"/>
      <c r="J56" s="496"/>
      <c r="K56" s="496"/>
      <c r="L56" s="682"/>
    </row>
    <row r="57" spans="1:12" s="123" customFormat="1" ht="10.5" customHeight="1" x14ac:dyDescent="0.25">
      <c r="A57" s="496">
        <v>51</v>
      </c>
      <c r="B57" s="132" t="s">
        <v>115</v>
      </c>
      <c r="C57" s="133" t="s">
        <v>116</v>
      </c>
      <c r="D57" s="129">
        <f t="shared" si="0"/>
        <v>1918</v>
      </c>
      <c r="E57" s="134">
        <v>1918</v>
      </c>
      <c r="F57" s="496"/>
      <c r="G57" s="496"/>
      <c r="H57" s="496"/>
      <c r="I57" s="496"/>
      <c r="J57" s="496"/>
      <c r="K57" s="496"/>
      <c r="L57" s="682"/>
    </row>
    <row r="58" spans="1:12" s="123" customFormat="1" x14ac:dyDescent="0.25">
      <c r="A58" s="496">
        <v>52</v>
      </c>
      <c r="B58" s="127" t="s">
        <v>117</v>
      </c>
      <c r="C58" s="130" t="s">
        <v>118</v>
      </c>
      <c r="D58" s="129">
        <f t="shared" si="0"/>
        <v>6790</v>
      </c>
      <c r="E58" s="131">
        <v>6790</v>
      </c>
      <c r="F58" s="496"/>
      <c r="G58" s="496"/>
      <c r="H58" s="496">
        <v>10</v>
      </c>
      <c r="I58" s="496"/>
      <c r="J58" s="496"/>
      <c r="K58" s="496"/>
      <c r="L58" s="682"/>
    </row>
    <row r="59" spans="1:12" s="123" customFormat="1" x14ac:dyDescent="0.25">
      <c r="A59" s="496">
        <v>53</v>
      </c>
      <c r="B59" s="132" t="s">
        <v>119</v>
      </c>
      <c r="C59" s="133" t="s">
        <v>120</v>
      </c>
      <c r="D59" s="129">
        <f t="shared" si="0"/>
        <v>1052</v>
      </c>
      <c r="E59" s="134">
        <v>1052</v>
      </c>
      <c r="F59" s="496"/>
      <c r="G59" s="496"/>
      <c r="H59" s="496"/>
      <c r="I59" s="496"/>
      <c r="J59" s="496"/>
      <c r="K59" s="496"/>
      <c r="L59" s="682"/>
    </row>
    <row r="60" spans="1:12" s="123" customFormat="1" x14ac:dyDescent="0.25">
      <c r="A60" s="496">
        <v>54</v>
      </c>
      <c r="B60" s="132" t="s">
        <v>121</v>
      </c>
      <c r="C60" s="133" t="s">
        <v>122</v>
      </c>
      <c r="D60" s="129">
        <f t="shared" si="0"/>
        <v>5</v>
      </c>
      <c r="E60" s="134">
        <v>5</v>
      </c>
      <c r="F60" s="496"/>
      <c r="G60" s="496"/>
      <c r="H60" s="496"/>
      <c r="I60" s="496"/>
      <c r="J60" s="496"/>
      <c r="K60" s="496"/>
      <c r="L60" s="682"/>
    </row>
    <row r="61" spans="1:12" s="123" customFormat="1" x14ac:dyDescent="0.25">
      <c r="A61" s="496">
        <v>55</v>
      </c>
      <c r="B61" s="132" t="s">
        <v>123</v>
      </c>
      <c r="C61" s="133" t="s">
        <v>124</v>
      </c>
      <c r="D61" s="129">
        <f t="shared" si="0"/>
        <v>0</v>
      </c>
      <c r="E61" s="134">
        <v>0</v>
      </c>
      <c r="F61" s="496"/>
      <c r="G61" s="496"/>
      <c r="H61" s="496"/>
      <c r="I61" s="496"/>
      <c r="J61" s="496"/>
      <c r="K61" s="496"/>
      <c r="L61" s="682"/>
    </row>
    <row r="62" spans="1:12" s="123" customFormat="1" x14ac:dyDescent="0.25">
      <c r="A62" s="496">
        <v>56</v>
      </c>
      <c r="B62" s="132">
        <v>29179</v>
      </c>
      <c r="C62" s="133" t="s">
        <v>126</v>
      </c>
      <c r="D62" s="129">
        <f t="shared" si="0"/>
        <v>0</v>
      </c>
      <c r="E62" s="134">
        <v>0</v>
      </c>
      <c r="F62" s="496"/>
      <c r="G62" s="496"/>
      <c r="H62" s="496"/>
      <c r="I62" s="496"/>
      <c r="J62" s="496"/>
      <c r="K62" s="496">
        <v>360</v>
      </c>
      <c r="L62" s="682"/>
    </row>
    <row r="63" spans="1:12" s="123" customFormat="1" ht="12" customHeight="1" x14ac:dyDescent="0.25">
      <c r="A63" s="496">
        <v>57</v>
      </c>
      <c r="B63" s="132" t="s">
        <v>127</v>
      </c>
      <c r="C63" s="133" t="s">
        <v>128</v>
      </c>
      <c r="D63" s="129">
        <f t="shared" si="0"/>
        <v>2130</v>
      </c>
      <c r="E63" s="134">
        <v>2130</v>
      </c>
      <c r="F63" s="496"/>
      <c r="G63" s="496"/>
      <c r="H63" s="496"/>
      <c r="I63" s="496"/>
      <c r="J63" s="496"/>
      <c r="K63" s="496"/>
      <c r="L63" s="682"/>
    </row>
    <row r="64" spans="1:12" s="123" customFormat="1" ht="12.75" customHeight="1" x14ac:dyDescent="0.25">
      <c r="A64" s="496">
        <v>58</v>
      </c>
      <c r="B64" s="132" t="s">
        <v>129</v>
      </c>
      <c r="C64" s="133" t="s">
        <v>459</v>
      </c>
      <c r="D64" s="129">
        <f t="shared" si="0"/>
        <v>1691</v>
      </c>
      <c r="E64" s="134">
        <v>1691</v>
      </c>
      <c r="F64" s="496"/>
      <c r="G64" s="496"/>
      <c r="H64" s="496"/>
      <c r="I64" s="496"/>
      <c r="J64" s="496"/>
      <c r="K64" s="496"/>
      <c r="L64" s="682"/>
    </row>
    <row r="65" spans="1:12" s="123" customFormat="1" ht="11.25" customHeight="1" x14ac:dyDescent="0.25">
      <c r="A65" s="496">
        <v>59</v>
      </c>
      <c r="B65" s="132" t="s">
        <v>131</v>
      </c>
      <c r="C65" s="133" t="s">
        <v>460</v>
      </c>
      <c r="D65" s="129">
        <f t="shared" si="0"/>
        <v>2405</v>
      </c>
      <c r="E65" s="134">
        <v>2405</v>
      </c>
      <c r="F65" s="496"/>
      <c r="G65" s="496"/>
      <c r="H65" s="496"/>
      <c r="I65" s="496"/>
      <c r="J65" s="496"/>
      <c r="K65" s="496"/>
      <c r="L65" s="682"/>
    </row>
    <row r="66" spans="1:12" s="123" customFormat="1" ht="11.25" customHeight="1" x14ac:dyDescent="0.25">
      <c r="A66" s="496">
        <v>60</v>
      </c>
      <c r="B66" s="127" t="s">
        <v>133</v>
      </c>
      <c r="C66" s="133" t="s">
        <v>299</v>
      </c>
      <c r="D66" s="129">
        <f t="shared" si="0"/>
        <v>3043</v>
      </c>
      <c r="E66" s="134">
        <v>3043</v>
      </c>
      <c r="F66" s="496"/>
      <c r="G66" s="496"/>
      <c r="H66" s="496"/>
      <c r="I66" s="496"/>
      <c r="J66" s="496"/>
      <c r="K66" s="496"/>
      <c r="L66" s="682"/>
    </row>
    <row r="67" spans="1:12" s="123" customFormat="1" ht="11.25" customHeight="1" x14ac:dyDescent="0.25">
      <c r="A67" s="496">
        <v>61</v>
      </c>
      <c r="B67" s="135" t="s">
        <v>135</v>
      </c>
      <c r="C67" s="133" t="s">
        <v>461</v>
      </c>
      <c r="D67" s="129">
        <f t="shared" si="0"/>
        <v>1222</v>
      </c>
      <c r="E67" s="134">
        <v>1222</v>
      </c>
      <c r="F67" s="496"/>
      <c r="G67" s="496"/>
      <c r="H67" s="496"/>
      <c r="I67" s="496"/>
      <c r="J67" s="496"/>
      <c r="K67" s="496"/>
      <c r="L67" s="682"/>
    </row>
    <row r="68" spans="1:12" s="123" customFormat="1" ht="28.5" customHeight="1" x14ac:dyDescent="0.25">
      <c r="A68" s="496">
        <v>62</v>
      </c>
      <c r="B68" s="127" t="s">
        <v>137</v>
      </c>
      <c r="C68" s="133" t="s">
        <v>640</v>
      </c>
      <c r="D68" s="129">
        <f t="shared" si="0"/>
        <v>0</v>
      </c>
      <c r="E68" s="134">
        <v>0</v>
      </c>
      <c r="F68" s="496"/>
      <c r="G68" s="496"/>
      <c r="H68" s="496"/>
      <c r="I68" s="496"/>
      <c r="J68" s="496"/>
      <c r="K68" s="496"/>
      <c r="L68" s="682"/>
    </row>
    <row r="69" spans="1:12" s="123" customFormat="1" ht="28.5" customHeight="1" x14ac:dyDescent="0.25">
      <c r="A69" s="496">
        <v>63</v>
      </c>
      <c r="B69" s="132" t="s">
        <v>139</v>
      </c>
      <c r="C69" s="133" t="s">
        <v>641</v>
      </c>
      <c r="D69" s="129">
        <f t="shared" si="0"/>
        <v>0</v>
      </c>
      <c r="E69" s="134">
        <v>0</v>
      </c>
      <c r="F69" s="496"/>
      <c r="G69" s="496"/>
      <c r="H69" s="496"/>
      <c r="I69" s="496"/>
      <c r="J69" s="496"/>
      <c r="K69" s="496"/>
      <c r="L69" s="682"/>
    </row>
    <row r="70" spans="1:12" s="123" customFormat="1" ht="11.25" customHeight="1" x14ac:dyDescent="0.25">
      <c r="A70" s="496">
        <v>64</v>
      </c>
      <c r="B70" s="127" t="s">
        <v>141</v>
      </c>
      <c r="C70" s="133" t="s">
        <v>456</v>
      </c>
      <c r="D70" s="129">
        <f t="shared" si="0"/>
        <v>3980</v>
      </c>
      <c r="E70" s="134">
        <v>3980</v>
      </c>
      <c r="F70" s="496"/>
      <c r="G70" s="496"/>
      <c r="H70" s="496"/>
      <c r="I70" s="496"/>
      <c r="J70" s="496"/>
      <c r="K70" s="496"/>
      <c r="L70" s="682"/>
    </row>
    <row r="71" spans="1:12" s="123" customFormat="1" ht="11.25" customHeight="1" x14ac:dyDescent="0.25">
      <c r="A71" s="496">
        <v>65</v>
      </c>
      <c r="B71" s="127" t="s">
        <v>143</v>
      </c>
      <c r="C71" s="133" t="s">
        <v>144</v>
      </c>
      <c r="D71" s="129">
        <f t="shared" ref="D71:D134" si="1">E71+J71</f>
        <v>2375</v>
      </c>
      <c r="E71" s="134">
        <v>2375</v>
      </c>
      <c r="F71" s="496"/>
      <c r="G71" s="496"/>
      <c r="H71" s="496"/>
      <c r="I71" s="496"/>
      <c r="J71" s="496"/>
      <c r="K71" s="496">
        <v>300</v>
      </c>
      <c r="L71" s="682"/>
    </row>
    <row r="72" spans="1:12" s="123" customFormat="1" x14ac:dyDescent="0.25">
      <c r="A72" s="496">
        <v>66</v>
      </c>
      <c r="B72" s="127" t="s">
        <v>145</v>
      </c>
      <c r="C72" s="133" t="s">
        <v>457</v>
      </c>
      <c r="D72" s="129">
        <f t="shared" si="1"/>
        <v>5695</v>
      </c>
      <c r="E72" s="134">
        <v>5695</v>
      </c>
      <c r="F72" s="496">
        <v>32</v>
      </c>
      <c r="G72" s="496"/>
      <c r="H72" s="496"/>
      <c r="I72" s="496"/>
      <c r="J72" s="496"/>
      <c r="K72" s="496"/>
      <c r="L72" s="682"/>
    </row>
    <row r="73" spans="1:12" s="123" customFormat="1" ht="24" x14ac:dyDescent="0.25">
      <c r="A73" s="496">
        <v>67</v>
      </c>
      <c r="B73" s="127" t="s">
        <v>147</v>
      </c>
      <c r="C73" s="133" t="s">
        <v>642</v>
      </c>
      <c r="D73" s="129">
        <f t="shared" si="1"/>
        <v>0</v>
      </c>
      <c r="E73" s="134">
        <v>0</v>
      </c>
      <c r="F73" s="496"/>
      <c r="G73" s="496"/>
      <c r="H73" s="496"/>
      <c r="I73" s="496"/>
      <c r="J73" s="496"/>
      <c r="K73" s="496"/>
      <c r="L73" s="682"/>
    </row>
    <row r="74" spans="1:12" s="123" customFormat="1" ht="24" x14ac:dyDescent="0.25">
      <c r="A74" s="496">
        <v>68</v>
      </c>
      <c r="B74" s="127" t="s">
        <v>149</v>
      </c>
      <c r="C74" s="133" t="s">
        <v>463</v>
      </c>
      <c r="D74" s="129">
        <f t="shared" si="1"/>
        <v>0</v>
      </c>
      <c r="E74" s="134">
        <v>0</v>
      </c>
      <c r="F74" s="496"/>
      <c r="G74" s="496"/>
      <c r="H74" s="496"/>
      <c r="I74" s="496"/>
      <c r="J74" s="496"/>
      <c r="K74" s="496"/>
      <c r="L74" s="682"/>
    </row>
    <row r="75" spans="1:12" s="123" customFormat="1" ht="24" x14ac:dyDescent="0.25">
      <c r="A75" s="496">
        <v>69</v>
      </c>
      <c r="B75" s="127" t="s">
        <v>151</v>
      </c>
      <c r="C75" s="133" t="s">
        <v>643</v>
      </c>
      <c r="D75" s="129">
        <f t="shared" si="1"/>
        <v>0</v>
      </c>
      <c r="E75" s="134">
        <v>0</v>
      </c>
      <c r="F75" s="496"/>
      <c r="G75" s="496"/>
      <c r="H75" s="496"/>
      <c r="I75" s="496"/>
      <c r="J75" s="496"/>
      <c r="K75" s="496"/>
      <c r="L75" s="682"/>
    </row>
    <row r="76" spans="1:12" s="123" customFormat="1" ht="24" x14ac:dyDescent="0.25">
      <c r="A76" s="496">
        <v>70</v>
      </c>
      <c r="B76" s="127" t="s">
        <v>153</v>
      </c>
      <c r="C76" s="133" t="s">
        <v>644</v>
      </c>
      <c r="D76" s="129">
        <f t="shared" si="1"/>
        <v>0</v>
      </c>
      <c r="E76" s="134">
        <v>0</v>
      </c>
      <c r="F76" s="496"/>
      <c r="G76" s="496"/>
      <c r="H76" s="496"/>
      <c r="I76" s="496"/>
      <c r="J76" s="496"/>
      <c r="K76" s="496"/>
      <c r="L76" s="682"/>
    </row>
    <row r="77" spans="1:12" s="123" customFormat="1" ht="24" x14ac:dyDescent="0.25">
      <c r="A77" s="496">
        <v>71</v>
      </c>
      <c r="B77" s="132" t="s">
        <v>155</v>
      </c>
      <c r="C77" s="133" t="s">
        <v>645</v>
      </c>
      <c r="D77" s="129">
        <f t="shared" si="1"/>
        <v>0</v>
      </c>
      <c r="E77" s="134">
        <v>0</v>
      </c>
      <c r="F77" s="496"/>
      <c r="G77" s="496"/>
      <c r="H77" s="496"/>
      <c r="I77" s="496"/>
      <c r="J77" s="496"/>
      <c r="K77" s="496"/>
      <c r="L77" s="682"/>
    </row>
    <row r="78" spans="1:12" s="123" customFormat="1" ht="24" x14ac:dyDescent="0.25">
      <c r="A78" s="496">
        <v>72</v>
      </c>
      <c r="B78" s="127" t="s">
        <v>157</v>
      </c>
      <c r="C78" s="130" t="s">
        <v>646</v>
      </c>
      <c r="D78" s="129">
        <f t="shared" si="1"/>
        <v>0</v>
      </c>
      <c r="E78" s="131">
        <v>0</v>
      </c>
      <c r="F78" s="496"/>
      <c r="G78" s="496"/>
      <c r="H78" s="496"/>
      <c r="I78" s="496"/>
      <c r="J78" s="496"/>
      <c r="K78" s="496"/>
      <c r="L78" s="682"/>
    </row>
    <row r="79" spans="1:12" s="123" customFormat="1" ht="24" x14ac:dyDescent="0.25">
      <c r="A79" s="496">
        <v>73</v>
      </c>
      <c r="B79" s="132" t="s">
        <v>159</v>
      </c>
      <c r="C79" s="133" t="s">
        <v>647</v>
      </c>
      <c r="D79" s="129">
        <f t="shared" si="1"/>
        <v>0</v>
      </c>
      <c r="E79" s="134">
        <v>0</v>
      </c>
      <c r="F79" s="496"/>
      <c r="G79" s="496"/>
      <c r="H79" s="496"/>
      <c r="I79" s="496"/>
      <c r="J79" s="496"/>
      <c r="K79" s="496"/>
      <c r="L79" s="682"/>
    </row>
    <row r="80" spans="1:12" s="123" customFormat="1" x14ac:dyDescent="0.25">
      <c r="A80" s="496">
        <v>74</v>
      </c>
      <c r="B80" s="127" t="s">
        <v>161</v>
      </c>
      <c r="C80" s="133" t="s">
        <v>162</v>
      </c>
      <c r="D80" s="129">
        <f t="shared" si="1"/>
        <v>4398</v>
      </c>
      <c r="E80" s="134">
        <v>4398</v>
      </c>
      <c r="F80" s="496"/>
      <c r="G80" s="496"/>
      <c r="H80" s="496"/>
      <c r="I80" s="496"/>
      <c r="J80" s="496"/>
      <c r="K80" s="496"/>
      <c r="L80" s="682"/>
    </row>
    <row r="81" spans="1:12" s="123" customFormat="1" x14ac:dyDescent="0.25">
      <c r="A81" s="496">
        <v>75</v>
      </c>
      <c r="B81" s="132" t="s">
        <v>163</v>
      </c>
      <c r="C81" s="133" t="s">
        <v>458</v>
      </c>
      <c r="D81" s="129">
        <f t="shared" si="1"/>
        <v>7669</v>
      </c>
      <c r="E81" s="134">
        <v>7669</v>
      </c>
      <c r="F81" s="496"/>
      <c r="G81" s="496"/>
      <c r="H81" s="496"/>
      <c r="I81" s="496"/>
      <c r="J81" s="496"/>
      <c r="K81" s="496">
        <v>400</v>
      </c>
      <c r="L81" s="682"/>
    </row>
    <row r="82" spans="1:12" s="123" customFormat="1" x14ac:dyDescent="0.25">
      <c r="A82" s="496">
        <v>76</v>
      </c>
      <c r="B82" s="132" t="s">
        <v>165</v>
      </c>
      <c r="C82" s="133" t="s">
        <v>166</v>
      </c>
      <c r="D82" s="129">
        <f t="shared" si="1"/>
        <v>5213</v>
      </c>
      <c r="E82" s="134">
        <v>5213</v>
      </c>
      <c r="F82" s="496"/>
      <c r="G82" s="496"/>
      <c r="H82" s="496"/>
      <c r="I82" s="496"/>
      <c r="J82" s="496"/>
      <c r="K82" s="496">
        <v>186</v>
      </c>
      <c r="L82" s="682"/>
    </row>
    <row r="83" spans="1:12" s="123" customFormat="1" x14ac:dyDescent="0.25">
      <c r="A83" s="496">
        <v>77</v>
      </c>
      <c r="B83" s="144" t="s">
        <v>167</v>
      </c>
      <c r="C83" s="499" t="s">
        <v>168</v>
      </c>
      <c r="D83" s="129">
        <f t="shared" si="1"/>
        <v>1318</v>
      </c>
      <c r="E83" s="500">
        <v>1318</v>
      </c>
      <c r="F83" s="496"/>
      <c r="G83" s="496"/>
      <c r="H83" s="496"/>
      <c r="I83" s="496"/>
      <c r="J83" s="496"/>
      <c r="K83" s="496"/>
      <c r="L83" s="682"/>
    </row>
    <row r="84" spans="1:12" s="123" customFormat="1" x14ac:dyDescent="0.25">
      <c r="A84" s="496">
        <v>78</v>
      </c>
      <c r="B84" s="127" t="s">
        <v>169</v>
      </c>
      <c r="C84" s="133" t="s">
        <v>170</v>
      </c>
      <c r="D84" s="129">
        <f t="shared" si="1"/>
        <v>7403</v>
      </c>
      <c r="E84" s="134">
        <v>7403</v>
      </c>
      <c r="F84" s="496">
        <v>475</v>
      </c>
      <c r="G84" s="496"/>
      <c r="H84" s="496"/>
      <c r="I84" s="496"/>
      <c r="J84" s="496"/>
      <c r="K84" s="496">
        <v>480</v>
      </c>
      <c r="L84" s="682"/>
    </row>
    <row r="85" spans="1:12" s="123" customFormat="1" x14ac:dyDescent="0.25">
      <c r="A85" s="496">
        <v>79</v>
      </c>
      <c r="B85" s="127" t="s">
        <v>171</v>
      </c>
      <c r="C85" s="133" t="s">
        <v>172</v>
      </c>
      <c r="D85" s="129">
        <f t="shared" si="1"/>
        <v>1761</v>
      </c>
      <c r="E85" s="134">
        <v>1761</v>
      </c>
      <c r="F85" s="496"/>
      <c r="G85" s="496"/>
      <c r="H85" s="496"/>
      <c r="I85" s="496"/>
      <c r="J85" s="496"/>
      <c r="K85" s="496">
        <v>231</v>
      </c>
      <c r="L85" s="682"/>
    </row>
    <row r="86" spans="1:12" s="123" customFormat="1" x14ac:dyDescent="0.25">
      <c r="A86" s="496">
        <v>80</v>
      </c>
      <c r="B86" s="127" t="s">
        <v>173</v>
      </c>
      <c r="C86" s="133" t="s">
        <v>617</v>
      </c>
      <c r="D86" s="129">
        <f t="shared" si="1"/>
        <v>5676</v>
      </c>
      <c r="E86" s="134">
        <v>5676</v>
      </c>
      <c r="F86" s="496"/>
      <c r="G86" s="496"/>
      <c r="H86" s="496"/>
      <c r="I86" s="496"/>
      <c r="J86" s="496"/>
      <c r="K86" s="496"/>
      <c r="L86" s="682"/>
    </row>
    <row r="87" spans="1:12" s="123" customFormat="1" x14ac:dyDescent="0.25">
      <c r="A87" s="496">
        <v>81</v>
      </c>
      <c r="B87" s="127" t="s">
        <v>175</v>
      </c>
      <c r="C87" s="133" t="s">
        <v>749</v>
      </c>
      <c r="D87" s="129">
        <f t="shared" si="1"/>
        <v>677</v>
      </c>
      <c r="E87" s="134">
        <v>677</v>
      </c>
      <c r="F87" s="496"/>
      <c r="G87" s="496"/>
      <c r="H87" s="496"/>
      <c r="I87" s="496"/>
      <c r="J87" s="496"/>
      <c r="K87" s="496"/>
      <c r="L87" s="682"/>
    </row>
    <row r="88" spans="1:12" s="123" customFormat="1" x14ac:dyDescent="0.25">
      <c r="A88" s="496">
        <v>82</v>
      </c>
      <c r="B88" s="127" t="s">
        <v>177</v>
      </c>
      <c r="C88" s="133" t="s">
        <v>648</v>
      </c>
      <c r="D88" s="129">
        <f t="shared" si="1"/>
        <v>0</v>
      </c>
      <c r="E88" s="134">
        <v>0</v>
      </c>
      <c r="F88" s="496"/>
      <c r="G88" s="496"/>
      <c r="H88" s="496"/>
      <c r="I88" s="496"/>
      <c r="J88" s="496"/>
      <c r="K88" s="496"/>
      <c r="L88" s="682"/>
    </row>
    <row r="89" spans="1:12" s="123" customFormat="1" x14ac:dyDescent="0.25">
      <c r="A89" s="496">
        <v>83</v>
      </c>
      <c r="B89" s="127" t="s">
        <v>178</v>
      </c>
      <c r="C89" s="133" t="s">
        <v>324</v>
      </c>
      <c r="D89" s="129">
        <f t="shared" si="1"/>
        <v>5000</v>
      </c>
      <c r="E89" s="134">
        <v>5000</v>
      </c>
      <c r="F89" s="496"/>
      <c r="G89" s="496"/>
      <c r="H89" s="496"/>
      <c r="I89" s="496"/>
      <c r="J89" s="496"/>
      <c r="K89" s="496"/>
      <c r="L89" s="682"/>
    </row>
    <row r="90" spans="1:12" s="123" customFormat="1" ht="27" customHeight="1" x14ac:dyDescent="0.25">
      <c r="A90" s="496">
        <v>84</v>
      </c>
      <c r="B90" s="132" t="s">
        <v>181</v>
      </c>
      <c r="C90" s="133" t="s">
        <v>182</v>
      </c>
      <c r="D90" s="129">
        <f t="shared" si="1"/>
        <v>0</v>
      </c>
      <c r="E90" s="134">
        <v>0</v>
      </c>
      <c r="F90" s="496"/>
      <c r="G90" s="496"/>
      <c r="H90" s="496"/>
      <c r="I90" s="496"/>
      <c r="J90" s="496"/>
      <c r="K90" s="496"/>
      <c r="L90" s="682"/>
    </row>
    <row r="91" spans="1:12" s="123" customFormat="1" x14ac:dyDescent="0.25">
      <c r="A91" s="496">
        <v>85</v>
      </c>
      <c r="B91" s="127" t="s">
        <v>183</v>
      </c>
      <c r="C91" s="133" t="s">
        <v>184</v>
      </c>
      <c r="D91" s="129">
        <f t="shared" si="1"/>
        <v>95</v>
      </c>
      <c r="E91" s="134">
        <v>95</v>
      </c>
      <c r="F91" s="496"/>
      <c r="G91" s="496"/>
      <c r="H91" s="496"/>
      <c r="I91" s="496"/>
      <c r="J91" s="496"/>
      <c r="K91" s="496"/>
      <c r="L91" s="682"/>
    </row>
    <row r="92" spans="1:12" s="123" customFormat="1" x14ac:dyDescent="0.25">
      <c r="A92" s="496">
        <v>86</v>
      </c>
      <c r="B92" s="132" t="s">
        <v>185</v>
      </c>
      <c r="C92" s="133" t="s">
        <v>186</v>
      </c>
      <c r="D92" s="129">
        <f t="shared" si="1"/>
        <v>1171</v>
      </c>
      <c r="E92" s="134">
        <v>1171</v>
      </c>
      <c r="F92" s="496"/>
      <c r="G92" s="496"/>
      <c r="H92" s="496"/>
      <c r="I92" s="496"/>
      <c r="J92" s="496"/>
      <c r="K92" s="496">
        <v>400</v>
      </c>
      <c r="L92" s="682"/>
    </row>
    <row r="93" spans="1:12" s="123" customFormat="1" x14ac:dyDescent="0.25">
      <c r="A93" s="496">
        <v>87</v>
      </c>
      <c r="B93" s="135" t="s">
        <v>187</v>
      </c>
      <c r="C93" s="136" t="s">
        <v>188</v>
      </c>
      <c r="D93" s="129">
        <f t="shared" si="1"/>
        <v>897</v>
      </c>
      <c r="E93" s="137">
        <v>897</v>
      </c>
      <c r="F93" s="496"/>
      <c r="G93" s="496"/>
      <c r="H93" s="496"/>
      <c r="I93" s="496"/>
      <c r="J93" s="496"/>
      <c r="K93" s="496"/>
      <c r="L93" s="682"/>
    </row>
    <row r="94" spans="1:12" s="123" customFormat="1" x14ac:dyDescent="0.25">
      <c r="A94" s="496">
        <v>88</v>
      </c>
      <c r="B94" s="127" t="s">
        <v>189</v>
      </c>
      <c r="C94" s="133" t="s">
        <v>190</v>
      </c>
      <c r="D94" s="129">
        <f t="shared" si="1"/>
        <v>912</v>
      </c>
      <c r="E94" s="134">
        <v>912</v>
      </c>
      <c r="F94" s="496"/>
      <c r="G94" s="496"/>
      <c r="H94" s="496"/>
      <c r="I94" s="496"/>
      <c r="J94" s="496"/>
      <c r="K94" s="496"/>
      <c r="L94" s="682"/>
    </row>
    <row r="95" spans="1:12" s="123" customFormat="1" x14ac:dyDescent="0.25">
      <c r="A95" s="496">
        <v>89</v>
      </c>
      <c r="B95" s="127" t="s">
        <v>191</v>
      </c>
      <c r="C95" s="133" t="s">
        <v>192</v>
      </c>
      <c r="D95" s="129">
        <f t="shared" si="1"/>
        <v>2561</v>
      </c>
      <c r="E95" s="134">
        <v>2561</v>
      </c>
      <c r="F95" s="496"/>
      <c r="G95" s="496"/>
      <c r="H95" s="496"/>
      <c r="I95" s="496"/>
      <c r="J95" s="496"/>
      <c r="K95" s="496"/>
      <c r="L95" s="682"/>
    </row>
    <row r="96" spans="1:12" s="123" customFormat="1" ht="13.5" customHeight="1" x14ac:dyDescent="0.25">
      <c r="A96" s="496">
        <v>90</v>
      </c>
      <c r="B96" s="135" t="s">
        <v>193</v>
      </c>
      <c r="C96" s="136" t="s">
        <v>194</v>
      </c>
      <c r="D96" s="129">
        <f t="shared" si="1"/>
        <v>1080</v>
      </c>
      <c r="E96" s="137">
        <v>1080</v>
      </c>
      <c r="F96" s="496"/>
      <c r="G96" s="496"/>
      <c r="H96" s="496"/>
      <c r="I96" s="496"/>
      <c r="J96" s="496"/>
      <c r="K96" s="496"/>
      <c r="L96" s="682"/>
    </row>
    <row r="97" spans="1:12" s="123" customFormat="1" ht="14.25" customHeight="1" x14ac:dyDescent="0.25">
      <c r="A97" s="496">
        <v>91</v>
      </c>
      <c r="B97" s="127" t="s">
        <v>195</v>
      </c>
      <c r="C97" s="133" t="s">
        <v>196</v>
      </c>
      <c r="D97" s="129">
        <f t="shared" si="1"/>
        <v>1334</v>
      </c>
      <c r="E97" s="134">
        <v>1334</v>
      </c>
      <c r="F97" s="496"/>
      <c r="G97" s="496"/>
      <c r="H97" s="496"/>
      <c r="I97" s="496"/>
      <c r="J97" s="496"/>
      <c r="K97" s="496"/>
      <c r="L97" s="682"/>
    </row>
    <row r="98" spans="1:12" s="123" customFormat="1" x14ac:dyDescent="0.25">
      <c r="A98" s="496">
        <v>92</v>
      </c>
      <c r="B98" s="135" t="s">
        <v>197</v>
      </c>
      <c r="C98" s="136" t="s">
        <v>198</v>
      </c>
      <c r="D98" s="129">
        <f t="shared" si="1"/>
        <v>3045</v>
      </c>
      <c r="E98" s="137">
        <v>3045</v>
      </c>
      <c r="F98" s="496"/>
      <c r="G98" s="496"/>
      <c r="H98" s="496"/>
      <c r="I98" s="496"/>
      <c r="J98" s="496"/>
      <c r="K98" s="496"/>
      <c r="L98" s="682"/>
    </row>
    <row r="99" spans="1:12" s="123" customFormat="1" x14ac:dyDescent="0.25">
      <c r="A99" s="496">
        <v>93</v>
      </c>
      <c r="B99" s="127" t="s">
        <v>199</v>
      </c>
      <c r="C99" s="133" t="s">
        <v>200</v>
      </c>
      <c r="D99" s="129">
        <f t="shared" si="1"/>
        <v>2400</v>
      </c>
      <c r="E99" s="134">
        <v>2400</v>
      </c>
      <c r="F99" s="496"/>
      <c r="G99" s="496"/>
      <c r="H99" s="496"/>
      <c r="I99" s="496"/>
      <c r="J99" s="496"/>
      <c r="K99" s="496"/>
      <c r="L99" s="682"/>
    </row>
    <row r="100" spans="1:12" s="123" customFormat="1" ht="12" customHeight="1" x14ac:dyDescent="0.25">
      <c r="A100" s="496">
        <v>94</v>
      </c>
      <c r="B100" s="132" t="s">
        <v>201</v>
      </c>
      <c r="C100" s="133" t="s">
        <v>202</v>
      </c>
      <c r="D100" s="129">
        <f t="shared" si="1"/>
        <v>832</v>
      </c>
      <c r="E100" s="134">
        <v>832</v>
      </c>
      <c r="F100" s="496"/>
      <c r="G100" s="496"/>
      <c r="H100" s="496"/>
      <c r="I100" s="496"/>
      <c r="J100" s="496"/>
      <c r="K100" s="496"/>
      <c r="L100" s="682"/>
    </row>
    <row r="101" spans="1:12" s="123" customFormat="1" x14ac:dyDescent="0.25">
      <c r="A101" s="496">
        <v>95</v>
      </c>
      <c r="B101" s="127" t="s">
        <v>203</v>
      </c>
      <c r="C101" s="130" t="s">
        <v>204</v>
      </c>
      <c r="D101" s="129">
        <f t="shared" si="1"/>
        <v>1282</v>
      </c>
      <c r="E101" s="131">
        <v>1282</v>
      </c>
      <c r="F101" s="496"/>
      <c r="G101" s="496"/>
      <c r="H101" s="496"/>
      <c r="I101" s="496"/>
      <c r="J101" s="496"/>
      <c r="K101" s="496"/>
      <c r="L101" s="682"/>
    </row>
    <row r="102" spans="1:12" s="123" customFormat="1" x14ac:dyDescent="0.25">
      <c r="A102" s="496">
        <v>96</v>
      </c>
      <c r="B102" s="127" t="s">
        <v>205</v>
      </c>
      <c r="C102" s="136" t="s">
        <v>206</v>
      </c>
      <c r="D102" s="129">
        <f t="shared" si="1"/>
        <v>1250</v>
      </c>
      <c r="E102" s="137">
        <v>1250</v>
      </c>
      <c r="F102" s="496"/>
      <c r="G102" s="496"/>
      <c r="H102" s="496"/>
      <c r="I102" s="496"/>
      <c r="J102" s="496"/>
      <c r="K102" s="496"/>
      <c r="L102" s="682"/>
    </row>
    <row r="103" spans="1:12" s="123" customFormat="1" x14ac:dyDescent="0.25">
      <c r="A103" s="496">
        <v>97</v>
      </c>
      <c r="B103" s="132" t="s">
        <v>207</v>
      </c>
      <c r="C103" s="133" t="s">
        <v>208</v>
      </c>
      <c r="D103" s="129">
        <f t="shared" si="1"/>
        <v>1479</v>
      </c>
      <c r="E103" s="134">
        <v>1479</v>
      </c>
      <c r="F103" s="496">
        <v>7</v>
      </c>
      <c r="G103" s="496"/>
      <c r="H103" s="496">
        <v>7</v>
      </c>
      <c r="I103" s="496"/>
      <c r="J103" s="496"/>
      <c r="K103" s="496"/>
      <c r="L103" s="682"/>
    </row>
    <row r="104" spans="1:12" s="123" customFormat="1" x14ac:dyDescent="0.25">
      <c r="A104" s="496">
        <v>98</v>
      </c>
      <c r="B104" s="127" t="s">
        <v>209</v>
      </c>
      <c r="C104" s="501" t="s">
        <v>210</v>
      </c>
      <c r="D104" s="129">
        <f t="shared" si="1"/>
        <v>970</v>
      </c>
      <c r="E104" s="502">
        <v>970</v>
      </c>
      <c r="F104" s="496"/>
      <c r="G104" s="496"/>
      <c r="H104" s="496"/>
      <c r="I104" s="496"/>
      <c r="J104" s="496"/>
      <c r="K104" s="496"/>
      <c r="L104" s="682"/>
    </row>
    <row r="105" spans="1:12" s="123" customFormat="1" x14ac:dyDescent="0.25">
      <c r="A105" s="496">
        <v>99</v>
      </c>
      <c r="B105" s="132" t="s">
        <v>211</v>
      </c>
      <c r="C105" s="133" t="s">
        <v>212</v>
      </c>
      <c r="D105" s="129">
        <f t="shared" si="1"/>
        <v>1395</v>
      </c>
      <c r="E105" s="134">
        <v>1395</v>
      </c>
      <c r="F105" s="496"/>
      <c r="G105" s="496"/>
      <c r="H105" s="496">
        <v>0</v>
      </c>
      <c r="I105" s="496"/>
      <c r="J105" s="496"/>
      <c r="K105" s="496"/>
      <c r="L105" s="682"/>
    </row>
    <row r="106" spans="1:12" s="123" customFormat="1" x14ac:dyDescent="0.25">
      <c r="A106" s="496">
        <v>100</v>
      </c>
      <c r="B106" s="132" t="s">
        <v>213</v>
      </c>
      <c r="C106" s="133" t="s">
        <v>214</v>
      </c>
      <c r="D106" s="129">
        <f t="shared" si="1"/>
        <v>2443</v>
      </c>
      <c r="E106" s="134">
        <v>2443</v>
      </c>
      <c r="F106" s="496"/>
      <c r="G106" s="496"/>
      <c r="H106" s="496">
        <v>0</v>
      </c>
      <c r="I106" s="496">
        <v>0</v>
      </c>
      <c r="J106" s="496"/>
      <c r="K106" s="496"/>
      <c r="L106" s="682"/>
    </row>
    <row r="107" spans="1:12" s="123" customFormat="1" x14ac:dyDescent="0.25">
      <c r="A107" s="496">
        <v>101</v>
      </c>
      <c r="B107" s="127" t="s">
        <v>215</v>
      </c>
      <c r="C107" s="136" t="s">
        <v>216</v>
      </c>
      <c r="D107" s="129">
        <f t="shared" si="1"/>
        <v>1111</v>
      </c>
      <c r="E107" s="137">
        <v>1111</v>
      </c>
      <c r="F107" s="496"/>
      <c r="G107" s="496"/>
      <c r="H107" s="496"/>
      <c r="I107" s="496"/>
      <c r="J107" s="496"/>
      <c r="K107" s="496"/>
      <c r="L107" s="682"/>
    </row>
    <row r="108" spans="1:12" s="123" customFormat="1" x14ac:dyDescent="0.25">
      <c r="A108" s="496">
        <v>102</v>
      </c>
      <c r="B108" s="127" t="s">
        <v>217</v>
      </c>
      <c r="C108" s="130" t="s">
        <v>218</v>
      </c>
      <c r="D108" s="129">
        <f t="shared" si="1"/>
        <v>0</v>
      </c>
      <c r="E108" s="131">
        <v>0</v>
      </c>
      <c r="F108" s="496"/>
      <c r="G108" s="496"/>
      <c r="H108" s="496"/>
      <c r="I108" s="496"/>
      <c r="J108" s="496"/>
      <c r="K108" s="496"/>
      <c r="L108" s="682"/>
    </row>
    <row r="109" spans="1:12" s="123" customFormat="1" x14ac:dyDescent="0.25">
      <c r="A109" s="496">
        <v>103</v>
      </c>
      <c r="B109" s="127" t="s">
        <v>219</v>
      </c>
      <c r="C109" s="130" t="s">
        <v>220</v>
      </c>
      <c r="D109" s="129">
        <f t="shared" si="1"/>
        <v>690</v>
      </c>
      <c r="E109" s="131">
        <v>690</v>
      </c>
      <c r="F109" s="496"/>
      <c r="G109" s="496">
        <v>690</v>
      </c>
      <c r="H109" s="496"/>
      <c r="I109" s="496"/>
      <c r="J109" s="496"/>
      <c r="K109" s="496"/>
      <c r="L109" s="682"/>
    </row>
    <row r="110" spans="1:12" s="123" customFormat="1" x14ac:dyDescent="0.25">
      <c r="A110" s="496">
        <v>104</v>
      </c>
      <c r="B110" s="127" t="s">
        <v>221</v>
      </c>
      <c r="C110" s="130" t="s">
        <v>222</v>
      </c>
      <c r="D110" s="129">
        <f t="shared" si="1"/>
        <v>0</v>
      </c>
      <c r="E110" s="496">
        <v>0</v>
      </c>
      <c r="F110" s="496"/>
      <c r="G110" s="496"/>
      <c r="H110" s="496"/>
      <c r="I110" s="496"/>
      <c r="J110" s="496"/>
      <c r="K110" s="496"/>
      <c r="L110" s="682"/>
    </row>
    <row r="111" spans="1:12" s="123" customFormat="1" x14ac:dyDescent="0.25">
      <c r="A111" s="496">
        <v>105</v>
      </c>
      <c r="B111" s="132" t="s">
        <v>223</v>
      </c>
      <c r="C111" s="133" t="s">
        <v>224</v>
      </c>
      <c r="D111" s="129">
        <f t="shared" si="1"/>
        <v>5</v>
      </c>
      <c r="E111" s="134">
        <v>5</v>
      </c>
      <c r="F111" s="496"/>
      <c r="G111" s="496"/>
      <c r="H111" s="496"/>
      <c r="I111" s="496"/>
      <c r="J111" s="496"/>
      <c r="K111" s="496"/>
      <c r="L111" s="682"/>
    </row>
    <row r="112" spans="1:12" s="123" customFormat="1" x14ac:dyDescent="0.25">
      <c r="A112" s="496">
        <v>106</v>
      </c>
      <c r="B112" s="135" t="s">
        <v>225</v>
      </c>
      <c r="C112" s="136" t="s">
        <v>226</v>
      </c>
      <c r="D112" s="129">
        <f t="shared" si="1"/>
        <v>5</v>
      </c>
      <c r="E112" s="137">
        <v>5</v>
      </c>
      <c r="F112" s="496"/>
      <c r="G112" s="496"/>
      <c r="H112" s="496"/>
      <c r="I112" s="496"/>
      <c r="J112" s="496"/>
      <c r="K112" s="496"/>
      <c r="L112" s="682"/>
    </row>
    <row r="113" spans="1:12" s="123" customFormat="1" ht="24" customHeight="1" x14ac:dyDescent="0.25">
      <c r="A113" s="496">
        <v>107</v>
      </c>
      <c r="B113" s="127" t="s">
        <v>227</v>
      </c>
      <c r="C113" s="130" t="s">
        <v>228</v>
      </c>
      <c r="D113" s="129">
        <f t="shared" si="1"/>
        <v>5</v>
      </c>
      <c r="E113" s="131">
        <v>5</v>
      </c>
      <c r="F113" s="496"/>
      <c r="G113" s="496"/>
      <c r="H113" s="496"/>
      <c r="I113" s="496"/>
      <c r="J113" s="496"/>
      <c r="K113" s="496"/>
      <c r="L113" s="682"/>
    </row>
    <row r="114" spans="1:12" s="123" customFormat="1" x14ac:dyDescent="0.25">
      <c r="A114" s="496">
        <v>108</v>
      </c>
      <c r="B114" s="127" t="s">
        <v>229</v>
      </c>
      <c r="C114" s="130" t="s">
        <v>230</v>
      </c>
      <c r="D114" s="129">
        <f t="shared" si="1"/>
        <v>0</v>
      </c>
      <c r="E114" s="496">
        <v>0</v>
      </c>
      <c r="F114" s="496"/>
      <c r="G114" s="496"/>
      <c r="H114" s="496"/>
      <c r="I114" s="496"/>
      <c r="J114" s="496"/>
      <c r="K114" s="496"/>
      <c r="L114" s="682"/>
    </row>
    <row r="115" spans="1:12" s="123" customFormat="1" x14ac:dyDescent="0.25">
      <c r="A115" s="496">
        <v>109</v>
      </c>
      <c r="B115" s="132" t="s">
        <v>231</v>
      </c>
      <c r="C115" s="133" t="s">
        <v>232</v>
      </c>
      <c r="D115" s="129">
        <f t="shared" si="1"/>
        <v>445</v>
      </c>
      <c r="E115" s="134">
        <v>445</v>
      </c>
      <c r="F115" s="496"/>
      <c r="G115" s="496"/>
      <c r="H115" s="496"/>
      <c r="I115" s="496">
        <v>445</v>
      </c>
      <c r="J115" s="496"/>
      <c r="K115" s="496"/>
      <c r="L115" s="682"/>
    </row>
    <row r="116" spans="1:12" s="123" customFormat="1" ht="12" customHeight="1" x14ac:dyDescent="0.25">
      <c r="A116" s="496">
        <v>110</v>
      </c>
      <c r="B116" s="132" t="s">
        <v>233</v>
      </c>
      <c r="C116" s="133" t="s">
        <v>234</v>
      </c>
      <c r="D116" s="129">
        <f t="shared" si="1"/>
        <v>0</v>
      </c>
      <c r="E116" s="496">
        <v>0</v>
      </c>
      <c r="F116" s="496"/>
      <c r="G116" s="496"/>
      <c r="H116" s="496"/>
      <c r="I116" s="496"/>
      <c r="J116" s="496"/>
      <c r="K116" s="496"/>
      <c r="L116" s="682"/>
    </row>
    <row r="117" spans="1:12" s="123" customFormat="1" x14ac:dyDescent="0.25">
      <c r="A117" s="496">
        <v>111</v>
      </c>
      <c r="B117" s="145" t="s">
        <v>235</v>
      </c>
      <c r="C117" s="130" t="s">
        <v>236</v>
      </c>
      <c r="D117" s="129">
        <f t="shared" si="1"/>
        <v>0</v>
      </c>
      <c r="E117" s="496">
        <v>0</v>
      </c>
      <c r="F117" s="496"/>
      <c r="G117" s="496"/>
      <c r="H117" s="496"/>
      <c r="I117" s="496"/>
      <c r="J117" s="496"/>
      <c r="K117" s="496"/>
      <c r="L117" s="682"/>
    </row>
    <row r="118" spans="1:12" s="123" customFormat="1" x14ac:dyDescent="0.25">
      <c r="A118" s="496">
        <v>112</v>
      </c>
      <c r="B118" s="127" t="s">
        <v>237</v>
      </c>
      <c r="C118" s="130" t="s">
        <v>238</v>
      </c>
      <c r="D118" s="129">
        <f t="shared" si="1"/>
        <v>402</v>
      </c>
      <c r="E118" s="131">
        <v>402</v>
      </c>
      <c r="F118" s="496">
        <v>51</v>
      </c>
      <c r="G118" s="496">
        <v>351</v>
      </c>
      <c r="H118" s="496"/>
      <c r="I118" s="496"/>
      <c r="J118" s="496"/>
      <c r="K118" s="496"/>
      <c r="L118" s="682"/>
    </row>
    <row r="119" spans="1:12" s="123" customFormat="1" x14ac:dyDescent="0.25">
      <c r="A119" s="496">
        <v>113</v>
      </c>
      <c r="B119" s="127" t="s">
        <v>239</v>
      </c>
      <c r="C119" s="133" t="s">
        <v>240</v>
      </c>
      <c r="D119" s="129">
        <f t="shared" si="1"/>
        <v>0</v>
      </c>
      <c r="E119" s="496">
        <v>0</v>
      </c>
      <c r="F119" s="496"/>
      <c r="G119" s="496"/>
      <c r="H119" s="496"/>
      <c r="I119" s="496"/>
      <c r="J119" s="496"/>
      <c r="K119" s="496"/>
      <c r="L119" s="682"/>
    </row>
    <row r="120" spans="1:12" s="123" customFormat="1" x14ac:dyDescent="0.25">
      <c r="A120" s="496">
        <v>114</v>
      </c>
      <c r="B120" s="127" t="s">
        <v>241</v>
      </c>
      <c r="C120" s="130" t="s">
        <v>242</v>
      </c>
      <c r="D120" s="129">
        <f t="shared" si="1"/>
        <v>134</v>
      </c>
      <c r="E120" s="131">
        <v>134</v>
      </c>
      <c r="F120" s="496"/>
      <c r="G120" s="496">
        <v>134</v>
      </c>
      <c r="H120" s="496"/>
      <c r="I120" s="496"/>
      <c r="J120" s="496"/>
      <c r="K120" s="496"/>
      <c r="L120" s="682"/>
    </row>
    <row r="121" spans="1:12" s="123" customFormat="1" x14ac:dyDescent="0.25">
      <c r="A121" s="496">
        <v>115</v>
      </c>
      <c r="B121" s="132" t="s">
        <v>243</v>
      </c>
      <c r="C121" s="146" t="s">
        <v>385</v>
      </c>
      <c r="D121" s="129">
        <f t="shared" si="1"/>
        <v>8</v>
      </c>
      <c r="E121" s="134">
        <v>8</v>
      </c>
      <c r="F121" s="496"/>
      <c r="G121" s="496"/>
      <c r="H121" s="496"/>
      <c r="I121" s="496"/>
      <c r="J121" s="496"/>
      <c r="K121" s="496"/>
      <c r="L121" s="682"/>
    </row>
    <row r="122" spans="1:12" s="123" customFormat="1" x14ac:dyDescent="0.25">
      <c r="A122" s="496">
        <v>116</v>
      </c>
      <c r="B122" s="132" t="s">
        <v>244</v>
      </c>
      <c r="C122" s="133" t="s">
        <v>649</v>
      </c>
      <c r="D122" s="129">
        <f t="shared" si="1"/>
        <v>5</v>
      </c>
      <c r="E122" s="134">
        <v>5</v>
      </c>
      <c r="F122" s="496"/>
      <c r="G122" s="496"/>
      <c r="H122" s="496"/>
      <c r="I122" s="496"/>
      <c r="J122" s="496"/>
      <c r="K122" s="496"/>
      <c r="L122" s="682"/>
    </row>
    <row r="123" spans="1:12" s="123" customFormat="1" x14ac:dyDescent="0.25">
      <c r="A123" s="496">
        <v>117</v>
      </c>
      <c r="B123" s="132" t="s">
        <v>246</v>
      </c>
      <c r="C123" s="133" t="s">
        <v>247</v>
      </c>
      <c r="D123" s="129">
        <f t="shared" si="1"/>
        <v>0</v>
      </c>
      <c r="E123" s="496">
        <v>0</v>
      </c>
      <c r="F123" s="496"/>
      <c r="G123" s="496"/>
      <c r="H123" s="496"/>
      <c r="I123" s="496"/>
      <c r="J123" s="496"/>
      <c r="K123" s="496"/>
      <c r="L123" s="682"/>
    </row>
    <row r="124" spans="1:12" s="123" customFormat="1" x14ac:dyDescent="0.25">
      <c r="A124" s="496">
        <v>118</v>
      </c>
      <c r="B124" s="132" t="s">
        <v>248</v>
      </c>
      <c r="C124" s="133" t="s">
        <v>249</v>
      </c>
      <c r="D124" s="129">
        <f t="shared" si="1"/>
        <v>0</v>
      </c>
      <c r="E124" s="496">
        <v>0</v>
      </c>
      <c r="F124" s="496"/>
      <c r="G124" s="496"/>
      <c r="H124" s="496"/>
      <c r="I124" s="496"/>
      <c r="J124" s="496"/>
      <c r="K124" s="496"/>
      <c r="L124" s="682"/>
    </row>
    <row r="125" spans="1:12" s="123" customFormat="1" ht="12.75" customHeight="1" x14ac:dyDescent="0.25">
      <c r="A125" s="496">
        <v>119</v>
      </c>
      <c r="B125" s="132" t="s">
        <v>250</v>
      </c>
      <c r="C125" s="133" t="s">
        <v>251</v>
      </c>
      <c r="D125" s="129">
        <f t="shared" si="1"/>
        <v>0</v>
      </c>
      <c r="E125" s="496">
        <v>0</v>
      </c>
      <c r="F125" s="496"/>
      <c r="G125" s="496"/>
      <c r="H125" s="496"/>
      <c r="I125" s="496"/>
      <c r="J125" s="496"/>
      <c r="K125" s="496"/>
      <c r="L125" s="682"/>
    </row>
    <row r="126" spans="1:12" s="123" customFormat="1" x14ac:dyDescent="0.25">
      <c r="A126" s="496">
        <v>120</v>
      </c>
      <c r="B126" s="147" t="s">
        <v>252</v>
      </c>
      <c r="C126" s="148" t="s">
        <v>253</v>
      </c>
      <c r="D126" s="129">
        <f t="shared" si="1"/>
        <v>332</v>
      </c>
      <c r="E126" s="149">
        <v>332</v>
      </c>
      <c r="F126" s="496"/>
      <c r="G126" s="496">
        <v>332</v>
      </c>
      <c r="H126" s="496"/>
      <c r="I126" s="496"/>
      <c r="J126" s="496"/>
      <c r="K126" s="496"/>
      <c r="L126" s="682"/>
    </row>
    <row r="127" spans="1:12" s="123" customFormat="1" x14ac:dyDescent="0.25">
      <c r="A127" s="496">
        <v>121</v>
      </c>
      <c r="B127" s="127" t="s">
        <v>254</v>
      </c>
      <c r="C127" s="130" t="s">
        <v>255</v>
      </c>
      <c r="D127" s="129">
        <f t="shared" si="1"/>
        <v>0</v>
      </c>
      <c r="E127" s="496">
        <v>0</v>
      </c>
      <c r="F127" s="496"/>
      <c r="G127" s="496"/>
      <c r="H127" s="496"/>
      <c r="I127" s="496"/>
      <c r="J127" s="496"/>
      <c r="K127" s="496"/>
      <c r="L127" s="682"/>
    </row>
    <row r="128" spans="1:12" s="123" customFormat="1" x14ac:dyDescent="0.25">
      <c r="A128" s="496">
        <v>122</v>
      </c>
      <c r="B128" s="132" t="s">
        <v>256</v>
      </c>
      <c r="C128" s="133" t="s">
        <v>257</v>
      </c>
      <c r="D128" s="129">
        <f t="shared" si="1"/>
        <v>4</v>
      </c>
      <c r="E128" s="134">
        <v>4</v>
      </c>
      <c r="F128" s="496"/>
      <c r="G128" s="496"/>
      <c r="H128" s="496"/>
      <c r="I128" s="496"/>
      <c r="J128" s="496"/>
      <c r="K128" s="496"/>
      <c r="L128" s="682"/>
    </row>
    <row r="129" spans="1:12" s="123" customFormat="1" ht="14.25" customHeight="1" x14ac:dyDescent="0.25">
      <c r="A129" s="496">
        <v>123</v>
      </c>
      <c r="B129" s="127" t="s">
        <v>258</v>
      </c>
      <c r="C129" s="133" t="s">
        <v>259</v>
      </c>
      <c r="D129" s="129">
        <f t="shared" si="1"/>
        <v>1298</v>
      </c>
      <c r="E129" s="134">
        <v>1298</v>
      </c>
      <c r="F129" s="496"/>
      <c r="G129" s="496"/>
      <c r="H129" s="496"/>
      <c r="I129" s="496">
        <v>150</v>
      </c>
      <c r="J129" s="496"/>
      <c r="K129" s="496"/>
      <c r="L129" s="682"/>
    </row>
    <row r="130" spans="1:12" s="123" customFormat="1" x14ac:dyDescent="0.25">
      <c r="A130" s="496">
        <v>124</v>
      </c>
      <c r="B130" s="132" t="s">
        <v>260</v>
      </c>
      <c r="C130" s="133" t="s">
        <v>261</v>
      </c>
      <c r="D130" s="129">
        <f t="shared" si="1"/>
        <v>36477</v>
      </c>
      <c r="E130" s="134">
        <v>36387</v>
      </c>
      <c r="F130" s="496">
        <v>36387</v>
      </c>
      <c r="G130" s="496"/>
      <c r="H130" s="496"/>
      <c r="I130" s="496"/>
      <c r="J130" s="496">
        <v>90</v>
      </c>
      <c r="K130" s="496"/>
      <c r="L130" s="682"/>
    </row>
    <row r="131" spans="1:12" s="123" customFormat="1" ht="13.5" customHeight="1" x14ac:dyDescent="0.25">
      <c r="A131" s="496">
        <v>125</v>
      </c>
      <c r="B131" s="132" t="s">
        <v>262</v>
      </c>
      <c r="C131" s="133" t="s">
        <v>263</v>
      </c>
      <c r="D131" s="129">
        <f t="shared" si="1"/>
        <v>350</v>
      </c>
      <c r="E131" s="134">
        <v>350</v>
      </c>
      <c r="F131" s="496"/>
      <c r="G131" s="496"/>
      <c r="H131" s="496"/>
      <c r="I131" s="496"/>
      <c r="J131" s="496"/>
      <c r="K131" s="496"/>
      <c r="L131" s="682"/>
    </row>
    <row r="132" spans="1:12" s="123" customFormat="1" x14ac:dyDescent="0.25">
      <c r="A132" s="496">
        <v>126</v>
      </c>
      <c r="B132" s="127" t="s">
        <v>264</v>
      </c>
      <c r="C132" s="133" t="s">
        <v>265</v>
      </c>
      <c r="D132" s="129">
        <f t="shared" si="1"/>
        <v>2796</v>
      </c>
      <c r="E132" s="134">
        <v>2796</v>
      </c>
      <c r="F132" s="496">
        <v>140</v>
      </c>
      <c r="G132" s="496"/>
      <c r="H132" s="496"/>
      <c r="I132" s="496"/>
      <c r="J132" s="496"/>
      <c r="K132" s="496">
        <v>400</v>
      </c>
      <c r="L132" s="682"/>
    </row>
    <row r="133" spans="1:12" s="123" customFormat="1" x14ac:dyDescent="0.25">
      <c r="A133" s="496">
        <v>127</v>
      </c>
      <c r="B133" s="132" t="s">
        <v>266</v>
      </c>
      <c r="C133" s="133" t="s">
        <v>267</v>
      </c>
      <c r="D133" s="129">
        <f t="shared" si="1"/>
        <v>2160</v>
      </c>
      <c r="E133" s="134">
        <v>2160</v>
      </c>
      <c r="F133" s="496"/>
      <c r="G133" s="496"/>
      <c r="H133" s="496"/>
      <c r="I133" s="496"/>
      <c r="J133" s="496"/>
      <c r="K133" s="496"/>
      <c r="L133" s="682"/>
    </row>
    <row r="134" spans="1:12" s="123" customFormat="1" ht="12.75" customHeight="1" x14ac:dyDescent="0.25">
      <c r="A134" s="496">
        <v>128</v>
      </c>
      <c r="B134" s="127" t="s">
        <v>268</v>
      </c>
      <c r="C134" s="130" t="s">
        <v>269</v>
      </c>
      <c r="D134" s="129">
        <f t="shared" si="1"/>
        <v>2460</v>
      </c>
      <c r="E134" s="131">
        <v>2460</v>
      </c>
      <c r="F134" s="496"/>
      <c r="G134" s="496"/>
      <c r="H134" s="496"/>
      <c r="I134" s="496"/>
      <c r="J134" s="496"/>
      <c r="K134" s="496"/>
      <c r="L134" s="682"/>
    </row>
    <row r="135" spans="1:12" s="123" customFormat="1" x14ac:dyDescent="0.25">
      <c r="A135" s="496">
        <v>129</v>
      </c>
      <c r="B135" s="127" t="s">
        <v>270</v>
      </c>
      <c r="C135" s="130" t="s">
        <v>271</v>
      </c>
      <c r="D135" s="129">
        <f>E135+J135</f>
        <v>1035</v>
      </c>
      <c r="E135" s="131">
        <v>1035</v>
      </c>
      <c r="F135" s="496"/>
      <c r="G135" s="496">
        <v>666</v>
      </c>
      <c r="H135" s="496"/>
      <c r="I135" s="496"/>
      <c r="J135" s="496"/>
      <c r="K135" s="496"/>
      <c r="L135" s="682"/>
    </row>
    <row r="136" spans="1:12" s="123" customFormat="1" x14ac:dyDescent="0.25">
      <c r="A136" s="496">
        <v>130</v>
      </c>
      <c r="B136" s="132" t="s">
        <v>272</v>
      </c>
      <c r="C136" s="133" t="s">
        <v>273</v>
      </c>
      <c r="D136" s="129">
        <f t="shared" ref="D136:D141" si="2">E136+J136</f>
        <v>0</v>
      </c>
      <c r="E136" s="134">
        <v>0</v>
      </c>
      <c r="F136" s="496"/>
      <c r="G136" s="496"/>
      <c r="H136" s="496"/>
      <c r="I136" s="496"/>
      <c r="J136" s="496"/>
      <c r="K136" s="496">
        <v>2500</v>
      </c>
      <c r="L136" s="682"/>
    </row>
    <row r="137" spans="1:12" s="123" customFormat="1" x14ac:dyDescent="0.25">
      <c r="A137" s="496">
        <v>131</v>
      </c>
      <c r="B137" s="132" t="s">
        <v>274</v>
      </c>
      <c r="C137" s="133" t="s">
        <v>275</v>
      </c>
      <c r="D137" s="129">
        <f t="shared" si="2"/>
        <v>713</v>
      </c>
      <c r="E137" s="134">
        <v>713</v>
      </c>
      <c r="F137" s="496"/>
      <c r="G137" s="496"/>
      <c r="H137" s="496"/>
      <c r="I137" s="496"/>
      <c r="J137" s="496"/>
      <c r="K137" s="496">
        <v>2000</v>
      </c>
      <c r="L137" s="682"/>
    </row>
    <row r="138" spans="1:12" s="123" customFormat="1" ht="13.5" customHeight="1" x14ac:dyDescent="0.25">
      <c r="A138" s="496">
        <v>132</v>
      </c>
      <c r="B138" s="132" t="s">
        <v>276</v>
      </c>
      <c r="C138" s="133" t="s">
        <v>277</v>
      </c>
      <c r="D138" s="129">
        <f t="shared" si="2"/>
        <v>2960</v>
      </c>
      <c r="E138" s="134">
        <v>2960</v>
      </c>
      <c r="F138" s="496"/>
      <c r="G138" s="503"/>
      <c r="H138" s="496"/>
      <c r="I138" s="496"/>
      <c r="J138" s="496"/>
      <c r="K138" s="496"/>
      <c r="L138" s="682"/>
    </row>
    <row r="139" spans="1:12" s="123" customFormat="1" x14ac:dyDescent="0.25">
      <c r="A139" s="496">
        <v>133</v>
      </c>
      <c r="B139" s="132" t="s">
        <v>278</v>
      </c>
      <c r="C139" s="133" t="s">
        <v>279</v>
      </c>
      <c r="D139" s="129">
        <f t="shared" si="2"/>
        <v>5899</v>
      </c>
      <c r="E139" s="134">
        <v>5899</v>
      </c>
      <c r="F139" s="496"/>
      <c r="G139" s="496"/>
      <c r="H139" s="496"/>
      <c r="I139" s="496"/>
      <c r="J139" s="496"/>
      <c r="K139" s="496">
        <v>364</v>
      </c>
      <c r="L139" s="682"/>
    </row>
    <row r="140" spans="1:12" s="123" customFormat="1" x14ac:dyDescent="0.25">
      <c r="A140" s="496">
        <v>134</v>
      </c>
      <c r="B140" s="132" t="s">
        <v>280</v>
      </c>
      <c r="C140" s="133" t="s">
        <v>281</v>
      </c>
      <c r="D140" s="129">
        <f t="shared" si="2"/>
        <v>156</v>
      </c>
      <c r="E140" s="134">
        <v>156</v>
      </c>
      <c r="F140" s="496"/>
      <c r="G140" s="496"/>
      <c r="H140" s="496"/>
      <c r="I140" s="496"/>
      <c r="J140" s="496"/>
      <c r="K140" s="496"/>
      <c r="L140" s="682"/>
    </row>
    <row r="141" spans="1:12" s="123" customFormat="1" x14ac:dyDescent="0.25">
      <c r="A141" s="496">
        <v>135</v>
      </c>
      <c r="B141" s="127" t="s">
        <v>282</v>
      </c>
      <c r="C141" s="130" t="s">
        <v>283</v>
      </c>
      <c r="D141" s="129">
        <f t="shared" si="2"/>
        <v>0</v>
      </c>
      <c r="E141" s="496">
        <v>0</v>
      </c>
      <c r="F141" s="496"/>
      <c r="G141" s="496"/>
      <c r="H141" s="496"/>
      <c r="I141" s="496"/>
      <c r="J141" s="496"/>
      <c r="K141" s="496"/>
      <c r="L141" s="682"/>
    </row>
    <row r="142" spans="1:12" s="123" customFormat="1" ht="13.5" customHeight="1" x14ac:dyDescent="0.25">
      <c r="A142" s="496">
        <v>136</v>
      </c>
      <c r="B142" s="132" t="s">
        <v>284</v>
      </c>
      <c r="C142" s="133" t="s">
        <v>285</v>
      </c>
      <c r="D142" s="129">
        <f>E142+J142+L142</f>
        <v>1953</v>
      </c>
      <c r="E142" s="134">
        <v>1000</v>
      </c>
      <c r="F142" s="496">
        <v>1000</v>
      </c>
      <c r="G142" s="496"/>
      <c r="H142" s="496"/>
      <c r="I142" s="496"/>
      <c r="J142" s="496">
        <v>90</v>
      </c>
      <c r="K142" s="496"/>
      <c r="L142" s="665">
        <v>863</v>
      </c>
    </row>
    <row r="143" spans="1:12" s="151" customFormat="1" ht="12.75" x14ac:dyDescent="0.25">
      <c r="A143" s="504"/>
      <c r="B143" s="505"/>
      <c r="C143" s="506" t="s">
        <v>15</v>
      </c>
      <c r="D143" s="150">
        <f t="shared" ref="D143:K143" si="3">SUM(D7:D142)</f>
        <v>263243</v>
      </c>
      <c r="E143" s="150">
        <f t="shared" si="3"/>
        <v>262200</v>
      </c>
      <c r="F143" s="150">
        <f t="shared" si="3"/>
        <v>38092</v>
      </c>
      <c r="G143" s="150">
        <f t="shared" si="3"/>
        <v>2173</v>
      </c>
      <c r="H143" s="150">
        <f t="shared" si="3"/>
        <v>148</v>
      </c>
      <c r="I143" s="150">
        <f t="shared" si="3"/>
        <v>695</v>
      </c>
      <c r="J143" s="150">
        <f t="shared" si="3"/>
        <v>180</v>
      </c>
      <c r="K143" s="150">
        <f t="shared" si="3"/>
        <v>10186</v>
      </c>
      <c r="L143" s="150">
        <f t="shared" ref="L143" si="4">SUM(L7:L142)</f>
        <v>863</v>
      </c>
    </row>
    <row r="144" spans="1:12" s="151" customFormat="1" ht="21.75" customHeight="1" x14ac:dyDescent="0.25">
      <c r="A144" s="504"/>
      <c r="B144" s="504"/>
      <c r="C144" s="507" t="s">
        <v>14</v>
      </c>
      <c r="D144" s="152">
        <v>3383</v>
      </c>
      <c r="E144" s="152">
        <v>3383</v>
      </c>
      <c r="F144" s="150">
        <v>2875</v>
      </c>
      <c r="G144" s="150">
        <v>20</v>
      </c>
      <c r="H144" s="150"/>
      <c r="I144" s="150"/>
      <c r="J144" s="150"/>
      <c r="K144" s="150"/>
      <c r="L144" s="150"/>
    </row>
    <row r="145" spans="1:12" s="151" customFormat="1" x14ac:dyDescent="0.25">
      <c r="A145" s="949" t="s">
        <v>6</v>
      </c>
      <c r="B145" s="949"/>
      <c r="C145" s="949"/>
      <c r="D145" s="150">
        <f>D143+D144</f>
        <v>266626</v>
      </c>
      <c r="E145" s="150">
        <f t="shared" ref="E145:K145" si="5">E143+E144</f>
        <v>265583</v>
      </c>
      <c r="F145" s="150">
        <f t="shared" si="5"/>
        <v>40967</v>
      </c>
      <c r="G145" s="150">
        <f t="shared" si="5"/>
        <v>2193</v>
      </c>
      <c r="H145" s="150">
        <f t="shared" si="5"/>
        <v>148</v>
      </c>
      <c r="I145" s="150">
        <f t="shared" si="5"/>
        <v>695</v>
      </c>
      <c r="J145" s="150">
        <f t="shared" si="5"/>
        <v>180</v>
      </c>
      <c r="K145" s="150">
        <f t="shared" si="5"/>
        <v>10186</v>
      </c>
      <c r="L145" s="150">
        <f t="shared" ref="L145" si="6">L143+L144</f>
        <v>863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C2" sqref="C2:C3"/>
    </sheetView>
  </sheetViews>
  <sheetFormatPr defaultRowHeight="12.75" x14ac:dyDescent="0.25"/>
  <cols>
    <col min="1" max="1" width="3.5703125" style="370" customWidth="1"/>
    <col min="2" max="2" width="11.5703125" style="370" customWidth="1"/>
    <col min="3" max="3" width="37.85546875" style="379" customWidth="1"/>
    <col min="4" max="5" width="25" style="370" customWidth="1"/>
    <col min="6" max="16384" width="9.140625" style="370"/>
  </cols>
  <sheetData>
    <row r="1" spans="1:5" ht="39.75" customHeight="1" x14ac:dyDescent="0.25">
      <c r="A1" s="1363" t="s">
        <v>764</v>
      </c>
      <c r="B1" s="1363"/>
      <c r="C1" s="1363"/>
      <c r="D1" s="1363"/>
      <c r="E1" s="1363"/>
    </row>
    <row r="2" spans="1:5" ht="12.75" customHeight="1" x14ac:dyDescent="0.25">
      <c r="A2" s="1364" t="s">
        <v>0</v>
      </c>
      <c r="B2" s="1364" t="s">
        <v>302</v>
      </c>
      <c r="C2" s="1365" t="s">
        <v>292</v>
      </c>
      <c r="D2" s="1265" t="s">
        <v>763</v>
      </c>
      <c r="E2" s="1265" t="s">
        <v>773</v>
      </c>
    </row>
    <row r="3" spans="1:5" ht="96.75" customHeight="1" x14ac:dyDescent="0.25">
      <c r="A3" s="1364"/>
      <c r="B3" s="1364"/>
      <c r="C3" s="1364"/>
      <c r="D3" s="1265"/>
      <c r="E3" s="1265"/>
    </row>
    <row r="4" spans="1:5" ht="19.5" customHeight="1" x14ac:dyDescent="0.25">
      <c r="A4" s="371"/>
      <c r="B4" s="371"/>
      <c r="C4" s="372" t="s">
        <v>6</v>
      </c>
      <c r="D4" s="373">
        <f>D6+D5</f>
        <v>159001</v>
      </c>
      <c r="E4" s="373">
        <f>E6+E5</f>
        <v>159001</v>
      </c>
    </row>
    <row r="5" spans="1:5" ht="19.5" customHeight="1" x14ac:dyDescent="0.25">
      <c r="A5" s="371"/>
      <c r="B5" s="371"/>
      <c r="C5" s="372" t="s">
        <v>14</v>
      </c>
      <c r="D5" s="374">
        <v>0</v>
      </c>
      <c r="E5" s="374">
        <v>0</v>
      </c>
    </row>
    <row r="6" spans="1:5" ht="19.5" customHeight="1" x14ac:dyDescent="0.25">
      <c r="A6" s="371"/>
      <c r="B6" s="371"/>
      <c r="C6" s="372" t="s">
        <v>15</v>
      </c>
      <c r="D6" s="373">
        <f>SUM(D7:D25)</f>
        <v>159001</v>
      </c>
      <c r="E6" s="373">
        <f>SUM(E7:E25)</f>
        <v>159001</v>
      </c>
    </row>
    <row r="7" spans="1:5" ht="19.5" customHeight="1" x14ac:dyDescent="0.25">
      <c r="A7" s="371">
        <v>1</v>
      </c>
      <c r="B7" s="371" t="s">
        <v>26</v>
      </c>
      <c r="C7" s="375" t="s">
        <v>27</v>
      </c>
      <c r="D7" s="376">
        <v>10894</v>
      </c>
      <c r="E7" s="376">
        <v>10894</v>
      </c>
    </row>
    <row r="8" spans="1:5" ht="19.5" customHeight="1" x14ac:dyDescent="0.25">
      <c r="A8" s="371">
        <v>2</v>
      </c>
      <c r="B8" s="371" t="s">
        <v>28</v>
      </c>
      <c r="C8" s="375" t="s">
        <v>29</v>
      </c>
      <c r="D8" s="376">
        <v>4566</v>
      </c>
      <c r="E8" s="376">
        <v>4566</v>
      </c>
    </row>
    <row r="9" spans="1:5" ht="19.5" customHeight="1" x14ac:dyDescent="0.25">
      <c r="A9" s="371">
        <v>3</v>
      </c>
      <c r="B9" s="371" t="s">
        <v>50</v>
      </c>
      <c r="C9" s="375" t="s">
        <v>51</v>
      </c>
      <c r="D9" s="376">
        <v>9650</v>
      </c>
      <c r="E9" s="376">
        <v>9650</v>
      </c>
    </row>
    <row r="10" spans="1:5" ht="19.5" customHeight="1" x14ac:dyDescent="0.25">
      <c r="A10" s="371">
        <v>4</v>
      </c>
      <c r="B10" s="371" t="s">
        <v>58</v>
      </c>
      <c r="C10" s="375" t="s">
        <v>59</v>
      </c>
      <c r="D10" s="376">
        <v>6201</v>
      </c>
      <c r="E10" s="376">
        <v>6201</v>
      </c>
    </row>
    <row r="11" spans="1:5" ht="19.5" customHeight="1" x14ac:dyDescent="0.25">
      <c r="A11" s="636">
        <v>5</v>
      </c>
      <c r="B11" s="636" t="s">
        <v>66</v>
      </c>
      <c r="C11" s="375" t="s">
        <v>67</v>
      </c>
      <c r="D11" s="376">
        <v>11831</v>
      </c>
      <c r="E11" s="376">
        <v>11831</v>
      </c>
    </row>
    <row r="12" spans="1:5" ht="19.5" customHeight="1" x14ac:dyDescent="0.25">
      <c r="A12" s="636">
        <v>6</v>
      </c>
      <c r="B12" s="371" t="s">
        <v>68</v>
      </c>
      <c r="C12" s="375" t="s">
        <v>69</v>
      </c>
      <c r="D12" s="376">
        <v>194</v>
      </c>
      <c r="E12" s="376">
        <v>194</v>
      </c>
    </row>
    <row r="13" spans="1:5" ht="19.5" customHeight="1" x14ac:dyDescent="0.25">
      <c r="A13" s="636">
        <v>7</v>
      </c>
      <c r="B13" s="371" t="s">
        <v>77</v>
      </c>
      <c r="C13" s="375" t="s">
        <v>765</v>
      </c>
      <c r="D13" s="376">
        <v>9254</v>
      </c>
      <c r="E13" s="376">
        <v>9254</v>
      </c>
    </row>
    <row r="14" spans="1:5" ht="19.5" customHeight="1" x14ac:dyDescent="0.25">
      <c r="A14" s="636">
        <v>8</v>
      </c>
      <c r="B14" s="371" t="s">
        <v>79</v>
      </c>
      <c r="C14" s="375" t="s">
        <v>80</v>
      </c>
      <c r="D14" s="376">
        <v>4831</v>
      </c>
      <c r="E14" s="376">
        <v>4831</v>
      </c>
    </row>
    <row r="15" spans="1:5" ht="19.5" customHeight="1" x14ac:dyDescent="0.25">
      <c r="A15" s="636">
        <v>9</v>
      </c>
      <c r="B15" s="371" t="s">
        <v>97</v>
      </c>
      <c r="C15" s="375" t="s">
        <v>98</v>
      </c>
      <c r="D15" s="376">
        <v>678</v>
      </c>
      <c r="E15" s="376">
        <v>678</v>
      </c>
    </row>
    <row r="16" spans="1:5" ht="19.5" customHeight="1" x14ac:dyDescent="0.25">
      <c r="A16" s="636">
        <v>10</v>
      </c>
      <c r="B16" s="371" t="s">
        <v>99</v>
      </c>
      <c r="C16" s="375" t="s">
        <v>100</v>
      </c>
      <c r="D16" s="376">
        <v>15926</v>
      </c>
      <c r="E16" s="376">
        <v>15926</v>
      </c>
    </row>
    <row r="17" spans="1:5" ht="19.5" customHeight="1" x14ac:dyDescent="0.25">
      <c r="A17" s="636">
        <v>11</v>
      </c>
      <c r="B17" s="371" t="s">
        <v>169</v>
      </c>
      <c r="C17" s="375" t="s">
        <v>170</v>
      </c>
      <c r="D17" s="376">
        <v>19506</v>
      </c>
      <c r="E17" s="376">
        <v>19506</v>
      </c>
    </row>
    <row r="18" spans="1:5" ht="19.5" customHeight="1" x14ac:dyDescent="0.25">
      <c r="A18" s="636">
        <v>12</v>
      </c>
      <c r="B18" s="371" t="s">
        <v>178</v>
      </c>
      <c r="C18" s="375" t="s">
        <v>324</v>
      </c>
      <c r="D18" s="376">
        <v>261</v>
      </c>
      <c r="E18" s="376">
        <v>261</v>
      </c>
    </row>
    <row r="19" spans="1:5" ht="19.5" customHeight="1" x14ac:dyDescent="0.25">
      <c r="A19" s="636">
        <v>13</v>
      </c>
      <c r="B19" s="371" t="s">
        <v>258</v>
      </c>
      <c r="C19" s="375" t="s">
        <v>676</v>
      </c>
      <c r="D19" s="376">
        <v>5998</v>
      </c>
      <c r="E19" s="376">
        <v>5998</v>
      </c>
    </row>
    <row r="20" spans="1:5" ht="19.5" customHeight="1" x14ac:dyDescent="0.25">
      <c r="A20" s="636">
        <v>14</v>
      </c>
      <c r="B20" s="371" t="s">
        <v>260</v>
      </c>
      <c r="C20" s="375" t="s">
        <v>261</v>
      </c>
      <c r="D20" s="376">
        <v>7698</v>
      </c>
      <c r="E20" s="376">
        <v>7698</v>
      </c>
    </row>
    <row r="21" spans="1:5" ht="19.5" customHeight="1" x14ac:dyDescent="0.25">
      <c r="A21" s="636">
        <v>15</v>
      </c>
      <c r="B21" s="371" t="s">
        <v>266</v>
      </c>
      <c r="C21" s="375" t="s">
        <v>703</v>
      </c>
      <c r="D21" s="376">
        <v>9487</v>
      </c>
      <c r="E21" s="376">
        <v>9487</v>
      </c>
    </row>
    <row r="22" spans="1:5" ht="19.5" customHeight="1" x14ac:dyDescent="0.25">
      <c r="A22" s="636">
        <v>16</v>
      </c>
      <c r="B22" s="371" t="s">
        <v>270</v>
      </c>
      <c r="C22" s="375" t="s">
        <v>271</v>
      </c>
      <c r="D22" s="376">
        <v>12931</v>
      </c>
      <c r="E22" s="376">
        <v>12931</v>
      </c>
    </row>
    <row r="23" spans="1:5" ht="19.5" customHeight="1" x14ac:dyDescent="0.25">
      <c r="A23" s="636">
        <v>17</v>
      </c>
      <c r="B23" s="371" t="s">
        <v>276</v>
      </c>
      <c r="C23" s="375" t="s">
        <v>277</v>
      </c>
      <c r="D23" s="376">
        <v>5692</v>
      </c>
      <c r="E23" s="376">
        <v>5692</v>
      </c>
    </row>
    <row r="24" spans="1:5" ht="19.5" customHeight="1" x14ac:dyDescent="0.25">
      <c r="A24" s="636">
        <v>18</v>
      </c>
      <c r="B24" s="371" t="s">
        <v>278</v>
      </c>
      <c r="C24" s="375" t="s">
        <v>279</v>
      </c>
      <c r="D24" s="376">
        <v>6608</v>
      </c>
      <c r="E24" s="376">
        <v>6608</v>
      </c>
    </row>
    <row r="25" spans="1:5" ht="19.5" customHeight="1" x14ac:dyDescent="0.25">
      <c r="A25" s="636">
        <v>19</v>
      </c>
      <c r="B25" s="371" t="s">
        <v>280</v>
      </c>
      <c r="C25" s="375" t="s">
        <v>281</v>
      </c>
      <c r="D25" s="376">
        <v>16795</v>
      </c>
      <c r="E25" s="376">
        <v>16795</v>
      </c>
    </row>
    <row r="26" spans="1:5" x14ac:dyDescent="0.25">
      <c r="C26" s="377"/>
      <c r="D26" s="378"/>
      <c r="E26" s="379"/>
    </row>
    <row r="27" spans="1:5" x14ac:dyDescent="0.25">
      <c r="C27" s="377"/>
      <c r="D27" s="378"/>
      <c r="E27" s="379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RowHeight="12" x14ac:dyDescent="0.25"/>
  <cols>
    <col min="1" max="1" width="4.7109375" style="62" customWidth="1"/>
    <col min="2" max="2" width="9.28515625" style="62" customWidth="1"/>
    <col min="3" max="3" width="30.7109375" style="49" customWidth="1"/>
    <col min="4" max="4" width="0.140625" style="63" customWidth="1"/>
    <col min="5" max="5" width="9.42578125" style="73" customWidth="1"/>
    <col min="6" max="6" width="11.28515625" style="73" customWidth="1"/>
    <col min="7" max="7" width="11.7109375" style="73" customWidth="1"/>
    <col min="8" max="8" width="9.7109375" style="73" customWidth="1"/>
    <col min="9" max="9" width="12.42578125" style="73" customWidth="1"/>
    <col min="10" max="10" width="10.140625" style="83" customWidth="1"/>
    <col min="11" max="11" width="9.7109375" style="83" customWidth="1"/>
    <col min="12" max="12" width="11.28515625" style="83" customWidth="1"/>
    <col min="13" max="13" width="10.140625" style="84" customWidth="1"/>
    <col min="14" max="14" width="14.7109375" style="65" customWidth="1"/>
    <col min="15" max="15" width="11.28515625" style="65" customWidth="1"/>
    <col min="16" max="16384" width="9.140625" style="65"/>
  </cols>
  <sheetData>
    <row r="1" spans="1:15" x14ac:dyDescent="0.25">
      <c r="E1" s="64"/>
      <c r="F1" s="64"/>
      <c r="G1" s="64"/>
      <c r="H1" s="64"/>
      <c r="I1" s="64"/>
      <c r="J1" s="64"/>
      <c r="K1" s="64"/>
      <c r="L1" s="64"/>
      <c r="M1" s="64"/>
    </row>
    <row r="2" spans="1:15" ht="15.75" customHeight="1" x14ac:dyDescent="0.25">
      <c r="C2" s="1368" t="s">
        <v>816</v>
      </c>
      <c r="D2" s="1368"/>
      <c r="E2" s="1368"/>
      <c r="F2" s="1368"/>
      <c r="G2" s="1368"/>
      <c r="H2" s="1368"/>
      <c r="I2" s="1368"/>
      <c r="J2" s="1368"/>
      <c r="K2" s="1368"/>
      <c r="L2" s="1368"/>
      <c r="M2" s="1368"/>
    </row>
    <row r="3" spans="1:15" x14ac:dyDescent="0.25">
      <c r="C3" s="66"/>
      <c r="D3" s="66"/>
      <c r="E3" s="67"/>
      <c r="F3" s="67"/>
      <c r="G3" s="67"/>
      <c r="H3" s="67"/>
      <c r="I3" s="67"/>
      <c r="J3" s="68"/>
      <c r="K3" s="68"/>
      <c r="L3" s="68"/>
      <c r="M3" s="69"/>
    </row>
    <row r="4" spans="1:15" s="70" customFormat="1" ht="15.75" customHeight="1" x14ac:dyDescent="0.25">
      <c r="A4" s="1369" t="s">
        <v>0</v>
      </c>
      <c r="B4" s="1369" t="s">
        <v>302</v>
      </c>
      <c r="C4" s="1370" t="s">
        <v>292</v>
      </c>
      <c r="D4" s="1369" t="s">
        <v>435</v>
      </c>
      <c r="E4" s="1371" t="s">
        <v>436</v>
      </c>
      <c r="F4" s="1371"/>
      <c r="G4" s="1371"/>
      <c r="H4" s="1371"/>
      <c r="I4" s="1371"/>
      <c r="J4" s="1371"/>
      <c r="K4" s="1371"/>
      <c r="L4" s="1371"/>
      <c r="M4" s="1371"/>
    </row>
    <row r="5" spans="1:15" ht="11.25" customHeight="1" x14ac:dyDescent="0.25">
      <c r="A5" s="1369"/>
      <c r="B5" s="1369"/>
      <c r="C5" s="1370"/>
      <c r="D5" s="1369"/>
      <c r="E5" s="1371"/>
      <c r="F5" s="1371"/>
      <c r="G5" s="1371"/>
      <c r="H5" s="1371"/>
      <c r="I5" s="1371"/>
      <c r="J5" s="1371"/>
      <c r="K5" s="1371"/>
      <c r="L5" s="1371"/>
      <c r="M5" s="1371"/>
    </row>
    <row r="6" spans="1:15" ht="25.5" customHeight="1" x14ac:dyDescent="0.25">
      <c r="A6" s="1369"/>
      <c r="B6" s="1369"/>
      <c r="C6" s="1370"/>
      <c r="D6" s="1369"/>
      <c r="E6" s="1367" t="s">
        <v>437</v>
      </c>
      <c r="F6" s="1367" t="s">
        <v>814</v>
      </c>
      <c r="G6" s="1367" t="s">
        <v>438</v>
      </c>
      <c r="H6" s="1367" t="s">
        <v>814</v>
      </c>
      <c r="I6" s="1367" t="s">
        <v>439</v>
      </c>
      <c r="J6" s="1367" t="s">
        <v>440</v>
      </c>
      <c r="K6" s="1367" t="s">
        <v>814</v>
      </c>
      <c r="L6" s="1367" t="s">
        <v>441</v>
      </c>
      <c r="M6" s="1367" t="s">
        <v>442</v>
      </c>
    </row>
    <row r="7" spans="1:15" ht="55.5" customHeight="1" x14ac:dyDescent="0.25">
      <c r="A7" s="1369"/>
      <c r="B7" s="1369"/>
      <c r="C7" s="1370"/>
      <c r="D7" s="1369"/>
      <c r="E7" s="1367"/>
      <c r="F7" s="1367"/>
      <c r="G7" s="1367"/>
      <c r="H7" s="1367"/>
      <c r="I7" s="1367"/>
      <c r="J7" s="1367"/>
      <c r="K7" s="1367"/>
      <c r="L7" s="1367"/>
      <c r="M7" s="1367"/>
    </row>
    <row r="8" spans="1:15" s="70" customFormat="1" x14ac:dyDescent="0.25">
      <c r="A8" s="1366" t="s">
        <v>443</v>
      </c>
      <c r="B8" s="1366"/>
      <c r="C8" s="1366"/>
      <c r="D8" s="71"/>
      <c r="E8" s="72">
        <f>E9+E10+E11+E12</f>
        <v>1135691</v>
      </c>
      <c r="F8" s="72">
        <f>F9+F10+F11+F12</f>
        <v>1526</v>
      </c>
      <c r="G8" s="72">
        <f t="shared" ref="G8:M8" si="0">G9+G10+G11+G12</f>
        <v>1035583</v>
      </c>
      <c r="H8" s="72">
        <f t="shared" si="0"/>
        <v>1291</v>
      </c>
      <c r="I8" s="72">
        <f t="shared" si="0"/>
        <v>504</v>
      </c>
      <c r="J8" s="72">
        <f t="shared" si="0"/>
        <v>59222</v>
      </c>
      <c r="K8" s="72">
        <f t="shared" si="0"/>
        <v>113</v>
      </c>
      <c r="L8" s="72">
        <f t="shared" si="0"/>
        <v>30</v>
      </c>
      <c r="M8" s="72">
        <f t="shared" si="0"/>
        <v>23735</v>
      </c>
      <c r="N8" s="808"/>
      <c r="O8" s="73"/>
    </row>
    <row r="9" spans="1:15" s="78" customFormat="1" ht="11.25" customHeight="1" x14ac:dyDescent="0.25">
      <c r="A9" s="74"/>
      <c r="B9" s="74"/>
      <c r="C9" s="75" t="s">
        <v>14</v>
      </c>
      <c r="D9" s="76"/>
      <c r="E9" s="77">
        <v>16617</v>
      </c>
      <c r="F9" s="77">
        <v>122</v>
      </c>
      <c r="G9" s="77"/>
      <c r="H9" s="77"/>
      <c r="I9" s="77"/>
      <c r="J9" s="77"/>
      <c r="K9" s="77"/>
      <c r="L9" s="77"/>
      <c r="M9" s="77"/>
      <c r="O9" s="73"/>
    </row>
    <row r="10" spans="1:15" s="78" customFormat="1" ht="11.25" customHeight="1" x14ac:dyDescent="0.25">
      <c r="A10" s="74"/>
      <c r="B10" s="74"/>
      <c r="C10" s="75" t="s">
        <v>444</v>
      </c>
      <c r="D10" s="76"/>
      <c r="E10" s="77"/>
      <c r="F10" s="77"/>
      <c r="G10" s="77"/>
      <c r="H10" s="77"/>
      <c r="I10" s="75"/>
      <c r="J10" s="75"/>
      <c r="K10" s="75"/>
      <c r="L10" s="75"/>
      <c r="M10" s="75"/>
      <c r="O10" s="73"/>
    </row>
    <row r="11" spans="1:15" s="78" customFormat="1" ht="11.25" customHeight="1" x14ac:dyDescent="0.25">
      <c r="A11" s="74"/>
      <c r="B11" s="74"/>
      <c r="C11" s="75" t="s">
        <v>445</v>
      </c>
      <c r="D11" s="76"/>
      <c r="E11" s="75"/>
      <c r="F11" s="75"/>
      <c r="G11" s="75"/>
      <c r="H11" s="75"/>
      <c r="I11" s="75"/>
      <c r="J11" s="75"/>
      <c r="K11" s="75"/>
      <c r="L11" s="75"/>
      <c r="M11" s="75"/>
      <c r="O11" s="73"/>
    </row>
    <row r="12" spans="1:15" s="70" customFormat="1" x14ac:dyDescent="0.25">
      <c r="A12" s="1366" t="s">
        <v>15</v>
      </c>
      <c r="B12" s="1366"/>
      <c r="C12" s="1366"/>
      <c r="D12" s="72"/>
      <c r="E12" s="72">
        <f>SUM(E13:E22)</f>
        <v>1119074</v>
      </c>
      <c r="F12" s="72">
        <f t="shared" ref="F12:M12" si="1">SUM(F13:F22)</f>
        <v>1404</v>
      </c>
      <c r="G12" s="72">
        <f t="shared" si="1"/>
        <v>1035583</v>
      </c>
      <c r="H12" s="72">
        <f t="shared" si="1"/>
        <v>1291</v>
      </c>
      <c r="I12" s="72">
        <f t="shared" si="1"/>
        <v>504</v>
      </c>
      <c r="J12" s="72">
        <f t="shared" si="1"/>
        <v>59222</v>
      </c>
      <c r="K12" s="72">
        <f t="shared" si="1"/>
        <v>113</v>
      </c>
      <c r="L12" s="72">
        <f t="shared" si="1"/>
        <v>30</v>
      </c>
      <c r="M12" s="72">
        <f t="shared" si="1"/>
        <v>23735</v>
      </c>
      <c r="O12" s="73"/>
    </row>
    <row r="13" spans="1:15" s="82" customFormat="1" x14ac:dyDescent="0.25">
      <c r="A13" s="79">
        <v>1</v>
      </c>
      <c r="B13" s="47" t="s">
        <v>20</v>
      </c>
      <c r="C13" s="48" t="s">
        <v>21</v>
      </c>
      <c r="D13" s="80">
        <v>0.85</v>
      </c>
      <c r="E13" s="77">
        <f>G13+I13+J13+L13+M13</f>
        <v>44257</v>
      </c>
      <c r="F13" s="77">
        <f>H13+K13</f>
        <v>52</v>
      </c>
      <c r="G13" s="81">
        <v>44204</v>
      </c>
      <c r="H13" s="81">
        <v>52</v>
      </c>
      <c r="I13" s="81">
        <v>53</v>
      </c>
      <c r="J13" s="77"/>
      <c r="K13" s="77"/>
      <c r="L13" s="77"/>
      <c r="M13" s="77"/>
      <c r="N13" s="73"/>
      <c r="O13" s="73"/>
    </row>
    <row r="14" spans="1:15" s="82" customFormat="1" x14ac:dyDescent="0.25">
      <c r="A14" s="79">
        <v>2</v>
      </c>
      <c r="B14" s="47" t="s">
        <v>26</v>
      </c>
      <c r="C14" s="48" t="s">
        <v>27</v>
      </c>
      <c r="D14" s="80">
        <v>0.85</v>
      </c>
      <c r="E14" s="77">
        <f t="shared" ref="E14:E22" si="2">G14+I14+J14+L14+M14</f>
        <v>92736</v>
      </c>
      <c r="F14" s="77">
        <f t="shared" ref="F14:F22" si="3">H14+K14</f>
        <v>2</v>
      </c>
      <c r="G14" s="81">
        <v>92327</v>
      </c>
      <c r="H14" s="81">
        <v>2</v>
      </c>
      <c r="I14" s="81">
        <v>74</v>
      </c>
      <c r="J14" s="81">
        <v>333</v>
      </c>
      <c r="K14" s="81"/>
      <c r="L14" s="81">
        <v>2</v>
      </c>
      <c r="M14" s="77"/>
      <c r="N14" s="73"/>
      <c r="O14" s="73"/>
    </row>
    <row r="15" spans="1:15" s="82" customFormat="1" x14ac:dyDescent="0.25">
      <c r="A15" s="79">
        <v>3</v>
      </c>
      <c r="B15" s="47" t="s">
        <v>50</v>
      </c>
      <c r="C15" s="48" t="s">
        <v>51</v>
      </c>
      <c r="D15" s="80">
        <v>0.85</v>
      </c>
      <c r="E15" s="77">
        <f t="shared" si="2"/>
        <v>64128</v>
      </c>
      <c r="F15" s="77">
        <f t="shared" si="3"/>
        <v>17</v>
      </c>
      <c r="G15" s="81">
        <v>64098</v>
      </c>
      <c r="H15" s="81">
        <v>17</v>
      </c>
      <c r="I15" s="81">
        <v>30</v>
      </c>
      <c r="J15" s="77"/>
      <c r="K15" s="77"/>
      <c r="L15" s="77"/>
      <c r="M15" s="77"/>
      <c r="N15" s="73"/>
      <c r="O15" s="73"/>
    </row>
    <row r="16" spans="1:15" s="82" customFormat="1" x14ac:dyDescent="0.25">
      <c r="A16" s="79">
        <v>4</v>
      </c>
      <c r="B16" s="44" t="s">
        <v>58</v>
      </c>
      <c r="C16" s="45" t="s">
        <v>59</v>
      </c>
      <c r="D16" s="80">
        <v>0.85</v>
      </c>
      <c r="E16" s="77">
        <f t="shared" si="2"/>
        <v>43648</v>
      </c>
      <c r="F16" s="77">
        <f t="shared" si="3"/>
        <v>17</v>
      </c>
      <c r="G16" s="77">
        <v>43626</v>
      </c>
      <c r="H16" s="77">
        <v>17</v>
      </c>
      <c r="I16" s="77">
        <v>22</v>
      </c>
      <c r="J16" s="77"/>
      <c r="K16" s="77"/>
      <c r="L16" s="77"/>
      <c r="M16" s="77"/>
      <c r="N16" s="73"/>
      <c r="O16" s="73"/>
    </row>
    <row r="17" spans="1:15" s="82" customFormat="1" x14ac:dyDescent="0.25">
      <c r="A17" s="79">
        <v>5</v>
      </c>
      <c r="B17" s="47" t="s">
        <v>60</v>
      </c>
      <c r="C17" s="48" t="s">
        <v>61</v>
      </c>
      <c r="D17" s="80">
        <v>0.85</v>
      </c>
      <c r="E17" s="77">
        <f t="shared" si="2"/>
        <v>3838</v>
      </c>
      <c r="F17" s="77">
        <f t="shared" si="3"/>
        <v>0</v>
      </c>
      <c r="G17" s="81">
        <v>1387</v>
      </c>
      <c r="H17" s="81"/>
      <c r="I17" s="81">
        <v>5</v>
      </c>
      <c r="J17" s="81">
        <v>2444</v>
      </c>
      <c r="K17" s="81"/>
      <c r="L17" s="81">
        <v>2</v>
      </c>
      <c r="M17" s="77"/>
      <c r="N17" s="73"/>
      <c r="O17" s="73"/>
    </row>
    <row r="18" spans="1:15" s="82" customFormat="1" ht="24" x14ac:dyDescent="0.25">
      <c r="A18" s="79">
        <v>6</v>
      </c>
      <c r="B18" s="44" t="s">
        <v>74</v>
      </c>
      <c r="C18" s="45" t="s">
        <v>377</v>
      </c>
      <c r="D18" s="80">
        <v>0.85</v>
      </c>
      <c r="E18" s="77">
        <f t="shared" si="2"/>
        <v>186881</v>
      </c>
      <c r="F18" s="77">
        <f t="shared" si="3"/>
        <v>219</v>
      </c>
      <c r="G18" s="81">
        <v>177041</v>
      </c>
      <c r="H18" s="81">
        <v>208</v>
      </c>
      <c r="I18" s="81">
        <v>66</v>
      </c>
      <c r="J18" s="81">
        <v>9765</v>
      </c>
      <c r="K18" s="81">
        <v>11</v>
      </c>
      <c r="L18" s="81">
        <v>9</v>
      </c>
      <c r="M18" s="77"/>
      <c r="N18" s="73"/>
      <c r="O18" s="73"/>
    </row>
    <row r="19" spans="1:15" s="82" customFormat="1" x14ac:dyDescent="0.25">
      <c r="A19" s="79">
        <v>7</v>
      </c>
      <c r="B19" s="46" t="s">
        <v>77</v>
      </c>
      <c r="C19" s="45" t="s">
        <v>78</v>
      </c>
      <c r="D19" s="80">
        <v>0.85</v>
      </c>
      <c r="E19" s="77">
        <f t="shared" si="2"/>
        <v>65130</v>
      </c>
      <c r="F19" s="77">
        <f t="shared" si="3"/>
        <v>115</v>
      </c>
      <c r="G19" s="81">
        <v>65065</v>
      </c>
      <c r="H19" s="81">
        <v>115</v>
      </c>
      <c r="I19" s="81">
        <v>65</v>
      </c>
      <c r="J19" s="77"/>
      <c r="K19" s="77"/>
      <c r="L19" s="77"/>
      <c r="M19" s="77"/>
      <c r="N19" s="73"/>
      <c r="O19" s="73"/>
    </row>
    <row r="20" spans="1:15" s="82" customFormat="1" x14ac:dyDescent="0.25">
      <c r="A20" s="79">
        <v>8</v>
      </c>
      <c r="B20" s="47" t="s">
        <v>99</v>
      </c>
      <c r="C20" s="48" t="s">
        <v>100</v>
      </c>
      <c r="D20" s="80">
        <v>0.85</v>
      </c>
      <c r="E20" s="77">
        <f t="shared" si="2"/>
        <v>112073</v>
      </c>
      <c r="F20" s="77">
        <f t="shared" si="3"/>
        <v>317</v>
      </c>
      <c r="G20" s="81">
        <v>111198</v>
      </c>
      <c r="H20" s="81">
        <v>317</v>
      </c>
      <c r="I20" s="81">
        <v>99</v>
      </c>
      <c r="J20" s="81">
        <v>776</v>
      </c>
      <c r="K20" s="81"/>
      <c r="L20" s="77"/>
      <c r="M20" s="77"/>
      <c r="N20" s="73"/>
      <c r="O20" s="73"/>
    </row>
    <row r="21" spans="1:15" s="82" customFormat="1" x14ac:dyDescent="0.25">
      <c r="A21" s="79">
        <v>9</v>
      </c>
      <c r="B21" s="46" t="s">
        <v>177</v>
      </c>
      <c r="C21" s="50" t="s">
        <v>446</v>
      </c>
      <c r="D21" s="80">
        <v>0.9</v>
      </c>
      <c r="E21" s="77">
        <f t="shared" si="2"/>
        <v>476430</v>
      </c>
      <c r="F21" s="77">
        <f t="shared" si="3"/>
        <v>645</v>
      </c>
      <c r="G21" s="77">
        <v>406698</v>
      </c>
      <c r="H21" s="77">
        <v>543</v>
      </c>
      <c r="I21" s="77">
        <v>76</v>
      </c>
      <c r="J21" s="77">
        <v>45904</v>
      </c>
      <c r="K21" s="77">
        <v>102</v>
      </c>
      <c r="L21" s="77">
        <v>17</v>
      </c>
      <c r="M21" s="77">
        <v>23735</v>
      </c>
      <c r="N21" s="73"/>
      <c r="O21" s="73"/>
    </row>
    <row r="22" spans="1:15" s="82" customFormat="1" x14ac:dyDescent="0.25">
      <c r="A22" s="79">
        <v>10</v>
      </c>
      <c r="B22" s="46" t="s">
        <v>207</v>
      </c>
      <c r="C22" s="45" t="s">
        <v>208</v>
      </c>
      <c r="D22" s="80">
        <v>0.91</v>
      </c>
      <c r="E22" s="77">
        <f t="shared" si="2"/>
        <v>29953</v>
      </c>
      <c r="F22" s="77">
        <f t="shared" si="3"/>
        <v>20</v>
      </c>
      <c r="G22" s="81">
        <v>29939</v>
      </c>
      <c r="H22" s="81">
        <v>20</v>
      </c>
      <c r="I22" s="81">
        <v>14</v>
      </c>
      <c r="J22" s="77"/>
      <c r="K22" s="77"/>
      <c r="L22" s="77"/>
      <c r="M22" s="77"/>
      <c r="N22" s="73"/>
      <c r="O22" s="73"/>
    </row>
    <row r="25" spans="1:15" x14ac:dyDescent="0.25">
      <c r="E25" s="764"/>
    </row>
    <row r="26" spans="1:15" x14ac:dyDescent="0.25">
      <c r="E26" s="765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69" customWidth="1"/>
    <col min="2" max="4" width="22.28515625" style="155" customWidth="1"/>
    <col min="5" max="16384" width="9.140625" style="155"/>
  </cols>
  <sheetData>
    <row r="1" spans="1:4" ht="59.25" customHeight="1" x14ac:dyDescent="0.25">
      <c r="A1" s="955" t="s">
        <v>650</v>
      </c>
      <c r="B1" s="955"/>
      <c r="C1" s="955"/>
      <c r="D1" s="955"/>
    </row>
    <row r="2" spans="1:4" ht="18.75" customHeight="1" x14ac:dyDescent="0.25">
      <c r="A2" s="156"/>
      <c r="B2" s="156"/>
      <c r="C2" s="156"/>
    </row>
    <row r="3" spans="1:4" s="159" customFormat="1" ht="45" customHeight="1" x14ac:dyDescent="0.25">
      <c r="A3" s="157" t="s">
        <v>396</v>
      </c>
      <c r="B3" s="157" t="s">
        <v>398</v>
      </c>
      <c r="C3" s="158" t="s">
        <v>285</v>
      </c>
      <c r="D3" s="158" t="s">
        <v>15</v>
      </c>
    </row>
    <row r="4" spans="1:4" s="159" customFormat="1" ht="18.75" customHeight="1" x14ac:dyDescent="0.25">
      <c r="A4" s="160" t="s">
        <v>424</v>
      </c>
      <c r="B4" s="160"/>
      <c r="C4" s="161"/>
      <c r="D4" s="162"/>
    </row>
    <row r="5" spans="1:4" s="159" customFormat="1" ht="14.25" customHeight="1" x14ac:dyDescent="0.25">
      <c r="A5" s="160">
        <v>22</v>
      </c>
      <c r="B5" s="161"/>
      <c r="C5" s="163">
        <v>50</v>
      </c>
      <c r="D5" s="164">
        <f>B5+C5</f>
        <v>50</v>
      </c>
    </row>
    <row r="6" spans="1:4" s="159" customFormat="1" ht="14.25" customHeight="1" x14ac:dyDescent="0.25">
      <c r="A6" s="160">
        <v>23</v>
      </c>
      <c r="B6" s="161">
        <v>40</v>
      </c>
      <c r="C6" s="163">
        <v>40</v>
      </c>
      <c r="D6" s="164">
        <f>B6+C6</f>
        <v>80</v>
      </c>
    </row>
    <row r="7" spans="1:4" s="159" customFormat="1" ht="14.25" customHeight="1" x14ac:dyDescent="0.25">
      <c r="A7" s="160">
        <v>24</v>
      </c>
      <c r="B7" s="161">
        <v>50</v>
      </c>
      <c r="C7" s="163"/>
      <c r="D7" s="164">
        <f>B7+C7</f>
        <v>50</v>
      </c>
    </row>
    <row r="8" spans="1:4" s="159" customFormat="1" ht="18.75" customHeight="1" x14ac:dyDescent="0.25">
      <c r="A8" s="165" t="s">
        <v>6</v>
      </c>
      <c r="B8" s="166">
        <f>SUM(B5:B7)</f>
        <v>90</v>
      </c>
      <c r="C8" s="166">
        <f t="shared" ref="C8:D8" si="0">SUM(C5:C7)</f>
        <v>90</v>
      </c>
      <c r="D8" s="166">
        <f t="shared" si="0"/>
        <v>180</v>
      </c>
    </row>
    <row r="9" spans="1:4" s="168" customFormat="1" ht="15.75" x14ac:dyDescent="0.25">
      <c r="A9" s="167"/>
    </row>
    <row r="10" spans="1:4" s="168" customFormat="1" ht="15.75" x14ac:dyDescent="0.25">
      <c r="A10" s="167"/>
    </row>
    <row r="11" spans="1:4" s="168" customFormat="1" ht="15.75" x14ac:dyDescent="0.25">
      <c r="A11" s="167"/>
    </row>
    <row r="12" spans="1:4" s="168" customFormat="1" ht="15.75" x14ac:dyDescent="0.25">
      <c r="A12" s="167"/>
    </row>
    <row r="13" spans="1:4" s="168" customFormat="1" ht="15.75" x14ac:dyDescent="0.25">
      <c r="A13" s="167"/>
    </row>
    <row r="14" spans="1:4" s="168" customFormat="1" ht="15.75" x14ac:dyDescent="0.25">
      <c r="A14" s="167"/>
    </row>
    <row r="15" spans="1:4" s="168" customFormat="1" ht="15.75" x14ac:dyDescent="0.25">
      <c r="A15" s="167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2"/>
  <sheetViews>
    <sheetView zoomScale="90" zoomScaleNormal="90" workbookViewId="0">
      <pane xSplit="1" ySplit="10" topLeftCell="B11" activePane="bottomRight" state="frozen"/>
      <selection activeCell="P41" sqref="P41"/>
      <selection pane="topRight" activeCell="P41" sqref="P41"/>
      <selection pane="bottomLeft" activeCell="P41" sqref="P41"/>
      <selection pane="bottomRight" activeCell="K166" sqref="K166"/>
    </sheetView>
  </sheetViews>
  <sheetFormatPr defaultRowHeight="12" x14ac:dyDescent="0.2"/>
  <cols>
    <col min="1" max="1" width="7.28515625" style="821" customWidth="1"/>
    <col min="2" max="2" width="9.140625" style="821"/>
    <col min="3" max="3" width="23.5703125" style="821" customWidth="1"/>
    <col min="4" max="4" width="11.42578125" style="821" customWidth="1"/>
    <col min="5" max="5" width="12.7109375" style="821" customWidth="1"/>
    <col min="6" max="6" width="14.5703125" style="821" customWidth="1"/>
    <col min="7" max="10" width="9.140625" style="821"/>
    <col min="11" max="11" width="14" style="821" customWidth="1"/>
    <col min="12" max="12" width="15.7109375" style="821" customWidth="1"/>
    <col min="13" max="13" width="13.140625" style="821" customWidth="1"/>
    <col min="14" max="14" width="15.85546875" style="821" customWidth="1"/>
    <col min="15" max="15" width="13.5703125" style="821" customWidth="1"/>
    <col min="16" max="16" width="13.42578125" style="821" customWidth="1"/>
    <col min="17" max="17" width="14" style="821" customWidth="1"/>
    <col min="18" max="18" width="15.7109375" style="821" customWidth="1"/>
    <col min="19" max="19" width="17.5703125" style="821" customWidth="1"/>
    <col min="20" max="20" width="9.140625" style="821"/>
    <col min="21" max="22" width="0" style="821" hidden="1" customWidth="1"/>
    <col min="23" max="23" width="13.140625" style="821" hidden="1" customWidth="1"/>
    <col min="24" max="33" width="0" style="821" hidden="1" customWidth="1"/>
    <col min="34" max="34" width="16" style="821" customWidth="1"/>
    <col min="35" max="16384" width="9.140625" style="821"/>
  </cols>
  <sheetData>
    <row r="1" spans="1:36" ht="15.75" customHeight="1" x14ac:dyDescent="0.2">
      <c r="A1" s="956" t="s">
        <v>333</v>
      </c>
      <c r="B1" s="956"/>
      <c r="C1" s="956"/>
      <c r="D1" s="956"/>
      <c r="E1" s="956"/>
      <c r="F1" s="956"/>
      <c r="G1" s="956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</row>
    <row r="2" spans="1:36" ht="12" customHeight="1" x14ac:dyDescent="0.2">
      <c r="A2" s="957" t="s">
        <v>0</v>
      </c>
      <c r="B2" s="958" t="s">
        <v>1</v>
      </c>
      <c r="C2" s="957" t="s">
        <v>2</v>
      </c>
      <c r="D2" s="957" t="s">
        <v>289</v>
      </c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  <c r="R2" s="957"/>
      <c r="S2" s="961" t="s">
        <v>766</v>
      </c>
    </row>
    <row r="3" spans="1:36" ht="12" customHeight="1" x14ac:dyDescent="0.2">
      <c r="A3" s="957"/>
      <c r="B3" s="959"/>
      <c r="C3" s="957"/>
      <c r="D3" s="964" t="s">
        <v>3</v>
      </c>
      <c r="E3" s="957" t="s">
        <v>290</v>
      </c>
      <c r="F3" s="957"/>
      <c r="G3" s="957"/>
      <c r="H3" s="957"/>
      <c r="I3" s="957"/>
      <c r="J3" s="957"/>
      <c r="K3" s="957"/>
      <c r="L3" s="957"/>
      <c r="M3" s="957"/>
      <c r="N3" s="957"/>
      <c r="O3" s="957"/>
      <c r="P3" s="957"/>
      <c r="Q3" s="957"/>
      <c r="R3" s="957"/>
      <c r="S3" s="962"/>
    </row>
    <row r="4" spans="1:36" ht="36.75" customHeight="1" x14ac:dyDescent="0.2">
      <c r="A4" s="957"/>
      <c r="B4" s="959"/>
      <c r="C4" s="957"/>
      <c r="D4" s="964"/>
      <c r="E4" s="966" t="s">
        <v>286</v>
      </c>
      <c r="F4" s="967"/>
      <c r="G4" s="967"/>
      <c r="H4" s="965" t="s">
        <v>287</v>
      </c>
      <c r="I4" s="965"/>
      <c r="J4" s="965"/>
      <c r="K4" s="957" t="s">
        <v>5</v>
      </c>
      <c r="L4" s="957"/>
      <c r="M4" s="957"/>
      <c r="N4" s="957"/>
      <c r="O4" s="957"/>
      <c r="P4" s="957"/>
      <c r="Q4" s="957"/>
      <c r="R4" s="957"/>
      <c r="S4" s="962"/>
    </row>
    <row r="5" spans="1:36" ht="12" customHeight="1" x14ac:dyDescent="0.2">
      <c r="A5" s="957"/>
      <c r="B5" s="959"/>
      <c r="C5" s="957"/>
      <c r="D5" s="964"/>
      <c r="E5" s="957" t="s">
        <v>6</v>
      </c>
      <c r="F5" s="968" t="s">
        <v>4</v>
      </c>
      <c r="G5" s="969"/>
      <c r="H5" s="957" t="s">
        <v>6</v>
      </c>
      <c r="I5" s="968" t="s">
        <v>7</v>
      </c>
      <c r="J5" s="969"/>
      <c r="K5" s="965" t="s">
        <v>6</v>
      </c>
      <c r="L5" s="970" t="s">
        <v>4</v>
      </c>
      <c r="M5" s="970"/>
      <c r="N5" s="970"/>
      <c r="O5" s="970"/>
      <c r="P5" s="970"/>
      <c r="Q5" s="970"/>
      <c r="R5" s="970"/>
      <c r="S5" s="962"/>
    </row>
    <row r="6" spans="1:36" ht="120" x14ac:dyDescent="0.2">
      <c r="A6" s="957"/>
      <c r="B6" s="960"/>
      <c r="C6" s="957"/>
      <c r="D6" s="965"/>
      <c r="E6" s="957"/>
      <c r="F6" s="822" t="s">
        <v>8</v>
      </c>
      <c r="G6" s="823" t="s">
        <v>9</v>
      </c>
      <c r="H6" s="957"/>
      <c r="I6" s="823" t="s">
        <v>10</v>
      </c>
      <c r="J6" s="823" t="s">
        <v>11</v>
      </c>
      <c r="K6" s="957"/>
      <c r="L6" s="824" t="s">
        <v>386</v>
      </c>
      <c r="M6" s="824" t="s">
        <v>288</v>
      </c>
      <c r="N6" s="824" t="s">
        <v>767</v>
      </c>
      <c r="O6" s="824" t="s">
        <v>12</v>
      </c>
      <c r="P6" s="824" t="s">
        <v>768</v>
      </c>
      <c r="Q6" s="824" t="s">
        <v>13</v>
      </c>
      <c r="R6" s="825" t="s">
        <v>776</v>
      </c>
      <c r="S6" s="963"/>
    </row>
    <row r="7" spans="1:36" s="829" customFormat="1" ht="11.25" x14ac:dyDescent="0.2">
      <c r="A7" s="826">
        <v>1</v>
      </c>
      <c r="B7" s="826">
        <v>2</v>
      </c>
      <c r="C7" s="826">
        <v>3</v>
      </c>
      <c r="D7" s="827">
        <v>4</v>
      </c>
      <c r="E7" s="827">
        <v>5</v>
      </c>
      <c r="F7" s="827">
        <v>6</v>
      </c>
      <c r="G7" s="827">
        <v>7</v>
      </c>
      <c r="H7" s="827">
        <v>8</v>
      </c>
      <c r="I7" s="827">
        <v>9</v>
      </c>
      <c r="J7" s="827">
        <v>10</v>
      </c>
      <c r="K7" s="826">
        <v>11</v>
      </c>
      <c r="L7" s="828">
        <v>12</v>
      </c>
      <c r="M7" s="828">
        <v>13</v>
      </c>
      <c r="N7" s="828">
        <v>14</v>
      </c>
      <c r="O7" s="828">
        <v>15</v>
      </c>
      <c r="P7" s="828">
        <v>16</v>
      </c>
      <c r="Q7" s="828">
        <v>17</v>
      </c>
      <c r="R7" s="828">
        <v>18</v>
      </c>
      <c r="S7" s="828">
        <v>19</v>
      </c>
    </row>
    <row r="8" spans="1:36" s="829" customFormat="1" x14ac:dyDescent="0.2">
      <c r="A8" s="971" t="s">
        <v>6</v>
      </c>
      <c r="B8" s="971"/>
      <c r="C8" s="971"/>
      <c r="D8" s="830">
        <f>E8+H8+K8</f>
        <v>10692203</v>
      </c>
      <c r="E8" s="830">
        <f t="shared" ref="E8:E9" si="0">F8+G8</f>
        <v>1040097</v>
      </c>
      <c r="F8" s="830">
        <f>F9+F10</f>
        <v>197342</v>
      </c>
      <c r="G8" s="830">
        <f>G9+G10</f>
        <v>842755</v>
      </c>
      <c r="H8" s="830">
        <f>I8+J8</f>
        <v>1297871</v>
      </c>
      <c r="I8" s="830">
        <f>I9+I10</f>
        <v>1287725</v>
      </c>
      <c r="J8" s="830">
        <f>J9+J10</f>
        <v>10146</v>
      </c>
      <c r="K8" s="831">
        <f t="shared" ref="K8" si="1">SUM(L8:R8)</f>
        <v>8354235</v>
      </c>
      <c r="L8" s="832">
        <f t="shared" ref="L8:S8" si="2">L9+L10</f>
        <v>325794</v>
      </c>
      <c r="M8" s="832">
        <f t="shared" si="2"/>
        <v>37710</v>
      </c>
      <c r="N8" s="832">
        <f t="shared" si="2"/>
        <v>1330158</v>
      </c>
      <c r="O8" s="832">
        <f t="shared" si="2"/>
        <v>3669792</v>
      </c>
      <c r="P8" s="832">
        <f t="shared" si="2"/>
        <v>571078</v>
      </c>
      <c r="Q8" s="832">
        <f t="shared" si="2"/>
        <v>2371128</v>
      </c>
      <c r="R8" s="832">
        <f t="shared" si="2"/>
        <v>48575</v>
      </c>
      <c r="S8" s="832">
        <f t="shared" si="2"/>
        <v>1025004</v>
      </c>
      <c r="T8" s="833"/>
      <c r="AI8" s="834"/>
    </row>
    <row r="9" spans="1:36" s="829" customFormat="1" ht="12" customHeight="1" x14ac:dyDescent="0.2">
      <c r="A9" s="972" t="s">
        <v>14</v>
      </c>
      <c r="B9" s="973"/>
      <c r="C9" s="974"/>
      <c r="D9" s="827">
        <f>E9+K9</f>
        <v>153114</v>
      </c>
      <c r="E9" s="827">
        <f t="shared" si="0"/>
        <v>0</v>
      </c>
      <c r="F9" s="827">
        <v>0</v>
      </c>
      <c r="G9" s="827">
        <v>0</v>
      </c>
      <c r="H9" s="827">
        <v>0</v>
      </c>
      <c r="I9" s="827">
        <v>0</v>
      </c>
      <c r="J9" s="827">
        <v>0</v>
      </c>
      <c r="K9" s="826">
        <f>SUM(L9:R9)</f>
        <v>153114</v>
      </c>
      <c r="L9" s="835">
        <v>0</v>
      </c>
      <c r="M9" s="835">
        <v>0</v>
      </c>
      <c r="N9" s="835">
        <v>0</v>
      </c>
      <c r="O9" s="835">
        <f>149243+3871</f>
        <v>153114</v>
      </c>
      <c r="P9" s="835">
        <v>0</v>
      </c>
      <c r="Q9" s="835">
        <v>0</v>
      </c>
      <c r="R9" s="835">
        <v>0</v>
      </c>
      <c r="S9" s="835">
        <v>0</v>
      </c>
      <c r="T9" s="833"/>
      <c r="AI9" s="834"/>
    </row>
    <row r="10" spans="1:36" s="829" customFormat="1" ht="12" customHeight="1" x14ac:dyDescent="0.2">
      <c r="A10" s="975" t="s">
        <v>15</v>
      </c>
      <c r="B10" s="976"/>
      <c r="C10" s="977"/>
      <c r="D10" s="830">
        <f>E10+H10+K10</f>
        <v>10539089</v>
      </c>
      <c r="E10" s="830">
        <f>F10+G10</f>
        <v>1040097</v>
      </c>
      <c r="F10" s="830">
        <f>SUM(F11:F148)</f>
        <v>197342</v>
      </c>
      <c r="G10" s="830">
        <f>SUM(G11:G148)</f>
        <v>842755</v>
      </c>
      <c r="H10" s="830">
        <f>I10+J10</f>
        <v>1297871</v>
      </c>
      <c r="I10" s="830">
        <f>SUM(I11:I148)</f>
        <v>1287725</v>
      </c>
      <c r="J10" s="830">
        <f>SUM(J11:J148)</f>
        <v>10146</v>
      </c>
      <c r="K10" s="831">
        <f t="shared" ref="K10:K74" si="3">SUM(L10:R10)</f>
        <v>8201121</v>
      </c>
      <c r="L10" s="832">
        <f t="shared" ref="L10:S10" si="4">SUM(L11:L148)</f>
        <v>325794</v>
      </c>
      <c r="M10" s="832">
        <f t="shared" si="4"/>
        <v>37710</v>
      </c>
      <c r="N10" s="832">
        <f t="shared" si="4"/>
        <v>1330158</v>
      </c>
      <c r="O10" s="832">
        <f t="shared" si="4"/>
        <v>3516678</v>
      </c>
      <c r="P10" s="832">
        <f t="shared" si="4"/>
        <v>571078</v>
      </c>
      <c r="Q10" s="832">
        <f t="shared" si="4"/>
        <v>2371128</v>
      </c>
      <c r="R10" s="832">
        <f t="shared" si="4"/>
        <v>48575</v>
      </c>
      <c r="S10" s="832">
        <f t="shared" si="4"/>
        <v>1025004</v>
      </c>
      <c r="T10" s="833"/>
      <c r="AI10" s="836"/>
    </row>
    <row r="11" spans="1:36" x14ac:dyDescent="0.2">
      <c r="A11" s="380">
        <v>1</v>
      </c>
      <c r="B11" s="358" t="s">
        <v>16</v>
      </c>
      <c r="C11" s="381" t="s">
        <v>17</v>
      </c>
      <c r="D11" s="837">
        <f t="shared" ref="D11:D82" si="5">E11+H11+K11</f>
        <v>43416</v>
      </c>
      <c r="E11" s="837">
        <f>F11+G11</f>
        <v>5057</v>
      </c>
      <c r="F11" s="837">
        <v>927</v>
      </c>
      <c r="G11" s="837">
        <v>4130</v>
      </c>
      <c r="H11" s="827">
        <f t="shared" ref="H11:H76" si="6">I11+J11</f>
        <v>6108</v>
      </c>
      <c r="I11" s="837">
        <v>6048</v>
      </c>
      <c r="J11" s="837">
        <v>60</v>
      </c>
      <c r="K11" s="837">
        <f t="shared" si="3"/>
        <v>32251</v>
      </c>
      <c r="L11" s="838">
        <v>1530</v>
      </c>
      <c r="M11" s="838">
        <v>519</v>
      </c>
      <c r="N11" s="838">
        <v>10620</v>
      </c>
      <c r="O11" s="838">
        <v>13010</v>
      </c>
      <c r="P11" s="838">
        <v>0</v>
      </c>
      <c r="Q11" s="838">
        <v>6570</v>
      </c>
      <c r="R11" s="838">
        <v>2</v>
      </c>
      <c r="S11" s="838">
        <v>8935</v>
      </c>
      <c r="T11" s="833"/>
      <c r="V11" s="839"/>
      <c r="X11" s="829"/>
      <c r="Y11" s="829"/>
      <c r="AI11" s="834"/>
      <c r="AJ11" s="829"/>
    </row>
    <row r="12" spans="1:36" x14ac:dyDescent="0.2">
      <c r="A12" s="380">
        <v>2</v>
      </c>
      <c r="B12" s="382" t="s">
        <v>18</v>
      </c>
      <c r="C12" s="381" t="s">
        <v>19</v>
      </c>
      <c r="D12" s="837">
        <f t="shared" si="5"/>
        <v>45095</v>
      </c>
      <c r="E12" s="837">
        <f t="shared" ref="E12:E83" si="7">F12+G12</f>
        <v>4629</v>
      </c>
      <c r="F12" s="837">
        <v>964</v>
      </c>
      <c r="G12" s="837">
        <v>3665</v>
      </c>
      <c r="H12" s="827">
        <f t="shared" si="6"/>
        <v>6429</v>
      </c>
      <c r="I12" s="837">
        <v>6293</v>
      </c>
      <c r="J12" s="837">
        <v>136</v>
      </c>
      <c r="K12" s="837">
        <f t="shared" si="3"/>
        <v>34037</v>
      </c>
      <c r="L12" s="838">
        <v>1592</v>
      </c>
      <c r="M12" s="838">
        <v>153</v>
      </c>
      <c r="N12" s="838">
        <v>7720</v>
      </c>
      <c r="O12" s="838">
        <v>17345</v>
      </c>
      <c r="P12" s="838">
        <v>2852</v>
      </c>
      <c r="Q12" s="838">
        <v>3933</v>
      </c>
      <c r="R12" s="838">
        <v>442</v>
      </c>
      <c r="S12" s="838">
        <v>5618</v>
      </c>
      <c r="T12" s="833"/>
      <c r="V12" s="839"/>
      <c r="X12" s="829"/>
      <c r="Y12" s="829"/>
      <c r="AI12" s="834"/>
      <c r="AJ12" s="829"/>
    </row>
    <row r="13" spans="1:36" x14ac:dyDescent="0.2">
      <c r="A13" s="380">
        <v>3</v>
      </c>
      <c r="B13" s="357" t="s">
        <v>20</v>
      </c>
      <c r="C13" s="383" t="s">
        <v>21</v>
      </c>
      <c r="D13" s="837">
        <f t="shared" si="5"/>
        <v>144917</v>
      </c>
      <c r="E13" s="837">
        <f t="shared" si="7"/>
        <v>14903</v>
      </c>
      <c r="F13" s="837">
        <v>2798</v>
      </c>
      <c r="G13" s="837">
        <v>12105</v>
      </c>
      <c r="H13" s="827">
        <f t="shared" si="6"/>
        <v>18787</v>
      </c>
      <c r="I13" s="837">
        <v>18256</v>
      </c>
      <c r="J13" s="837">
        <v>531</v>
      </c>
      <c r="K13" s="837">
        <f t="shared" si="3"/>
        <v>111227</v>
      </c>
      <c r="L13" s="838">
        <v>4619</v>
      </c>
      <c r="M13" s="838">
        <v>366</v>
      </c>
      <c r="N13" s="838">
        <v>21542</v>
      </c>
      <c r="O13" s="838">
        <v>30185</v>
      </c>
      <c r="P13" s="838">
        <v>24850</v>
      </c>
      <c r="Q13" s="838">
        <v>28814</v>
      </c>
      <c r="R13" s="838">
        <v>851</v>
      </c>
      <c r="S13" s="838">
        <v>14933</v>
      </c>
      <c r="T13" s="833"/>
      <c r="V13" s="839"/>
      <c r="X13" s="829"/>
      <c r="Y13" s="829"/>
      <c r="AI13" s="834"/>
      <c r="AJ13" s="829"/>
    </row>
    <row r="14" spans="1:36" x14ac:dyDescent="0.2">
      <c r="A14" s="380">
        <v>4</v>
      </c>
      <c r="B14" s="358" t="s">
        <v>22</v>
      </c>
      <c r="C14" s="381" t="s">
        <v>23</v>
      </c>
      <c r="D14" s="837">
        <f t="shared" si="5"/>
        <v>46555</v>
      </c>
      <c r="E14" s="837">
        <f t="shared" si="7"/>
        <v>4528</v>
      </c>
      <c r="F14" s="837">
        <v>1074</v>
      </c>
      <c r="G14" s="837">
        <v>3454</v>
      </c>
      <c r="H14" s="827">
        <f t="shared" si="6"/>
        <v>7073</v>
      </c>
      <c r="I14" s="837">
        <v>7008</v>
      </c>
      <c r="J14" s="837">
        <v>65</v>
      </c>
      <c r="K14" s="837">
        <f t="shared" si="3"/>
        <v>34954</v>
      </c>
      <c r="L14" s="838">
        <v>1773</v>
      </c>
      <c r="M14" s="838">
        <v>231</v>
      </c>
      <c r="N14" s="838">
        <v>4048</v>
      </c>
      <c r="O14" s="838">
        <v>17791</v>
      </c>
      <c r="P14" s="838">
        <v>2387</v>
      </c>
      <c r="Q14" s="838">
        <v>8721</v>
      </c>
      <c r="R14" s="838">
        <v>3</v>
      </c>
      <c r="S14" s="838">
        <v>5064</v>
      </c>
      <c r="T14" s="833"/>
      <c r="V14" s="839"/>
      <c r="X14" s="829"/>
      <c r="Y14" s="829"/>
      <c r="AI14" s="834"/>
      <c r="AJ14" s="829"/>
    </row>
    <row r="15" spans="1:36" ht="24" x14ac:dyDescent="0.2">
      <c r="A15" s="380">
        <v>5</v>
      </c>
      <c r="B15" s="358" t="s">
        <v>24</v>
      </c>
      <c r="C15" s="381" t="s">
        <v>25</v>
      </c>
      <c r="D15" s="837">
        <f t="shared" si="5"/>
        <v>51622</v>
      </c>
      <c r="E15" s="837">
        <f t="shared" si="7"/>
        <v>5845</v>
      </c>
      <c r="F15" s="837">
        <v>1114</v>
      </c>
      <c r="G15" s="837">
        <v>4731</v>
      </c>
      <c r="H15" s="827">
        <f t="shared" si="6"/>
        <v>7346</v>
      </c>
      <c r="I15" s="837">
        <v>7270</v>
      </c>
      <c r="J15" s="837">
        <v>76</v>
      </c>
      <c r="K15" s="837">
        <f t="shared" si="3"/>
        <v>38431</v>
      </c>
      <c r="L15" s="838">
        <v>1839</v>
      </c>
      <c r="M15" s="838">
        <v>99</v>
      </c>
      <c r="N15" s="838">
        <v>8967</v>
      </c>
      <c r="O15" s="838">
        <v>12711</v>
      </c>
      <c r="P15" s="838">
        <v>6201</v>
      </c>
      <c r="Q15" s="838">
        <v>8613</v>
      </c>
      <c r="R15" s="838">
        <v>1</v>
      </c>
      <c r="S15" s="838">
        <v>5698</v>
      </c>
      <c r="T15" s="833"/>
      <c r="V15" s="839"/>
      <c r="X15" s="829"/>
      <c r="Y15" s="829"/>
      <c r="AI15" s="834"/>
      <c r="AJ15" s="829"/>
    </row>
    <row r="16" spans="1:36" x14ac:dyDescent="0.2">
      <c r="A16" s="380">
        <v>6</v>
      </c>
      <c r="B16" s="357" t="s">
        <v>26</v>
      </c>
      <c r="C16" s="383" t="s">
        <v>27</v>
      </c>
      <c r="D16" s="837">
        <f t="shared" si="5"/>
        <v>383496</v>
      </c>
      <c r="E16" s="837">
        <f t="shared" si="7"/>
        <v>38313</v>
      </c>
      <c r="F16" s="837">
        <v>7635</v>
      </c>
      <c r="G16" s="837">
        <v>30678</v>
      </c>
      <c r="H16" s="827">
        <f t="shared" si="6"/>
        <v>50004</v>
      </c>
      <c r="I16" s="837">
        <v>49820</v>
      </c>
      <c r="J16" s="837">
        <v>184</v>
      </c>
      <c r="K16" s="837">
        <f t="shared" si="3"/>
        <v>295179</v>
      </c>
      <c r="L16" s="838">
        <v>12604</v>
      </c>
      <c r="M16" s="838">
        <v>696</v>
      </c>
      <c r="N16" s="838">
        <v>52911</v>
      </c>
      <c r="O16" s="838">
        <v>108096</v>
      </c>
      <c r="P16" s="838">
        <v>3660</v>
      </c>
      <c r="Q16" s="838">
        <v>114657</v>
      </c>
      <c r="R16" s="838">
        <v>2555</v>
      </c>
      <c r="S16" s="838">
        <v>46860</v>
      </c>
      <c r="T16" s="833"/>
      <c r="V16" s="839"/>
      <c r="X16" s="829"/>
      <c r="Y16" s="829"/>
      <c r="AI16" s="834"/>
      <c r="AJ16" s="829"/>
    </row>
    <row r="17" spans="1:36" x14ac:dyDescent="0.2">
      <c r="A17" s="380">
        <v>7</v>
      </c>
      <c r="B17" s="384" t="s">
        <v>28</v>
      </c>
      <c r="C17" s="385" t="s">
        <v>29</v>
      </c>
      <c r="D17" s="837">
        <f t="shared" si="5"/>
        <v>143400</v>
      </c>
      <c r="E17" s="837">
        <f t="shared" si="7"/>
        <v>14189</v>
      </c>
      <c r="F17" s="837">
        <v>2863</v>
      </c>
      <c r="G17" s="837">
        <v>11326</v>
      </c>
      <c r="H17" s="827">
        <f t="shared" si="6"/>
        <v>18829</v>
      </c>
      <c r="I17" s="837">
        <v>18681</v>
      </c>
      <c r="J17" s="837">
        <v>148</v>
      </c>
      <c r="K17" s="837">
        <f t="shared" si="3"/>
        <v>110382</v>
      </c>
      <c r="L17" s="838">
        <v>4726</v>
      </c>
      <c r="M17" s="838">
        <v>333</v>
      </c>
      <c r="N17" s="838">
        <v>18159</v>
      </c>
      <c r="O17" s="838">
        <v>26934</v>
      </c>
      <c r="P17" s="838">
        <v>7165</v>
      </c>
      <c r="Q17" s="838">
        <v>51955</v>
      </c>
      <c r="R17" s="838">
        <v>1110</v>
      </c>
      <c r="S17" s="838">
        <v>15539</v>
      </c>
      <c r="T17" s="833"/>
      <c r="V17" s="839"/>
      <c r="X17" s="829"/>
      <c r="Y17" s="829"/>
      <c r="AI17" s="834"/>
      <c r="AJ17" s="829"/>
    </row>
    <row r="18" spans="1:36" x14ac:dyDescent="0.2">
      <c r="A18" s="380">
        <v>8</v>
      </c>
      <c r="B18" s="357" t="s">
        <v>30</v>
      </c>
      <c r="C18" s="383" t="s">
        <v>31</v>
      </c>
      <c r="D18" s="837">
        <f t="shared" si="5"/>
        <v>57998</v>
      </c>
      <c r="E18" s="837">
        <f t="shared" si="7"/>
        <v>5857</v>
      </c>
      <c r="F18" s="837">
        <v>1198</v>
      </c>
      <c r="G18" s="837">
        <v>4659</v>
      </c>
      <c r="H18" s="827">
        <f t="shared" si="6"/>
        <v>7976</v>
      </c>
      <c r="I18" s="837">
        <v>7817</v>
      </c>
      <c r="J18" s="837">
        <v>159</v>
      </c>
      <c r="K18" s="837">
        <f t="shared" si="3"/>
        <v>44165</v>
      </c>
      <c r="L18" s="838">
        <v>1978</v>
      </c>
      <c r="M18" s="838">
        <v>90</v>
      </c>
      <c r="N18" s="838">
        <v>8286</v>
      </c>
      <c r="O18" s="838">
        <v>16021</v>
      </c>
      <c r="P18" s="838">
        <v>6000</v>
      </c>
      <c r="Q18" s="838">
        <v>11789</v>
      </c>
      <c r="R18" s="838">
        <v>1</v>
      </c>
      <c r="S18" s="838">
        <v>6227</v>
      </c>
      <c r="T18" s="833"/>
      <c r="V18" s="839"/>
      <c r="X18" s="829"/>
      <c r="Y18" s="829"/>
      <c r="AI18" s="834"/>
      <c r="AJ18" s="829"/>
    </row>
    <row r="19" spans="1:36" x14ac:dyDescent="0.2">
      <c r="A19" s="380">
        <v>9</v>
      </c>
      <c r="B19" s="357" t="s">
        <v>32</v>
      </c>
      <c r="C19" s="383" t="s">
        <v>33</v>
      </c>
      <c r="D19" s="837">
        <f t="shared" si="5"/>
        <v>49454</v>
      </c>
      <c r="E19" s="837">
        <f t="shared" si="7"/>
        <v>5416</v>
      </c>
      <c r="F19" s="837">
        <v>1054</v>
      </c>
      <c r="G19" s="837">
        <v>4362</v>
      </c>
      <c r="H19" s="827">
        <f t="shared" si="6"/>
        <v>6919</v>
      </c>
      <c r="I19" s="837">
        <v>6881</v>
      </c>
      <c r="J19" s="837">
        <v>38</v>
      </c>
      <c r="K19" s="837">
        <f t="shared" si="3"/>
        <v>37119</v>
      </c>
      <c r="L19" s="838">
        <v>1741</v>
      </c>
      <c r="M19" s="838">
        <v>417</v>
      </c>
      <c r="N19" s="838">
        <v>7593</v>
      </c>
      <c r="O19" s="838">
        <v>15202</v>
      </c>
      <c r="P19" s="838">
        <v>0</v>
      </c>
      <c r="Q19" s="838">
        <v>12163</v>
      </c>
      <c r="R19" s="838">
        <v>3</v>
      </c>
      <c r="S19" s="838">
        <v>7377</v>
      </c>
      <c r="T19" s="833"/>
      <c r="V19" s="839"/>
      <c r="X19" s="829"/>
      <c r="Y19" s="829"/>
      <c r="AI19" s="834"/>
      <c r="AJ19" s="829"/>
    </row>
    <row r="20" spans="1:36" x14ac:dyDescent="0.2">
      <c r="A20" s="380">
        <v>10</v>
      </c>
      <c r="B20" s="357" t="s">
        <v>34</v>
      </c>
      <c r="C20" s="383" t="s">
        <v>35</v>
      </c>
      <c r="D20" s="837">
        <f t="shared" si="5"/>
        <v>61272</v>
      </c>
      <c r="E20" s="837">
        <f t="shared" si="7"/>
        <v>6001</v>
      </c>
      <c r="F20" s="837">
        <v>1388</v>
      </c>
      <c r="G20" s="837">
        <v>4613</v>
      </c>
      <c r="H20" s="827">
        <f t="shared" si="6"/>
        <v>9117</v>
      </c>
      <c r="I20" s="837">
        <v>9057</v>
      </c>
      <c r="J20" s="837">
        <v>60</v>
      </c>
      <c r="K20" s="837">
        <f t="shared" si="3"/>
        <v>46154</v>
      </c>
      <c r="L20" s="838">
        <v>2291</v>
      </c>
      <c r="M20" s="838">
        <v>75</v>
      </c>
      <c r="N20" s="838">
        <v>11957</v>
      </c>
      <c r="O20" s="838">
        <v>16996</v>
      </c>
      <c r="P20" s="838">
        <v>5206</v>
      </c>
      <c r="Q20" s="838">
        <v>9626</v>
      </c>
      <c r="R20" s="838">
        <v>3</v>
      </c>
      <c r="S20" s="838">
        <v>9011</v>
      </c>
      <c r="T20" s="833"/>
      <c r="V20" s="839"/>
      <c r="X20" s="829"/>
      <c r="Y20" s="829"/>
      <c r="AI20" s="834"/>
      <c r="AJ20" s="829"/>
    </row>
    <row r="21" spans="1:36" x14ac:dyDescent="0.2">
      <c r="A21" s="380">
        <v>11</v>
      </c>
      <c r="B21" s="357" t="s">
        <v>36</v>
      </c>
      <c r="C21" s="383" t="s">
        <v>37</v>
      </c>
      <c r="D21" s="837">
        <f t="shared" si="5"/>
        <v>50763</v>
      </c>
      <c r="E21" s="837">
        <f t="shared" si="7"/>
        <v>6212</v>
      </c>
      <c r="F21" s="837">
        <v>1079</v>
      </c>
      <c r="G21" s="837">
        <v>5133</v>
      </c>
      <c r="H21" s="827">
        <f t="shared" si="6"/>
        <v>7123</v>
      </c>
      <c r="I21" s="837">
        <v>7038</v>
      </c>
      <c r="J21" s="837">
        <v>85</v>
      </c>
      <c r="K21" s="837">
        <f t="shared" si="3"/>
        <v>37428</v>
      </c>
      <c r="L21" s="838">
        <v>1781</v>
      </c>
      <c r="M21" s="838">
        <v>111</v>
      </c>
      <c r="N21" s="838">
        <v>9966</v>
      </c>
      <c r="O21" s="838">
        <v>8170</v>
      </c>
      <c r="P21" s="838">
        <v>11105</v>
      </c>
      <c r="Q21" s="838">
        <v>6293</v>
      </c>
      <c r="R21" s="838">
        <v>2</v>
      </c>
      <c r="S21" s="838">
        <v>8641</v>
      </c>
      <c r="T21" s="833"/>
      <c r="V21" s="839"/>
      <c r="X21" s="829"/>
      <c r="Y21" s="829"/>
      <c r="AI21" s="834"/>
      <c r="AJ21" s="829"/>
    </row>
    <row r="22" spans="1:36" x14ac:dyDescent="0.2">
      <c r="A22" s="380">
        <v>12</v>
      </c>
      <c r="B22" s="357" t="s">
        <v>38</v>
      </c>
      <c r="C22" s="383" t="s">
        <v>39</v>
      </c>
      <c r="D22" s="837">
        <f t="shared" si="5"/>
        <v>101247</v>
      </c>
      <c r="E22" s="837">
        <f t="shared" si="7"/>
        <v>11202</v>
      </c>
      <c r="F22" s="837">
        <v>2137</v>
      </c>
      <c r="G22" s="837">
        <v>9065</v>
      </c>
      <c r="H22" s="827">
        <f t="shared" si="6"/>
        <v>14120</v>
      </c>
      <c r="I22" s="837">
        <v>13942</v>
      </c>
      <c r="J22" s="837">
        <v>178</v>
      </c>
      <c r="K22" s="837">
        <f t="shared" si="3"/>
        <v>75925</v>
      </c>
      <c r="L22" s="838">
        <v>3527</v>
      </c>
      <c r="M22" s="838">
        <v>240</v>
      </c>
      <c r="N22" s="838">
        <v>16078</v>
      </c>
      <c r="O22" s="838">
        <v>27732</v>
      </c>
      <c r="P22" s="838">
        <v>2010</v>
      </c>
      <c r="Q22" s="838">
        <v>25572</v>
      </c>
      <c r="R22" s="838">
        <v>766</v>
      </c>
      <c r="S22" s="838">
        <v>14669</v>
      </c>
      <c r="T22" s="833"/>
      <c r="V22" s="839"/>
      <c r="X22" s="829"/>
      <c r="Y22" s="829"/>
      <c r="AI22" s="834"/>
      <c r="AJ22" s="829"/>
    </row>
    <row r="23" spans="1:36" ht="24" x14ac:dyDescent="0.2">
      <c r="A23" s="2">
        <v>13</v>
      </c>
      <c r="B23" s="357" t="s">
        <v>40</v>
      </c>
      <c r="C23" s="383" t="s">
        <v>41</v>
      </c>
      <c r="D23" s="837">
        <f t="shared" si="5"/>
        <v>0</v>
      </c>
      <c r="E23" s="837">
        <f t="shared" si="7"/>
        <v>0</v>
      </c>
      <c r="F23" s="837">
        <v>0</v>
      </c>
      <c r="G23" s="837">
        <v>0</v>
      </c>
      <c r="H23" s="827">
        <f t="shared" si="6"/>
        <v>0</v>
      </c>
      <c r="I23" s="837">
        <v>0</v>
      </c>
      <c r="J23" s="837">
        <v>0</v>
      </c>
      <c r="K23" s="837">
        <f t="shared" si="3"/>
        <v>0</v>
      </c>
      <c r="L23" s="838">
        <v>0</v>
      </c>
      <c r="M23" s="838">
        <v>0</v>
      </c>
      <c r="N23" s="838">
        <v>0</v>
      </c>
      <c r="O23" s="838">
        <v>0</v>
      </c>
      <c r="P23" s="838">
        <v>0</v>
      </c>
      <c r="Q23" s="838">
        <v>0</v>
      </c>
      <c r="R23" s="838">
        <v>0</v>
      </c>
      <c r="S23" s="838">
        <v>0</v>
      </c>
      <c r="T23" s="833"/>
      <c r="V23" s="839"/>
      <c r="X23" s="829"/>
      <c r="Y23" s="829"/>
      <c r="AI23" s="834"/>
      <c r="AJ23" s="829"/>
    </row>
    <row r="24" spans="1:36" ht="24" x14ac:dyDescent="0.2">
      <c r="A24" s="380">
        <v>14</v>
      </c>
      <c r="B24" s="358" t="s">
        <v>42</v>
      </c>
      <c r="C24" s="383" t="s">
        <v>43</v>
      </c>
      <c r="D24" s="837">
        <f t="shared" si="5"/>
        <v>0</v>
      </c>
      <c r="E24" s="837">
        <f t="shared" si="7"/>
        <v>0</v>
      </c>
      <c r="F24" s="837">
        <v>0</v>
      </c>
      <c r="G24" s="837">
        <v>0</v>
      </c>
      <c r="H24" s="827">
        <f t="shared" si="6"/>
        <v>0</v>
      </c>
      <c r="I24" s="837">
        <v>0</v>
      </c>
      <c r="J24" s="837">
        <v>0</v>
      </c>
      <c r="K24" s="837">
        <f t="shared" si="3"/>
        <v>0</v>
      </c>
      <c r="L24" s="838">
        <v>0</v>
      </c>
      <c r="M24" s="838">
        <v>0</v>
      </c>
      <c r="N24" s="838">
        <v>0</v>
      </c>
      <c r="O24" s="838">
        <v>0</v>
      </c>
      <c r="P24" s="838">
        <v>0</v>
      </c>
      <c r="Q24" s="838">
        <v>0</v>
      </c>
      <c r="R24" s="838">
        <v>0</v>
      </c>
      <c r="S24" s="838">
        <v>0</v>
      </c>
      <c r="T24" s="833"/>
      <c r="V24" s="839"/>
      <c r="X24" s="829"/>
      <c r="Y24" s="829"/>
      <c r="AI24" s="834"/>
      <c r="AJ24" s="829"/>
    </row>
    <row r="25" spans="1:36" x14ac:dyDescent="0.2">
      <c r="A25" s="2">
        <v>15</v>
      </c>
      <c r="B25" s="357" t="s">
        <v>44</v>
      </c>
      <c r="C25" s="383" t="s">
        <v>45</v>
      </c>
      <c r="D25" s="837">
        <f t="shared" si="5"/>
        <v>66097</v>
      </c>
      <c r="E25" s="837">
        <f t="shared" si="7"/>
        <v>8181</v>
      </c>
      <c r="F25" s="837">
        <v>1353</v>
      </c>
      <c r="G25" s="837">
        <v>6828</v>
      </c>
      <c r="H25" s="827">
        <f t="shared" si="6"/>
        <v>8946</v>
      </c>
      <c r="I25" s="837">
        <v>8826</v>
      </c>
      <c r="J25" s="837">
        <v>120</v>
      </c>
      <c r="K25" s="837">
        <f t="shared" si="3"/>
        <v>48970</v>
      </c>
      <c r="L25" s="838">
        <v>2233</v>
      </c>
      <c r="M25" s="838">
        <v>261</v>
      </c>
      <c r="N25" s="838">
        <v>6313</v>
      </c>
      <c r="O25" s="838">
        <v>14284</v>
      </c>
      <c r="P25" s="838">
        <v>5107</v>
      </c>
      <c r="Q25" s="838">
        <v>20569</v>
      </c>
      <c r="R25" s="838">
        <v>203</v>
      </c>
      <c r="S25" s="838">
        <v>6357</v>
      </c>
      <c r="T25" s="833"/>
      <c r="V25" s="839"/>
      <c r="X25" s="829"/>
      <c r="Y25" s="829"/>
      <c r="AI25" s="834"/>
      <c r="AJ25" s="829"/>
    </row>
    <row r="26" spans="1:36" x14ac:dyDescent="0.2">
      <c r="A26" s="380">
        <v>16</v>
      </c>
      <c r="B26" s="357" t="s">
        <v>46</v>
      </c>
      <c r="C26" s="383" t="s">
        <v>47</v>
      </c>
      <c r="D26" s="837">
        <f t="shared" si="5"/>
        <v>99013</v>
      </c>
      <c r="E26" s="837">
        <f t="shared" si="7"/>
        <v>12339</v>
      </c>
      <c r="F26" s="837">
        <v>1923</v>
      </c>
      <c r="G26" s="837">
        <v>10416</v>
      </c>
      <c r="H26" s="827">
        <f t="shared" si="6"/>
        <v>12731</v>
      </c>
      <c r="I26" s="837">
        <v>12548</v>
      </c>
      <c r="J26" s="837">
        <v>183</v>
      </c>
      <c r="K26" s="837">
        <f t="shared" si="3"/>
        <v>73943</v>
      </c>
      <c r="L26" s="838">
        <v>3175</v>
      </c>
      <c r="M26" s="838">
        <v>198</v>
      </c>
      <c r="N26" s="838">
        <v>9605</v>
      </c>
      <c r="O26" s="838">
        <v>29235</v>
      </c>
      <c r="P26" s="838">
        <v>0</v>
      </c>
      <c r="Q26" s="838">
        <v>31723</v>
      </c>
      <c r="R26" s="838">
        <v>7</v>
      </c>
      <c r="S26" s="838">
        <v>6446</v>
      </c>
      <c r="T26" s="833"/>
      <c r="V26" s="839"/>
      <c r="X26" s="829"/>
      <c r="Y26" s="829"/>
      <c r="AI26" s="834"/>
      <c r="AJ26" s="829"/>
    </row>
    <row r="27" spans="1:36" x14ac:dyDescent="0.2">
      <c r="A27" s="2">
        <v>17</v>
      </c>
      <c r="B27" s="357" t="s">
        <v>48</v>
      </c>
      <c r="C27" s="383" t="s">
        <v>49</v>
      </c>
      <c r="D27" s="837">
        <f t="shared" si="5"/>
        <v>126855</v>
      </c>
      <c r="E27" s="837">
        <f t="shared" si="7"/>
        <v>15840</v>
      </c>
      <c r="F27" s="837">
        <v>2540</v>
      </c>
      <c r="G27" s="837">
        <v>13300</v>
      </c>
      <c r="H27" s="827">
        <f t="shared" si="6"/>
        <v>16684</v>
      </c>
      <c r="I27" s="837">
        <v>16573</v>
      </c>
      <c r="J27" s="837">
        <v>111</v>
      </c>
      <c r="K27" s="837">
        <f t="shared" si="3"/>
        <v>94331</v>
      </c>
      <c r="L27" s="838">
        <v>4193</v>
      </c>
      <c r="M27" s="838">
        <v>456</v>
      </c>
      <c r="N27" s="838">
        <v>9979</v>
      </c>
      <c r="O27" s="838">
        <v>37131</v>
      </c>
      <c r="P27" s="838">
        <v>8866</v>
      </c>
      <c r="Q27" s="838">
        <v>33698</v>
      </c>
      <c r="R27" s="838">
        <v>8</v>
      </c>
      <c r="S27" s="838">
        <v>7622</v>
      </c>
      <c r="T27" s="833"/>
      <c r="V27" s="839"/>
      <c r="X27" s="829"/>
      <c r="Y27" s="829"/>
      <c r="AI27" s="834"/>
      <c r="AJ27" s="829"/>
    </row>
    <row r="28" spans="1:36" x14ac:dyDescent="0.2">
      <c r="A28" s="380">
        <v>18</v>
      </c>
      <c r="B28" s="357" t="s">
        <v>50</v>
      </c>
      <c r="C28" s="383" t="s">
        <v>51</v>
      </c>
      <c r="D28" s="837">
        <f t="shared" si="5"/>
        <v>249382</v>
      </c>
      <c r="E28" s="837">
        <f t="shared" si="7"/>
        <v>25841</v>
      </c>
      <c r="F28" s="837">
        <v>4877</v>
      </c>
      <c r="G28" s="837">
        <v>20964</v>
      </c>
      <c r="H28" s="827">
        <f t="shared" si="6"/>
        <v>32445</v>
      </c>
      <c r="I28" s="837">
        <v>31825</v>
      </c>
      <c r="J28" s="837">
        <v>620</v>
      </c>
      <c r="K28" s="837">
        <f t="shared" si="3"/>
        <v>191096</v>
      </c>
      <c r="L28" s="838">
        <v>8052</v>
      </c>
      <c r="M28" s="838">
        <v>888</v>
      </c>
      <c r="N28" s="838">
        <v>22658</v>
      </c>
      <c r="O28" s="838">
        <v>42838</v>
      </c>
      <c r="P28" s="838">
        <v>52300</v>
      </c>
      <c r="Q28" s="838">
        <v>63363</v>
      </c>
      <c r="R28" s="838">
        <v>997</v>
      </c>
      <c r="S28" s="838">
        <v>13025</v>
      </c>
      <c r="T28" s="833"/>
      <c r="V28" s="839"/>
      <c r="X28" s="829"/>
      <c r="Y28" s="829"/>
      <c r="AI28" s="834"/>
      <c r="AJ28" s="829"/>
    </row>
    <row r="29" spans="1:36" x14ac:dyDescent="0.2">
      <c r="A29" s="2">
        <v>19</v>
      </c>
      <c r="B29" s="358" t="s">
        <v>52</v>
      </c>
      <c r="C29" s="381" t="s">
        <v>53</v>
      </c>
      <c r="D29" s="837">
        <f t="shared" si="5"/>
        <v>40799</v>
      </c>
      <c r="E29" s="837">
        <f t="shared" si="7"/>
        <v>5421</v>
      </c>
      <c r="F29" s="837">
        <v>779</v>
      </c>
      <c r="G29" s="837">
        <v>4642</v>
      </c>
      <c r="H29" s="827">
        <f t="shared" si="6"/>
        <v>5108</v>
      </c>
      <c r="I29" s="837">
        <v>5084</v>
      </c>
      <c r="J29" s="837">
        <v>24</v>
      </c>
      <c r="K29" s="837">
        <f t="shared" si="3"/>
        <v>30270</v>
      </c>
      <c r="L29" s="838">
        <v>1286</v>
      </c>
      <c r="M29" s="838">
        <v>255</v>
      </c>
      <c r="N29" s="838">
        <v>6972</v>
      </c>
      <c r="O29" s="838">
        <v>13370</v>
      </c>
      <c r="P29" s="838">
        <v>1600</v>
      </c>
      <c r="Q29" s="838">
        <v>6786</v>
      </c>
      <c r="R29" s="838">
        <v>1</v>
      </c>
      <c r="S29" s="838">
        <v>3339</v>
      </c>
      <c r="T29" s="833"/>
      <c r="V29" s="839"/>
      <c r="X29" s="829"/>
      <c r="Y29" s="829"/>
      <c r="AI29" s="834"/>
      <c r="AJ29" s="829"/>
    </row>
    <row r="30" spans="1:36" x14ac:dyDescent="0.2">
      <c r="A30" s="380">
        <v>20</v>
      </c>
      <c r="B30" s="358" t="s">
        <v>54</v>
      </c>
      <c r="C30" s="381" t="s">
        <v>55</v>
      </c>
      <c r="D30" s="837">
        <f t="shared" si="5"/>
        <v>31253</v>
      </c>
      <c r="E30" s="837">
        <f t="shared" si="7"/>
        <v>3583</v>
      </c>
      <c r="F30" s="837">
        <v>664</v>
      </c>
      <c r="G30" s="837">
        <v>2919</v>
      </c>
      <c r="H30" s="827">
        <f t="shared" si="6"/>
        <v>4475</v>
      </c>
      <c r="I30" s="837">
        <v>4330</v>
      </c>
      <c r="J30" s="837">
        <v>145</v>
      </c>
      <c r="K30" s="837">
        <f t="shared" si="3"/>
        <v>23195</v>
      </c>
      <c r="L30" s="838">
        <v>1095</v>
      </c>
      <c r="M30" s="838">
        <v>120</v>
      </c>
      <c r="N30" s="838">
        <v>5727</v>
      </c>
      <c r="O30" s="838">
        <v>7451</v>
      </c>
      <c r="P30" s="838">
        <v>0</v>
      </c>
      <c r="Q30" s="838">
        <v>8801</v>
      </c>
      <c r="R30" s="838">
        <v>1</v>
      </c>
      <c r="S30" s="838">
        <v>4550</v>
      </c>
      <c r="T30" s="833"/>
      <c r="V30" s="839"/>
      <c r="X30" s="829"/>
      <c r="Y30" s="829"/>
      <c r="AI30" s="834"/>
      <c r="AJ30" s="829"/>
    </row>
    <row r="31" spans="1:36" x14ac:dyDescent="0.2">
      <c r="A31" s="2">
        <v>21</v>
      </c>
      <c r="B31" s="358" t="s">
        <v>56</v>
      </c>
      <c r="C31" s="381" t="s">
        <v>57</v>
      </c>
      <c r="D31" s="837">
        <f t="shared" si="5"/>
        <v>164294</v>
      </c>
      <c r="E31" s="837">
        <f t="shared" si="7"/>
        <v>19544</v>
      </c>
      <c r="F31" s="837">
        <v>3374</v>
      </c>
      <c r="G31" s="837">
        <v>16170</v>
      </c>
      <c r="H31" s="827">
        <f t="shared" si="6"/>
        <v>22212</v>
      </c>
      <c r="I31" s="837">
        <v>22018</v>
      </c>
      <c r="J31" s="837">
        <v>194</v>
      </c>
      <c r="K31" s="837">
        <f t="shared" si="3"/>
        <v>122538</v>
      </c>
      <c r="L31" s="838">
        <v>5571</v>
      </c>
      <c r="M31" s="838">
        <v>429</v>
      </c>
      <c r="N31" s="838">
        <v>22456</v>
      </c>
      <c r="O31" s="838">
        <v>43741</v>
      </c>
      <c r="P31" s="838">
        <v>3033</v>
      </c>
      <c r="Q31" s="838">
        <v>46053</v>
      </c>
      <c r="R31" s="838">
        <v>1255</v>
      </c>
      <c r="S31" s="838">
        <v>17600</v>
      </c>
      <c r="T31" s="833"/>
      <c r="V31" s="839"/>
      <c r="X31" s="829"/>
      <c r="Y31" s="829"/>
      <c r="AI31" s="834"/>
      <c r="AJ31" s="829"/>
    </row>
    <row r="32" spans="1:36" x14ac:dyDescent="0.2">
      <c r="A32" s="380">
        <v>22</v>
      </c>
      <c r="B32" s="358" t="s">
        <v>58</v>
      </c>
      <c r="C32" s="381" t="s">
        <v>59</v>
      </c>
      <c r="D32" s="837">
        <f t="shared" si="5"/>
        <v>150463</v>
      </c>
      <c r="E32" s="837">
        <f t="shared" si="7"/>
        <v>16271</v>
      </c>
      <c r="F32" s="837">
        <v>2815</v>
      </c>
      <c r="G32" s="837">
        <v>13456</v>
      </c>
      <c r="H32" s="827">
        <f t="shared" si="6"/>
        <v>18528</v>
      </c>
      <c r="I32" s="837">
        <v>18368</v>
      </c>
      <c r="J32" s="837">
        <v>160</v>
      </c>
      <c r="K32" s="837">
        <f t="shared" si="3"/>
        <v>115664</v>
      </c>
      <c r="L32" s="838">
        <v>4647</v>
      </c>
      <c r="M32" s="838">
        <v>354</v>
      </c>
      <c r="N32" s="838">
        <v>14461</v>
      </c>
      <c r="O32" s="838">
        <v>50455</v>
      </c>
      <c r="P32" s="838">
        <v>1800</v>
      </c>
      <c r="Q32" s="838">
        <v>43032</v>
      </c>
      <c r="R32" s="838">
        <v>915</v>
      </c>
      <c r="S32" s="838">
        <v>17702</v>
      </c>
      <c r="T32" s="833"/>
      <c r="V32" s="839"/>
      <c r="X32" s="829"/>
      <c r="Y32" s="829"/>
      <c r="AI32" s="834"/>
      <c r="AJ32" s="829"/>
    </row>
    <row r="33" spans="1:36" ht="24" x14ac:dyDescent="0.2">
      <c r="A33" s="2">
        <v>23</v>
      </c>
      <c r="B33" s="357" t="s">
        <v>60</v>
      </c>
      <c r="C33" s="383" t="s">
        <v>61</v>
      </c>
      <c r="D33" s="837">
        <f t="shared" si="5"/>
        <v>35926</v>
      </c>
      <c r="E33" s="837">
        <f t="shared" si="7"/>
        <v>3158</v>
      </c>
      <c r="F33" s="837">
        <v>683</v>
      </c>
      <c r="G33" s="837">
        <v>2475</v>
      </c>
      <c r="H33" s="827">
        <f t="shared" si="6"/>
        <v>4502</v>
      </c>
      <c r="I33" s="837">
        <v>4459</v>
      </c>
      <c r="J33" s="837">
        <v>43</v>
      </c>
      <c r="K33" s="837">
        <f t="shared" si="3"/>
        <v>28266</v>
      </c>
      <c r="L33" s="838">
        <v>1128</v>
      </c>
      <c r="M33" s="838">
        <v>48</v>
      </c>
      <c r="N33" s="838">
        <v>4198</v>
      </c>
      <c r="O33" s="838">
        <v>14829</v>
      </c>
      <c r="P33" s="838">
        <v>1693</v>
      </c>
      <c r="Q33" s="838">
        <v>6367</v>
      </c>
      <c r="R33" s="838">
        <v>3</v>
      </c>
      <c r="S33" s="838">
        <v>2092</v>
      </c>
      <c r="T33" s="833"/>
      <c r="V33" s="839"/>
      <c r="X33" s="829"/>
      <c r="Y33" s="829"/>
      <c r="AI33" s="834"/>
      <c r="AJ33" s="829"/>
    </row>
    <row r="34" spans="1:36" x14ac:dyDescent="0.2">
      <c r="A34" s="380">
        <v>24</v>
      </c>
      <c r="B34" s="357" t="s">
        <v>62</v>
      </c>
      <c r="C34" s="383" t="s">
        <v>63</v>
      </c>
      <c r="D34" s="837">
        <f t="shared" si="5"/>
        <v>0</v>
      </c>
      <c r="E34" s="837">
        <f t="shared" si="7"/>
        <v>0</v>
      </c>
      <c r="F34" s="837">
        <v>0</v>
      </c>
      <c r="G34" s="837">
        <v>0</v>
      </c>
      <c r="H34" s="827">
        <f t="shared" si="6"/>
        <v>0</v>
      </c>
      <c r="I34" s="837">
        <v>0</v>
      </c>
      <c r="J34" s="837">
        <v>0</v>
      </c>
      <c r="K34" s="837">
        <f t="shared" si="3"/>
        <v>0</v>
      </c>
      <c r="L34" s="838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3"/>
      <c r="V34" s="839"/>
      <c r="X34" s="829"/>
      <c r="Y34" s="829"/>
      <c r="AI34" s="834"/>
      <c r="AJ34" s="829"/>
    </row>
    <row r="35" spans="1:36" ht="24" x14ac:dyDescent="0.2">
      <c r="A35" s="2">
        <v>25</v>
      </c>
      <c r="B35" s="357" t="s">
        <v>64</v>
      </c>
      <c r="C35" s="383" t="s">
        <v>65</v>
      </c>
      <c r="D35" s="837">
        <f t="shared" si="5"/>
        <v>0</v>
      </c>
      <c r="E35" s="837">
        <f t="shared" si="7"/>
        <v>0</v>
      </c>
      <c r="F35" s="837">
        <v>0</v>
      </c>
      <c r="G35" s="837">
        <v>0</v>
      </c>
      <c r="H35" s="827">
        <f t="shared" si="6"/>
        <v>0</v>
      </c>
      <c r="I35" s="837">
        <v>0</v>
      </c>
      <c r="J35" s="837">
        <v>0</v>
      </c>
      <c r="K35" s="837">
        <f t="shared" si="3"/>
        <v>0</v>
      </c>
      <c r="L35" s="838">
        <v>0</v>
      </c>
      <c r="M35" s="838">
        <v>0</v>
      </c>
      <c r="N35" s="838">
        <v>0</v>
      </c>
      <c r="O35" s="838">
        <v>0</v>
      </c>
      <c r="P35" s="838">
        <v>0</v>
      </c>
      <c r="Q35" s="838">
        <v>0</v>
      </c>
      <c r="R35" s="838">
        <v>0</v>
      </c>
      <c r="S35" s="838">
        <v>0</v>
      </c>
      <c r="T35" s="833"/>
      <c r="V35" s="839"/>
      <c r="X35" s="829"/>
      <c r="Y35" s="829"/>
      <c r="AI35" s="834"/>
      <c r="AJ35" s="829"/>
    </row>
    <row r="36" spans="1:36" ht="24" x14ac:dyDescent="0.2">
      <c r="A36" s="380">
        <v>26</v>
      </c>
      <c r="B36" s="358" t="s">
        <v>66</v>
      </c>
      <c r="C36" s="385" t="s">
        <v>67</v>
      </c>
      <c r="D36" s="837">
        <f t="shared" si="5"/>
        <v>349763</v>
      </c>
      <c r="E36" s="837">
        <f t="shared" si="7"/>
        <v>25707</v>
      </c>
      <c r="F36" s="837">
        <v>11119</v>
      </c>
      <c r="G36" s="837">
        <v>14588</v>
      </c>
      <c r="H36" s="827">
        <f t="shared" si="6"/>
        <v>74626</v>
      </c>
      <c r="I36" s="837">
        <v>74567</v>
      </c>
      <c r="J36" s="837">
        <v>59</v>
      </c>
      <c r="K36" s="837">
        <f t="shared" si="3"/>
        <v>249430</v>
      </c>
      <c r="L36" s="838">
        <v>18342</v>
      </c>
      <c r="M36" s="838">
        <v>2602</v>
      </c>
      <c r="N36" s="838">
        <v>58776</v>
      </c>
      <c r="O36" s="838">
        <v>74156</v>
      </c>
      <c r="P36" s="838">
        <v>33289</v>
      </c>
      <c r="Q36" s="838">
        <v>58293</v>
      </c>
      <c r="R36" s="838">
        <v>3972</v>
      </c>
      <c r="S36" s="838">
        <v>43837</v>
      </c>
      <c r="T36" s="833"/>
      <c r="V36" s="839"/>
      <c r="X36" s="829"/>
      <c r="Y36" s="829"/>
      <c r="AI36" s="834"/>
      <c r="AJ36" s="829"/>
    </row>
    <row r="37" spans="1:36" ht="24" x14ac:dyDescent="0.2">
      <c r="A37" s="2">
        <v>27</v>
      </c>
      <c r="B37" s="357" t="s">
        <v>68</v>
      </c>
      <c r="C37" s="383" t="s">
        <v>69</v>
      </c>
      <c r="D37" s="837">
        <f t="shared" si="5"/>
        <v>147646</v>
      </c>
      <c r="E37" s="837">
        <f t="shared" si="7"/>
        <v>12915</v>
      </c>
      <c r="F37" s="837">
        <v>3142</v>
      </c>
      <c r="G37" s="837">
        <v>9773</v>
      </c>
      <c r="H37" s="827">
        <f t="shared" si="6"/>
        <v>18509</v>
      </c>
      <c r="I37" s="837">
        <v>18494</v>
      </c>
      <c r="J37" s="837">
        <v>15</v>
      </c>
      <c r="K37" s="837">
        <f t="shared" si="3"/>
        <v>116222</v>
      </c>
      <c r="L37" s="838">
        <v>5203</v>
      </c>
      <c r="M37" s="838">
        <v>143</v>
      </c>
      <c r="N37" s="838">
        <v>7824</v>
      </c>
      <c r="O37" s="838">
        <v>27262</v>
      </c>
      <c r="P37" s="838">
        <v>46307</v>
      </c>
      <c r="Q37" s="838">
        <v>29483</v>
      </c>
      <c r="R37" s="838">
        <v>0</v>
      </c>
      <c r="S37" s="838">
        <v>11602</v>
      </c>
      <c r="T37" s="833"/>
      <c r="V37" s="839"/>
      <c r="X37" s="829"/>
      <c r="Y37" s="829"/>
      <c r="AI37" s="834"/>
      <c r="AJ37" s="829"/>
    </row>
    <row r="38" spans="1:36" x14ac:dyDescent="0.2">
      <c r="A38" s="380">
        <v>28</v>
      </c>
      <c r="B38" s="357" t="s">
        <v>70</v>
      </c>
      <c r="C38" s="383" t="s">
        <v>71</v>
      </c>
      <c r="D38" s="837">
        <f t="shared" si="5"/>
        <v>214584</v>
      </c>
      <c r="E38" s="837">
        <f t="shared" si="7"/>
        <v>43540</v>
      </c>
      <c r="F38" s="837">
        <v>0</v>
      </c>
      <c r="G38" s="837">
        <v>43540</v>
      </c>
      <c r="H38" s="827">
        <f t="shared" si="6"/>
        <v>276</v>
      </c>
      <c r="I38" s="837">
        <v>0</v>
      </c>
      <c r="J38" s="837">
        <v>276</v>
      </c>
      <c r="K38" s="837">
        <f t="shared" si="3"/>
        <v>170768</v>
      </c>
      <c r="L38" s="838">
        <v>0</v>
      </c>
      <c r="M38" s="838">
        <v>0</v>
      </c>
      <c r="N38" s="838">
        <v>5463</v>
      </c>
      <c r="O38" s="838">
        <v>43113</v>
      </c>
      <c r="P38" s="838">
        <v>58000</v>
      </c>
      <c r="Q38" s="838">
        <v>64159</v>
      </c>
      <c r="R38" s="838">
        <v>33</v>
      </c>
      <c r="S38" s="838">
        <v>0</v>
      </c>
      <c r="T38" s="833"/>
      <c r="V38" s="839"/>
      <c r="X38" s="829"/>
      <c r="Y38" s="829"/>
      <c r="AI38" s="834"/>
      <c r="AJ38" s="829"/>
    </row>
    <row r="39" spans="1:36" x14ac:dyDescent="0.2">
      <c r="A39" s="2">
        <v>29</v>
      </c>
      <c r="B39" s="382" t="s">
        <v>72</v>
      </c>
      <c r="C39" s="385" t="s">
        <v>73</v>
      </c>
      <c r="D39" s="837">
        <f t="shared" si="5"/>
        <v>13320</v>
      </c>
      <c r="E39" s="837">
        <f t="shared" si="7"/>
        <v>0</v>
      </c>
      <c r="F39" s="837">
        <v>0</v>
      </c>
      <c r="G39" s="837">
        <v>0</v>
      </c>
      <c r="H39" s="827">
        <f t="shared" si="6"/>
        <v>0</v>
      </c>
      <c r="I39" s="837">
        <v>0</v>
      </c>
      <c r="J39" s="837">
        <v>0</v>
      </c>
      <c r="K39" s="837">
        <f t="shared" si="3"/>
        <v>13320</v>
      </c>
      <c r="L39" s="838">
        <v>0</v>
      </c>
      <c r="M39" s="838">
        <v>0</v>
      </c>
      <c r="N39" s="838">
        <v>0</v>
      </c>
      <c r="O39" s="838">
        <v>10270</v>
      </c>
      <c r="P39" s="838">
        <v>3050</v>
      </c>
      <c r="Q39" s="838">
        <v>0</v>
      </c>
      <c r="R39" s="838">
        <v>0</v>
      </c>
      <c r="S39" s="838">
        <v>0</v>
      </c>
      <c r="T39" s="833"/>
      <c r="V39" s="839"/>
      <c r="X39" s="829"/>
      <c r="Y39" s="829"/>
      <c r="AI39" s="834"/>
      <c r="AJ39" s="829"/>
    </row>
    <row r="40" spans="1:36" ht="24" x14ac:dyDescent="0.2">
      <c r="A40" s="380">
        <v>30</v>
      </c>
      <c r="B40" s="358" t="s">
        <v>74</v>
      </c>
      <c r="C40" s="381" t="s">
        <v>357</v>
      </c>
      <c r="D40" s="837">
        <f t="shared" si="5"/>
        <v>0</v>
      </c>
      <c r="E40" s="837">
        <f t="shared" si="7"/>
        <v>0</v>
      </c>
      <c r="F40" s="837">
        <v>0</v>
      </c>
      <c r="G40" s="837">
        <v>0</v>
      </c>
      <c r="H40" s="827">
        <f t="shared" si="6"/>
        <v>0</v>
      </c>
      <c r="I40" s="837">
        <v>0</v>
      </c>
      <c r="J40" s="837">
        <v>0</v>
      </c>
      <c r="K40" s="837">
        <f t="shared" si="3"/>
        <v>0</v>
      </c>
      <c r="L40" s="838">
        <v>0</v>
      </c>
      <c r="M40" s="838">
        <v>0</v>
      </c>
      <c r="N40" s="838">
        <v>0</v>
      </c>
      <c r="O40" s="838">
        <v>0</v>
      </c>
      <c r="P40" s="838">
        <v>0</v>
      </c>
      <c r="Q40" s="838">
        <v>0</v>
      </c>
      <c r="R40" s="838">
        <v>0</v>
      </c>
      <c r="S40" s="838">
        <v>0</v>
      </c>
      <c r="T40" s="833"/>
      <c r="V40" s="839"/>
      <c r="X40" s="829"/>
      <c r="Y40" s="829"/>
      <c r="AI40" s="834"/>
      <c r="AJ40" s="829"/>
    </row>
    <row r="41" spans="1:36" ht="24" x14ac:dyDescent="0.2">
      <c r="A41" s="2">
        <v>31</v>
      </c>
      <c r="B41" s="357" t="s">
        <v>75</v>
      </c>
      <c r="C41" s="383" t="s">
        <v>76</v>
      </c>
      <c r="D41" s="837">
        <f t="shared" si="5"/>
        <v>13394</v>
      </c>
      <c r="E41" s="837">
        <f t="shared" si="7"/>
        <v>554</v>
      </c>
      <c r="F41" s="837">
        <v>554</v>
      </c>
      <c r="G41" s="837">
        <v>0</v>
      </c>
      <c r="H41" s="827">
        <f t="shared" si="6"/>
        <v>3616</v>
      </c>
      <c r="I41" s="837">
        <v>3616</v>
      </c>
      <c r="J41" s="837">
        <v>0</v>
      </c>
      <c r="K41" s="837">
        <f t="shared" si="3"/>
        <v>9224</v>
      </c>
      <c r="L41" s="838">
        <v>915</v>
      </c>
      <c r="M41" s="838">
        <v>81</v>
      </c>
      <c r="N41" s="838">
        <v>1051</v>
      </c>
      <c r="O41" s="838">
        <v>5666</v>
      </c>
      <c r="P41" s="838">
        <v>300</v>
      </c>
      <c r="Q41" s="838">
        <v>1211</v>
      </c>
      <c r="R41" s="838">
        <v>0</v>
      </c>
      <c r="S41" s="838">
        <v>156</v>
      </c>
      <c r="T41" s="833"/>
      <c r="V41" s="839"/>
      <c r="X41" s="829"/>
      <c r="Y41" s="829"/>
      <c r="AI41" s="834"/>
      <c r="AJ41" s="829"/>
    </row>
    <row r="42" spans="1:36" x14ac:dyDescent="0.2">
      <c r="A42" s="380">
        <v>32</v>
      </c>
      <c r="B42" s="382" t="s">
        <v>77</v>
      </c>
      <c r="C42" s="381" t="s">
        <v>78</v>
      </c>
      <c r="D42" s="837">
        <f t="shared" si="5"/>
        <v>202332</v>
      </c>
      <c r="E42" s="837">
        <f t="shared" si="7"/>
        <v>19781</v>
      </c>
      <c r="F42" s="837">
        <v>4212</v>
      </c>
      <c r="G42" s="837">
        <v>15569</v>
      </c>
      <c r="H42" s="827">
        <f t="shared" si="6"/>
        <v>27782</v>
      </c>
      <c r="I42" s="837">
        <v>27487</v>
      </c>
      <c r="J42" s="837">
        <v>295</v>
      </c>
      <c r="K42" s="837">
        <f t="shared" si="3"/>
        <v>154769</v>
      </c>
      <c r="L42" s="838">
        <v>6954</v>
      </c>
      <c r="M42" s="838">
        <v>336</v>
      </c>
      <c r="N42" s="838">
        <v>21148</v>
      </c>
      <c r="O42" s="838">
        <v>48445</v>
      </c>
      <c r="P42" s="838">
        <v>12060</v>
      </c>
      <c r="Q42" s="838">
        <v>64975</v>
      </c>
      <c r="R42" s="838">
        <v>851</v>
      </c>
      <c r="S42" s="838">
        <v>18204</v>
      </c>
      <c r="T42" s="833"/>
      <c r="V42" s="839"/>
      <c r="X42" s="829"/>
      <c r="Y42" s="829"/>
      <c r="AI42" s="834"/>
      <c r="AJ42" s="829"/>
    </row>
    <row r="43" spans="1:36" x14ac:dyDescent="0.2">
      <c r="A43" s="2">
        <v>33</v>
      </c>
      <c r="B43" s="384" t="s">
        <v>79</v>
      </c>
      <c r="C43" s="385" t="s">
        <v>80</v>
      </c>
      <c r="D43" s="837">
        <f t="shared" si="5"/>
        <v>298340</v>
      </c>
      <c r="E43" s="837">
        <f t="shared" si="7"/>
        <v>32349</v>
      </c>
      <c r="F43" s="837">
        <v>5971</v>
      </c>
      <c r="G43" s="837">
        <v>26378</v>
      </c>
      <c r="H43" s="827">
        <f t="shared" si="6"/>
        <v>39254</v>
      </c>
      <c r="I43" s="837">
        <v>38964</v>
      </c>
      <c r="J43" s="837">
        <v>290</v>
      </c>
      <c r="K43" s="837">
        <f t="shared" si="3"/>
        <v>226737</v>
      </c>
      <c r="L43" s="838">
        <v>9858</v>
      </c>
      <c r="M43" s="838">
        <v>297</v>
      </c>
      <c r="N43" s="838">
        <v>44023</v>
      </c>
      <c r="O43" s="838">
        <v>78215</v>
      </c>
      <c r="P43" s="838">
        <v>22540</v>
      </c>
      <c r="Q43" s="838">
        <v>70079</v>
      </c>
      <c r="R43" s="838">
        <v>1725</v>
      </c>
      <c r="S43" s="838">
        <v>26101</v>
      </c>
      <c r="T43" s="833"/>
      <c r="V43" s="839"/>
      <c r="X43" s="829"/>
      <c r="Y43" s="829"/>
      <c r="AI43" s="834"/>
      <c r="AJ43" s="829"/>
    </row>
    <row r="44" spans="1:36" x14ac:dyDescent="0.2">
      <c r="A44" s="380">
        <v>34</v>
      </c>
      <c r="B44" s="382" t="s">
        <v>81</v>
      </c>
      <c r="C44" s="381" t="s">
        <v>82</v>
      </c>
      <c r="D44" s="837">
        <f t="shared" si="5"/>
        <v>56286</v>
      </c>
      <c r="E44" s="837">
        <f t="shared" si="7"/>
        <v>6523</v>
      </c>
      <c r="F44" s="837">
        <v>1184</v>
      </c>
      <c r="G44" s="837">
        <v>5339</v>
      </c>
      <c r="H44" s="827">
        <f t="shared" si="6"/>
        <v>7757</v>
      </c>
      <c r="I44" s="837">
        <v>7727</v>
      </c>
      <c r="J44" s="837">
        <v>30</v>
      </c>
      <c r="K44" s="837">
        <f t="shared" si="3"/>
        <v>42006</v>
      </c>
      <c r="L44" s="838">
        <v>1955</v>
      </c>
      <c r="M44" s="838">
        <v>183</v>
      </c>
      <c r="N44" s="838">
        <v>5060</v>
      </c>
      <c r="O44" s="838">
        <v>12837</v>
      </c>
      <c r="P44" s="838">
        <v>7025</v>
      </c>
      <c r="Q44" s="838">
        <v>14944</v>
      </c>
      <c r="R44" s="838">
        <v>2</v>
      </c>
      <c r="S44" s="838">
        <v>4276</v>
      </c>
      <c r="T44" s="833"/>
      <c r="V44" s="839"/>
      <c r="X44" s="829"/>
      <c r="Y44" s="829"/>
      <c r="AI44" s="834"/>
      <c r="AJ44" s="829"/>
    </row>
    <row r="45" spans="1:36" x14ac:dyDescent="0.2">
      <c r="A45" s="2">
        <v>35</v>
      </c>
      <c r="B45" s="357" t="s">
        <v>83</v>
      </c>
      <c r="C45" s="383" t="s">
        <v>84</v>
      </c>
      <c r="D45" s="837">
        <f t="shared" si="5"/>
        <v>199755</v>
      </c>
      <c r="E45" s="837">
        <f t="shared" si="7"/>
        <v>20748</v>
      </c>
      <c r="F45" s="837">
        <v>4048</v>
      </c>
      <c r="G45" s="837">
        <v>16700</v>
      </c>
      <c r="H45" s="827">
        <f t="shared" si="6"/>
        <v>26696</v>
      </c>
      <c r="I45" s="837">
        <v>26417</v>
      </c>
      <c r="J45" s="837">
        <v>279</v>
      </c>
      <c r="K45" s="837">
        <f t="shared" si="3"/>
        <v>152311</v>
      </c>
      <c r="L45" s="838">
        <v>6684</v>
      </c>
      <c r="M45" s="838">
        <v>318</v>
      </c>
      <c r="N45" s="838">
        <v>25961</v>
      </c>
      <c r="O45" s="838">
        <v>40347</v>
      </c>
      <c r="P45" s="838">
        <v>34180</v>
      </c>
      <c r="Q45" s="838">
        <v>43765</v>
      </c>
      <c r="R45" s="838">
        <v>1056</v>
      </c>
      <c r="S45" s="838">
        <v>16198</v>
      </c>
      <c r="T45" s="833"/>
      <c r="V45" s="839"/>
      <c r="X45" s="829"/>
      <c r="Y45" s="829"/>
      <c r="AI45" s="834"/>
      <c r="AJ45" s="829"/>
    </row>
    <row r="46" spans="1:36" ht="24" x14ac:dyDescent="0.2">
      <c r="A46" s="380">
        <v>36</v>
      </c>
      <c r="B46" s="382" t="s">
        <v>85</v>
      </c>
      <c r="C46" s="381" t="s">
        <v>86</v>
      </c>
      <c r="D46" s="837">
        <f t="shared" si="5"/>
        <v>74608</v>
      </c>
      <c r="E46" s="837">
        <f t="shared" si="7"/>
        <v>8720</v>
      </c>
      <c r="F46" s="837">
        <v>1546</v>
      </c>
      <c r="G46" s="837">
        <v>7174</v>
      </c>
      <c r="H46" s="827">
        <f t="shared" si="6"/>
        <v>10171</v>
      </c>
      <c r="I46" s="837">
        <v>10086</v>
      </c>
      <c r="J46" s="837">
        <v>85</v>
      </c>
      <c r="K46" s="837">
        <f t="shared" si="3"/>
        <v>55717</v>
      </c>
      <c r="L46" s="838">
        <v>2552</v>
      </c>
      <c r="M46" s="838">
        <v>480</v>
      </c>
      <c r="N46" s="838">
        <v>8655</v>
      </c>
      <c r="O46" s="838">
        <v>23286</v>
      </c>
      <c r="P46" s="838">
        <v>7791</v>
      </c>
      <c r="Q46" s="838">
        <v>11943</v>
      </c>
      <c r="R46" s="838">
        <v>1010</v>
      </c>
      <c r="S46" s="838">
        <v>6751</v>
      </c>
      <c r="T46" s="833"/>
      <c r="V46" s="839"/>
      <c r="X46" s="829"/>
      <c r="Y46" s="829"/>
      <c r="AI46" s="834"/>
      <c r="AJ46" s="829"/>
    </row>
    <row r="47" spans="1:36" x14ac:dyDescent="0.2">
      <c r="A47" s="2">
        <v>37</v>
      </c>
      <c r="B47" s="358" t="s">
        <v>87</v>
      </c>
      <c r="C47" s="381" t="s">
        <v>88</v>
      </c>
      <c r="D47" s="837">
        <f t="shared" si="5"/>
        <v>192311</v>
      </c>
      <c r="E47" s="837">
        <f t="shared" si="7"/>
        <v>21545</v>
      </c>
      <c r="F47" s="837">
        <v>4045</v>
      </c>
      <c r="G47" s="837">
        <v>17500</v>
      </c>
      <c r="H47" s="827">
        <f t="shared" si="6"/>
        <v>26698</v>
      </c>
      <c r="I47" s="837">
        <v>26395</v>
      </c>
      <c r="J47" s="837">
        <v>303</v>
      </c>
      <c r="K47" s="837">
        <f t="shared" si="3"/>
        <v>144068</v>
      </c>
      <c r="L47" s="838">
        <v>6678</v>
      </c>
      <c r="M47" s="838">
        <v>321</v>
      </c>
      <c r="N47" s="838">
        <v>22051</v>
      </c>
      <c r="O47" s="838">
        <v>65782</v>
      </c>
      <c r="P47" s="838">
        <v>6000</v>
      </c>
      <c r="Q47" s="838">
        <v>42021</v>
      </c>
      <c r="R47" s="838">
        <v>1215</v>
      </c>
      <c r="S47" s="838">
        <v>30682</v>
      </c>
      <c r="T47" s="833"/>
      <c r="V47" s="839"/>
      <c r="X47" s="829"/>
      <c r="Y47" s="829"/>
      <c r="AI47" s="834"/>
      <c r="AJ47" s="829"/>
    </row>
    <row r="48" spans="1:36" x14ac:dyDescent="0.2">
      <c r="A48" s="380">
        <v>38</v>
      </c>
      <c r="B48" s="386" t="s">
        <v>89</v>
      </c>
      <c r="C48" s="387" t="s">
        <v>90</v>
      </c>
      <c r="D48" s="837">
        <f t="shared" si="5"/>
        <v>66401</v>
      </c>
      <c r="E48" s="837">
        <f t="shared" si="7"/>
        <v>7260</v>
      </c>
      <c r="F48" s="837">
        <v>1420</v>
      </c>
      <c r="G48" s="837">
        <v>5840</v>
      </c>
      <c r="H48" s="827">
        <f t="shared" si="6"/>
        <v>9310</v>
      </c>
      <c r="I48" s="837">
        <v>9267</v>
      </c>
      <c r="J48" s="837">
        <v>43</v>
      </c>
      <c r="K48" s="837">
        <f t="shared" si="3"/>
        <v>49831</v>
      </c>
      <c r="L48" s="838">
        <v>2345</v>
      </c>
      <c r="M48" s="838">
        <v>93</v>
      </c>
      <c r="N48" s="838">
        <v>7860</v>
      </c>
      <c r="O48" s="838">
        <v>11721</v>
      </c>
      <c r="P48" s="838">
        <v>8350</v>
      </c>
      <c r="Q48" s="838">
        <v>19016</v>
      </c>
      <c r="R48" s="838">
        <v>446</v>
      </c>
      <c r="S48" s="838">
        <v>6892</v>
      </c>
      <c r="T48" s="833"/>
      <c r="V48" s="839"/>
      <c r="X48" s="829"/>
      <c r="Y48" s="829"/>
      <c r="AI48" s="834"/>
      <c r="AJ48" s="829"/>
    </row>
    <row r="49" spans="1:36" ht="24" x14ac:dyDescent="0.2">
      <c r="A49" s="2">
        <v>39</v>
      </c>
      <c r="B49" s="358" t="s">
        <v>91</v>
      </c>
      <c r="C49" s="381" t="s">
        <v>92</v>
      </c>
      <c r="D49" s="837">
        <f t="shared" si="5"/>
        <v>40305</v>
      </c>
      <c r="E49" s="837">
        <f t="shared" si="7"/>
        <v>3896</v>
      </c>
      <c r="F49" s="837">
        <v>917</v>
      </c>
      <c r="G49" s="837">
        <v>2979</v>
      </c>
      <c r="H49" s="827">
        <f t="shared" si="6"/>
        <v>6116</v>
      </c>
      <c r="I49" s="837">
        <v>5981</v>
      </c>
      <c r="J49" s="837">
        <v>135</v>
      </c>
      <c r="K49" s="837">
        <f t="shared" si="3"/>
        <v>30293</v>
      </c>
      <c r="L49" s="838">
        <v>1513</v>
      </c>
      <c r="M49" s="838">
        <v>141</v>
      </c>
      <c r="N49" s="838">
        <v>5072</v>
      </c>
      <c r="O49" s="838">
        <v>9052</v>
      </c>
      <c r="P49" s="838">
        <v>2400</v>
      </c>
      <c r="Q49" s="838">
        <v>12114</v>
      </c>
      <c r="R49" s="838">
        <v>1</v>
      </c>
      <c r="S49" s="838">
        <v>7075</v>
      </c>
      <c r="T49" s="833"/>
      <c r="V49" s="839"/>
      <c r="X49" s="829"/>
      <c r="Y49" s="829"/>
      <c r="AI49" s="834"/>
      <c r="AJ49" s="829"/>
    </row>
    <row r="50" spans="1:36" x14ac:dyDescent="0.2">
      <c r="A50" s="380">
        <v>40</v>
      </c>
      <c r="B50" s="384" t="s">
        <v>93</v>
      </c>
      <c r="C50" s="385" t="s">
        <v>94</v>
      </c>
      <c r="D50" s="837">
        <f t="shared" si="5"/>
        <v>71375</v>
      </c>
      <c r="E50" s="837">
        <f t="shared" si="7"/>
        <v>7114</v>
      </c>
      <c r="F50" s="837">
        <v>1611</v>
      </c>
      <c r="G50" s="837">
        <v>5503</v>
      </c>
      <c r="H50" s="827">
        <f t="shared" si="6"/>
        <v>10608</v>
      </c>
      <c r="I50" s="837">
        <v>10511</v>
      </c>
      <c r="J50" s="837">
        <v>97</v>
      </c>
      <c r="K50" s="837">
        <f t="shared" si="3"/>
        <v>53653</v>
      </c>
      <c r="L50" s="838">
        <v>2659</v>
      </c>
      <c r="M50" s="838">
        <v>204</v>
      </c>
      <c r="N50" s="838">
        <v>15379</v>
      </c>
      <c r="O50" s="838">
        <v>17613</v>
      </c>
      <c r="P50" s="838">
        <v>1400</v>
      </c>
      <c r="Q50" s="838">
        <v>16396</v>
      </c>
      <c r="R50" s="838">
        <v>2</v>
      </c>
      <c r="S50" s="838">
        <v>11151</v>
      </c>
      <c r="T50" s="833"/>
      <c r="V50" s="839"/>
      <c r="X50" s="829"/>
      <c r="Y50" s="829"/>
      <c r="AI50" s="834"/>
      <c r="AJ50" s="829"/>
    </row>
    <row r="51" spans="1:36" x14ac:dyDescent="0.2">
      <c r="A51" s="2">
        <v>41</v>
      </c>
      <c r="B51" s="357" t="s">
        <v>95</v>
      </c>
      <c r="C51" s="383" t="s">
        <v>96</v>
      </c>
      <c r="D51" s="837">
        <f t="shared" si="5"/>
        <v>32476</v>
      </c>
      <c r="E51" s="837">
        <f t="shared" si="7"/>
        <v>2879</v>
      </c>
      <c r="F51" s="837">
        <v>767</v>
      </c>
      <c r="G51" s="837">
        <v>2112</v>
      </c>
      <c r="H51" s="827">
        <f t="shared" si="6"/>
        <v>5065</v>
      </c>
      <c r="I51" s="837">
        <v>5005</v>
      </c>
      <c r="J51" s="837">
        <v>60</v>
      </c>
      <c r="K51" s="837">
        <f t="shared" si="3"/>
        <v>24532</v>
      </c>
      <c r="L51" s="838">
        <v>1266</v>
      </c>
      <c r="M51" s="838">
        <v>81</v>
      </c>
      <c r="N51" s="838">
        <v>4501</v>
      </c>
      <c r="O51" s="838">
        <v>7628</v>
      </c>
      <c r="P51" s="838">
        <v>4032</v>
      </c>
      <c r="Q51" s="838">
        <v>7023</v>
      </c>
      <c r="R51" s="838">
        <v>1</v>
      </c>
      <c r="S51" s="838">
        <v>4778</v>
      </c>
      <c r="T51" s="833"/>
      <c r="V51" s="839"/>
      <c r="X51" s="829"/>
      <c r="Y51" s="829"/>
      <c r="AI51" s="834"/>
      <c r="AJ51" s="829"/>
    </row>
    <row r="52" spans="1:36" x14ac:dyDescent="0.2">
      <c r="A52" s="380">
        <v>42</v>
      </c>
      <c r="B52" s="382" t="s">
        <v>97</v>
      </c>
      <c r="C52" s="381" t="s">
        <v>98</v>
      </c>
      <c r="D52" s="837">
        <f t="shared" si="5"/>
        <v>26710</v>
      </c>
      <c r="E52" s="837">
        <f t="shared" si="7"/>
        <v>1091</v>
      </c>
      <c r="F52" s="837">
        <v>1091</v>
      </c>
      <c r="G52" s="837">
        <v>0</v>
      </c>
      <c r="H52" s="827">
        <f t="shared" si="6"/>
        <v>7119</v>
      </c>
      <c r="I52" s="837">
        <v>7119</v>
      </c>
      <c r="J52" s="837">
        <v>0</v>
      </c>
      <c r="K52" s="837">
        <f t="shared" si="3"/>
        <v>18500</v>
      </c>
      <c r="L52" s="838">
        <v>1801</v>
      </c>
      <c r="M52" s="838">
        <v>618</v>
      </c>
      <c r="N52" s="838">
        <v>3669</v>
      </c>
      <c r="O52" s="838">
        <v>9262</v>
      </c>
      <c r="P52" s="838">
        <v>0</v>
      </c>
      <c r="Q52" s="838">
        <v>3150</v>
      </c>
      <c r="R52" s="838">
        <v>0</v>
      </c>
      <c r="S52" s="838">
        <v>1380</v>
      </c>
      <c r="T52" s="833"/>
      <c r="V52" s="839"/>
      <c r="X52" s="829"/>
      <c r="Y52" s="829"/>
      <c r="AI52" s="834"/>
      <c r="AJ52" s="829"/>
    </row>
    <row r="53" spans="1:36" ht="24" x14ac:dyDescent="0.2">
      <c r="A53" s="2">
        <v>43</v>
      </c>
      <c r="B53" s="357" t="s">
        <v>99</v>
      </c>
      <c r="C53" s="383" t="s">
        <v>100</v>
      </c>
      <c r="D53" s="837">
        <f t="shared" si="5"/>
        <v>271038</v>
      </c>
      <c r="E53" s="837">
        <f t="shared" si="7"/>
        <v>28442</v>
      </c>
      <c r="F53" s="837">
        <v>5112</v>
      </c>
      <c r="G53" s="837">
        <v>23330</v>
      </c>
      <c r="H53" s="827">
        <f t="shared" si="6"/>
        <v>33708</v>
      </c>
      <c r="I53" s="837">
        <v>33357</v>
      </c>
      <c r="J53" s="837">
        <v>351</v>
      </c>
      <c r="K53" s="837">
        <f t="shared" si="3"/>
        <v>208888</v>
      </c>
      <c r="L53" s="838">
        <v>8439</v>
      </c>
      <c r="M53" s="838">
        <v>750</v>
      </c>
      <c r="N53" s="838">
        <v>26876</v>
      </c>
      <c r="O53" s="838">
        <v>70724</v>
      </c>
      <c r="P53" s="838">
        <v>19718</v>
      </c>
      <c r="Q53" s="838">
        <v>82024</v>
      </c>
      <c r="R53" s="838">
        <v>357</v>
      </c>
      <c r="S53" s="838">
        <v>30550</v>
      </c>
      <c r="T53" s="833"/>
      <c r="V53" s="839"/>
      <c r="X53" s="829"/>
      <c r="Y53" s="829"/>
      <c r="AI53" s="834"/>
      <c r="AJ53" s="829"/>
    </row>
    <row r="54" spans="1:36" x14ac:dyDescent="0.2">
      <c r="A54" s="380">
        <v>44</v>
      </c>
      <c r="B54" s="358" t="s">
        <v>101</v>
      </c>
      <c r="C54" s="381" t="s">
        <v>102</v>
      </c>
      <c r="D54" s="837">
        <f t="shared" si="5"/>
        <v>59555</v>
      </c>
      <c r="E54" s="837">
        <f t="shared" si="7"/>
        <v>5953</v>
      </c>
      <c r="F54" s="837">
        <v>1333</v>
      </c>
      <c r="G54" s="837">
        <v>4620</v>
      </c>
      <c r="H54" s="827">
        <f t="shared" si="6"/>
        <v>8816</v>
      </c>
      <c r="I54" s="837">
        <v>8701</v>
      </c>
      <c r="J54" s="837">
        <v>115</v>
      </c>
      <c r="K54" s="837">
        <f t="shared" si="3"/>
        <v>44786</v>
      </c>
      <c r="L54" s="838">
        <v>2201</v>
      </c>
      <c r="M54" s="838">
        <v>162</v>
      </c>
      <c r="N54" s="838">
        <v>9160</v>
      </c>
      <c r="O54" s="838">
        <v>16456</v>
      </c>
      <c r="P54" s="838">
        <v>7396</v>
      </c>
      <c r="Q54" s="838">
        <v>9407</v>
      </c>
      <c r="R54" s="838">
        <v>4</v>
      </c>
      <c r="S54" s="838">
        <v>7669</v>
      </c>
      <c r="T54" s="833"/>
      <c r="V54" s="839"/>
      <c r="X54" s="829"/>
      <c r="Y54" s="829"/>
      <c r="AI54" s="834"/>
      <c r="AJ54" s="829"/>
    </row>
    <row r="55" spans="1:36" x14ac:dyDescent="0.2">
      <c r="A55" s="2">
        <v>45</v>
      </c>
      <c r="B55" s="358" t="s">
        <v>103</v>
      </c>
      <c r="C55" s="381" t="s">
        <v>104</v>
      </c>
      <c r="D55" s="837">
        <f t="shared" si="5"/>
        <v>205129</v>
      </c>
      <c r="E55" s="837">
        <f t="shared" si="7"/>
        <v>21606</v>
      </c>
      <c r="F55" s="837">
        <v>4353</v>
      </c>
      <c r="G55" s="837">
        <v>17253</v>
      </c>
      <c r="H55" s="827">
        <f t="shared" si="6"/>
        <v>28566</v>
      </c>
      <c r="I55" s="837">
        <v>28405</v>
      </c>
      <c r="J55" s="837">
        <v>161</v>
      </c>
      <c r="K55" s="837">
        <f t="shared" si="3"/>
        <v>154957</v>
      </c>
      <c r="L55" s="838">
        <v>7186</v>
      </c>
      <c r="M55" s="838">
        <v>822</v>
      </c>
      <c r="N55" s="838">
        <v>13589</v>
      </c>
      <c r="O55" s="838">
        <v>71509</v>
      </c>
      <c r="P55" s="838">
        <v>5084</v>
      </c>
      <c r="Q55" s="838">
        <v>55068</v>
      </c>
      <c r="R55" s="838">
        <v>1699</v>
      </c>
      <c r="S55" s="838">
        <v>11826</v>
      </c>
      <c r="T55" s="833"/>
      <c r="V55" s="839"/>
      <c r="X55" s="829"/>
      <c r="Y55" s="829"/>
      <c r="AI55" s="834"/>
      <c r="AJ55" s="829"/>
    </row>
    <row r="56" spans="1:36" x14ac:dyDescent="0.2">
      <c r="A56" s="380">
        <v>46</v>
      </c>
      <c r="B56" s="357" t="s">
        <v>105</v>
      </c>
      <c r="C56" s="383" t="s">
        <v>106</v>
      </c>
      <c r="D56" s="837">
        <f t="shared" si="5"/>
        <v>45435</v>
      </c>
      <c r="E56" s="837">
        <f t="shared" si="7"/>
        <v>5026</v>
      </c>
      <c r="F56" s="837">
        <v>996</v>
      </c>
      <c r="G56" s="837">
        <v>4030</v>
      </c>
      <c r="H56" s="827">
        <f t="shared" si="6"/>
        <v>6662</v>
      </c>
      <c r="I56" s="837">
        <v>6501</v>
      </c>
      <c r="J56" s="837">
        <v>161</v>
      </c>
      <c r="K56" s="837">
        <f t="shared" si="3"/>
        <v>33747</v>
      </c>
      <c r="L56" s="838">
        <v>1645</v>
      </c>
      <c r="M56" s="838">
        <v>216</v>
      </c>
      <c r="N56" s="838">
        <v>5263</v>
      </c>
      <c r="O56" s="838">
        <v>11768</v>
      </c>
      <c r="P56" s="838">
        <v>2742</v>
      </c>
      <c r="Q56" s="838">
        <v>12112</v>
      </c>
      <c r="R56" s="838">
        <v>1</v>
      </c>
      <c r="S56" s="838">
        <v>6876</v>
      </c>
      <c r="T56" s="833"/>
      <c r="V56" s="839"/>
      <c r="X56" s="829"/>
      <c r="Y56" s="829"/>
      <c r="AI56" s="834"/>
      <c r="AJ56" s="829"/>
    </row>
    <row r="57" spans="1:36" ht="24" x14ac:dyDescent="0.2">
      <c r="A57" s="2">
        <v>47</v>
      </c>
      <c r="B57" s="357" t="s">
        <v>107</v>
      </c>
      <c r="C57" s="383" t="s">
        <v>108</v>
      </c>
      <c r="D57" s="837">
        <f t="shared" si="5"/>
        <v>73118</v>
      </c>
      <c r="E57" s="837">
        <f t="shared" si="7"/>
        <v>7616</v>
      </c>
      <c r="F57" s="837">
        <v>1540</v>
      </c>
      <c r="G57" s="837">
        <v>6076</v>
      </c>
      <c r="H57" s="827">
        <f t="shared" si="6"/>
        <v>10205</v>
      </c>
      <c r="I57" s="837">
        <v>10050</v>
      </c>
      <c r="J57" s="837">
        <v>155</v>
      </c>
      <c r="K57" s="837">
        <f t="shared" si="3"/>
        <v>55297</v>
      </c>
      <c r="L57" s="838">
        <v>2543</v>
      </c>
      <c r="M57" s="838">
        <v>474</v>
      </c>
      <c r="N57" s="838">
        <v>13597</v>
      </c>
      <c r="O57" s="838">
        <v>14490</v>
      </c>
      <c r="P57" s="838">
        <v>2650</v>
      </c>
      <c r="Q57" s="838">
        <v>21540</v>
      </c>
      <c r="R57" s="838">
        <v>3</v>
      </c>
      <c r="S57" s="838">
        <v>10643</v>
      </c>
      <c r="T57" s="833"/>
      <c r="V57" s="839"/>
      <c r="X57" s="829"/>
      <c r="Y57" s="829"/>
      <c r="AI57" s="834"/>
      <c r="AJ57" s="829"/>
    </row>
    <row r="58" spans="1:36" ht="24" x14ac:dyDescent="0.2">
      <c r="A58" s="380">
        <v>48</v>
      </c>
      <c r="B58" s="382" t="s">
        <v>109</v>
      </c>
      <c r="C58" s="381" t="s">
        <v>110</v>
      </c>
      <c r="D58" s="837">
        <f t="shared" si="5"/>
        <v>85536</v>
      </c>
      <c r="E58" s="837">
        <f t="shared" si="7"/>
        <v>9462</v>
      </c>
      <c r="F58" s="837">
        <v>1828</v>
      </c>
      <c r="G58" s="837">
        <v>7634</v>
      </c>
      <c r="H58" s="827">
        <f t="shared" si="6"/>
        <v>12027</v>
      </c>
      <c r="I58" s="837">
        <v>11927</v>
      </c>
      <c r="J58" s="837">
        <v>100</v>
      </c>
      <c r="K58" s="837">
        <f t="shared" si="3"/>
        <v>64047</v>
      </c>
      <c r="L58" s="838">
        <v>3018</v>
      </c>
      <c r="M58" s="838">
        <v>339</v>
      </c>
      <c r="N58" s="838">
        <v>11622</v>
      </c>
      <c r="O58" s="838">
        <v>36780</v>
      </c>
      <c r="P58" s="838">
        <v>0</v>
      </c>
      <c r="Q58" s="838">
        <v>12282</v>
      </c>
      <c r="R58" s="838">
        <v>6</v>
      </c>
      <c r="S58" s="838">
        <v>10150</v>
      </c>
      <c r="T58" s="833"/>
      <c r="V58" s="839"/>
      <c r="X58" s="829"/>
      <c r="Y58" s="829"/>
      <c r="AI58" s="834"/>
      <c r="AJ58" s="829"/>
    </row>
    <row r="59" spans="1:36" x14ac:dyDescent="0.2">
      <c r="A59" s="2">
        <v>49</v>
      </c>
      <c r="B59" s="357" t="s">
        <v>111</v>
      </c>
      <c r="C59" s="383" t="s">
        <v>112</v>
      </c>
      <c r="D59" s="837">
        <f t="shared" si="5"/>
        <v>28468</v>
      </c>
      <c r="E59" s="837">
        <f t="shared" si="7"/>
        <v>2657</v>
      </c>
      <c r="F59" s="837">
        <v>658</v>
      </c>
      <c r="G59" s="837">
        <v>1999</v>
      </c>
      <c r="H59" s="827">
        <f t="shared" si="6"/>
        <v>4330</v>
      </c>
      <c r="I59" s="837">
        <v>4291</v>
      </c>
      <c r="J59" s="837">
        <v>39</v>
      </c>
      <c r="K59" s="837">
        <f t="shared" si="3"/>
        <v>21481</v>
      </c>
      <c r="L59" s="838">
        <v>1086</v>
      </c>
      <c r="M59" s="838">
        <v>162</v>
      </c>
      <c r="N59" s="838">
        <v>6576</v>
      </c>
      <c r="O59" s="838">
        <v>4066</v>
      </c>
      <c r="P59" s="838">
        <v>317</v>
      </c>
      <c r="Q59" s="838">
        <v>9273</v>
      </c>
      <c r="R59" s="838">
        <v>1</v>
      </c>
      <c r="S59" s="838">
        <v>3976</v>
      </c>
      <c r="T59" s="833"/>
      <c r="V59" s="839"/>
      <c r="X59" s="829"/>
      <c r="Y59" s="829"/>
      <c r="AI59" s="834"/>
      <c r="AJ59" s="829"/>
    </row>
    <row r="60" spans="1:36" x14ac:dyDescent="0.2">
      <c r="A60" s="380">
        <v>50</v>
      </c>
      <c r="B60" s="382" t="s">
        <v>113</v>
      </c>
      <c r="C60" s="381" t="s">
        <v>114</v>
      </c>
      <c r="D60" s="837">
        <f t="shared" si="5"/>
        <v>58748</v>
      </c>
      <c r="E60" s="837">
        <f t="shared" si="7"/>
        <v>6232</v>
      </c>
      <c r="F60" s="837">
        <v>1242</v>
      </c>
      <c r="G60" s="837">
        <v>4990</v>
      </c>
      <c r="H60" s="827">
        <f t="shared" si="6"/>
        <v>8122</v>
      </c>
      <c r="I60" s="837">
        <v>8102</v>
      </c>
      <c r="J60" s="837">
        <v>20</v>
      </c>
      <c r="K60" s="837">
        <f t="shared" si="3"/>
        <v>44394</v>
      </c>
      <c r="L60" s="838">
        <v>2050</v>
      </c>
      <c r="M60" s="838">
        <v>306</v>
      </c>
      <c r="N60" s="838">
        <v>8420</v>
      </c>
      <c r="O60" s="838">
        <v>15900</v>
      </c>
      <c r="P60" s="838">
        <v>4940</v>
      </c>
      <c r="Q60" s="838">
        <v>12071</v>
      </c>
      <c r="R60" s="838">
        <v>707</v>
      </c>
      <c r="S60" s="838">
        <v>5429</v>
      </c>
      <c r="T60" s="833"/>
      <c r="V60" s="839"/>
      <c r="X60" s="829"/>
      <c r="Y60" s="829"/>
      <c r="AI60" s="834"/>
      <c r="AJ60" s="829"/>
    </row>
    <row r="61" spans="1:36" x14ac:dyDescent="0.2">
      <c r="A61" s="2">
        <v>51</v>
      </c>
      <c r="B61" s="357" t="s">
        <v>115</v>
      </c>
      <c r="C61" s="383" t="s">
        <v>116</v>
      </c>
      <c r="D61" s="837">
        <f t="shared" si="5"/>
        <v>85392</v>
      </c>
      <c r="E61" s="837">
        <f t="shared" si="7"/>
        <v>9143</v>
      </c>
      <c r="F61" s="837">
        <v>1871</v>
      </c>
      <c r="G61" s="837">
        <v>7272</v>
      </c>
      <c r="H61" s="827">
        <f t="shared" si="6"/>
        <v>12278</v>
      </c>
      <c r="I61" s="837">
        <v>12211</v>
      </c>
      <c r="J61" s="837">
        <v>67</v>
      </c>
      <c r="K61" s="837">
        <f t="shared" si="3"/>
        <v>63971</v>
      </c>
      <c r="L61" s="838">
        <v>3089</v>
      </c>
      <c r="M61" s="838">
        <v>579</v>
      </c>
      <c r="N61" s="838">
        <v>16764</v>
      </c>
      <c r="O61" s="838">
        <v>16099</v>
      </c>
      <c r="P61" s="838">
        <v>3360</v>
      </c>
      <c r="Q61" s="838">
        <v>24077</v>
      </c>
      <c r="R61" s="838">
        <v>3</v>
      </c>
      <c r="S61" s="838">
        <v>12912</v>
      </c>
      <c r="T61" s="833"/>
      <c r="V61" s="839"/>
      <c r="X61" s="829"/>
      <c r="Y61" s="829"/>
      <c r="AI61" s="834"/>
      <c r="AJ61" s="829"/>
    </row>
    <row r="62" spans="1:36" x14ac:dyDescent="0.2">
      <c r="A62" s="380">
        <v>52</v>
      </c>
      <c r="B62" s="357" t="s">
        <v>117</v>
      </c>
      <c r="C62" s="383" t="s">
        <v>118</v>
      </c>
      <c r="D62" s="837">
        <f t="shared" si="5"/>
        <v>305187</v>
      </c>
      <c r="E62" s="837">
        <f t="shared" si="7"/>
        <v>33749</v>
      </c>
      <c r="F62" s="837">
        <v>6295</v>
      </c>
      <c r="G62" s="837">
        <v>27454</v>
      </c>
      <c r="H62" s="827">
        <f t="shared" si="6"/>
        <v>41611</v>
      </c>
      <c r="I62" s="837">
        <v>41075</v>
      </c>
      <c r="J62" s="837">
        <v>536</v>
      </c>
      <c r="K62" s="837">
        <f t="shared" si="3"/>
        <v>229827</v>
      </c>
      <c r="L62" s="838">
        <v>10392</v>
      </c>
      <c r="M62" s="838">
        <v>429</v>
      </c>
      <c r="N62" s="838">
        <v>34555</v>
      </c>
      <c r="O62" s="838">
        <v>99832</v>
      </c>
      <c r="P62" s="838">
        <v>16336</v>
      </c>
      <c r="Q62" s="838">
        <v>66434</v>
      </c>
      <c r="R62" s="838">
        <v>1849</v>
      </c>
      <c r="S62" s="838">
        <v>35668</v>
      </c>
      <c r="T62" s="833"/>
      <c r="V62" s="839"/>
      <c r="X62" s="829"/>
      <c r="Y62" s="829"/>
      <c r="AI62" s="834"/>
      <c r="AJ62" s="829"/>
    </row>
    <row r="63" spans="1:36" x14ac:dyDescent="0.2">
      <c r="A63" s="2">
        <v>53</v>
      </c>
      <c r="B63" s="357" t="s">
        <v>119</v>
      </c>
      <c r="C63" s="383" t="s">
        <v>120</v>
      </c>
      <c r="D63" s="837">
        <f t="shared" si="5"/>
        <v>46697</v>
      </c>
      <c r="E63" s="837">
        <f t="shared" si="7"/>
        <v>5041</v>
      </c>
      <c r="F63" s="837">
        <v>1040</v>
      </c>
      <c r="G63" s="837">
        <v>4001</v>
      </c>
      <c r="H63" s="827">
        <f t="shared" si="6"/>
        <v>6870</v>
      </c>
      <c r="I63" s="837">
        <v>6785</v>
      </c>
      <c r="J63" s="837">
        <v>85</v>
      </c>
      <c r="K63" s="837">
        <f t="shared" si="3"/>
        <v>34786</v>
      </c>
      <c r="L63" s="838">
        <v>1717</v>
      </c>
      <c r="M63" s="838">
        <v>117</v>
      </c>
      <c r="N63" s="838">
        <v>5891</v>
      </c>
      <c r="O63" s="838">
        <v>7472</v>
      </c>
      <c r="P63" s="838">
        <v>3951</v>
      </c>
      <c r="Q63" s="838">
        <v>15636</v>
      </c>
      <c r="R63" s="838">
        <v>2</v>
      </c>
      <c r="S63" s="838">
        <v>5969</v>
      </c>
      <c r="T63" s="833"/>
      <c r="V63" s="839"/>
      <c r="X63" s="829"/>
      <c r="Y63" s="829"/>
      <c r="AI63" s="834"/>
      <c r="AJ63" s="829"/>
    </row>
    <row r="64" spans="1:36" ht="24" x14ac:dyDescent="0.2">
      <c r="A64" s="380">
        <v>54</v>
      </c>
      <c r="B64" s="357" t="s">
        <v>121</v>
      </c>
      <c r="C64" s="383" t="s">
        <v>122</v>
      </c>
      <c r="D64" s="837">
        <f t="shared" si="5"/>
        <v>0</v>
      </c>
      <c r="E64" s="837">
        <f t="shared" si="7"/>
        <v>0</v>
      </c>
      <c r="F64" s="837">
        <v>0</v>
      </c>
      <c r="G64" s="837">
        <v>0</v>
      </c>
      <c r="H64" s="827">
        <f t="shared" si="6"/>
        <v>0</v>
      </c>
      <c r="I64" s="837">
        <v>0</v>
      </c>
      <c r="J64" s="837">
        <v>0</v>
      </c>
      <c r="K64" s="837">
        <f t="shared" si="3"/>
        <v>0</v>
      </c>
      <c r="L64" s="838">
        <v>0</v>
      </c>
      <c r="M64" s="838">
        <v>0</v>
      </c>
      <c r="N64" s="838">
        <v>0</v>
      </c>
      <c r="O64" s="838">
        <v>0</v>
      </c>
      <c r="P64" s="838">
        <v>0</v>
      </c>
      <c r="Q64" s="838">
        <v>0</v>
      </c>
      <c r="R64" s="838">
        <v>0</v>
      </c>
      <c r="S64" s="838">
        <v>0</v>
      </c>
      <c r="T64" s="833"/>
      <c r="V64" s="839"/>
      <c r="X64" s="829"/>
      <c r="Y64" s="829"/>
      <c r="AI64" s="834"/>
      <c r="AJ64" s="829"/>
    </row>
    <row r="65" spans="1:36" x14ac:dyDescent="0.2">
      <c r="A65" s="2">
        <v>55</v>
      </c>
      <c r="B65" s="357" t="s">
        <v>123</v>
      </c>
      <c r="C65" s="383" t="s">
        <v>124</v>
      </c>
      <c r="D65" s="837">
        <f t="shared" si="5"/>
        <v>0</v>
      </c>
      <c r="E65" s="837">
        <f t="shared" si="7"/>
        <v>0</v>
      </c>
      <c r="F65" s="837">
        <v>0</v>
      </c>
      <c r="G65" s="837">
        <v>0</v>
      </c>
      <c r="H65" s="827">
        <f t="shared" si="6"/>
        <v>0</v>
      </c>
      <c r="I65" s="837">
        <v>0</v>
      </c>
      <c r="J65" s="837">
        <v>0</v>
      </c>
      <c r="K65" s="837">
        <f t="shared" si="3"/>
        <v>0</v>
      </c>
      <c r="L65" s="838">
        <v>0</v>
      </c>
      <c r="M65" s="838">
        <v>0</v>
      </c>
      <c r="N65" s="838">
        <v>0</v>
      </c>
      <c r="O65" s="838">
        <v>0</v>
      </c>
      <c r="P65" s="838">
        <v>0</v>
      </c>
      <c r="Q65" s="838">
        <v>0</v>
      </c>
      <c r="R65" s="838">
        <v>0</v>
      </c>
      <c r="S65" s="838">
        <v>0</v>
      </c>
      <c r="T65" s="833"/>
      <c r="V65" s="839"/>
      <c r="X65" s="829"/>
      <c r="Y65" s="829"/>
      <c r="AI65" s="834"/>
      <c r="AJ65" s="829"/>
    </row>
    <row r="66" spans="1:36" ht="24" x14ac:dyDescent="0.2">
      <c r="A66" s="380">
        <v>56</v>
      </c>
      <c r="B66" s="809" t="s">
        <v>125</v>
      </c>
      <c r="C66" s="385" t="s">
        <v>126</v>
      </c>
      <c r="D66" s="837">
        <f t="shared" si="5"/>
        <v>0</v>
      </c>
      <c r="E66" s="837">
        <f t="shared" si="7"/>
        <v>0</v>
      </c>
      <c r="F66" s="837">
        <v>0</v>
      </c>
      <c r="G66" s="837">
        <v>0</v>
      </c>
      <c r="H66" s="827">
        <f t="shared" si="6"/>
        <v>0</v>
      </c>
      <c r="I66" s="837">
        <v>0</v>
      </c>
      <c r="J66" s="837">
        <v>0</v>
      </c>
      <c r="K66" s="837">
        <f t="shared" si="3"/>
        <v>0</v>
      </c>
      <c r="L66" s="838">
        <v>0</v>
      </c>
      <c r="M66" s="838">
        <v>0</v>
      </c>
      <c r="N66" s="838">
        <v>0</v>
      </c>
      <c r="O66" s="838">
        <v>0</v>
      </c>
      <c r="P66" s="838">
        <v>0</v>
      </c>
      <c r="Q66" s="838">
        <v>0</v>
      </c>
      <c r="R66" s="838">
        <v>0</v>
      </c>
      <c r="S66" s="838">
        <v>0</v>
      </c>
      <c r="T66" s="833"/>
      <c r="V66" s="839"/>
      <c r="X66" s="829"/>
      <c r="Y66" s="829"/>
      <c r="AI66" s="834"/>
      <c r="AJ66" s="829"/>
    </row>
    <row r="67" spans="1:36" ht="24" x14ac:dyDescent="0.2">
      <c r="A67" s="2">
        <v>57</v>
      </c>
      <c r="B67" s="357" t="s">
        <v>127</v>
      </c>
      <c r="C67" s="383" t="s">
        <v>128</v>
      </c>
      <c r="D67" s="837">
        <f t="shared" si="5"/>
        <v>181295</v>
      </c>
      <c r="E67" s="837">
        <f t="shared" si="7"/>
        <v>38900</v>
      </c>
      <c r="F67" s="837">
        <v>0</v>
      </c>
      <c r="G67" s="837">
        <v>38900</v>
      </c>
      <c r="H67" s="827">
        <f t="shared" si="6"/>
        <v>230</v>
      </c>
      <c r="I67" s="837">
        <v>0</v>
      </c>
      <c r="J67" s="837">
        <v>230</v>
      </c>
      <c r="K67" s="837">
        <f t="shared" si="3"/>
        <v>142165</v>
      </c>
      <c r="L67" s="838">
        <v>0</v>
      </c>
      <c r="M67" s="838">
        <v>0</v>
      </c>
      <c r="N67" s="838">
        <v>10107</v>
      </c>
      <c r="O67" s="838">
        <v>61210</v>
      </c>
      <c r="P67" s="838">
        <v>0</v>
      </c>
      <c r="Q67" s="838">
        <v>70813</v>
      </c>
      <c r="R67" s="838">
        <v>35</v>
      </c>
      <c r="S67" s="838">
        <v>0</v>
      </c>
      <c r="T67" s="833"/>
      <c r="V67" s="839"/>
      <c r="X67" s="829"/>
      <c r="Y67" s="829"/>
      <c r="AI67" s="834"/>
      <c r="AJ67" s="829"/>
    </row>
    <row r="68" spans="1:36" ht="24" x14ac:dyDescent="0.2">
      <c r="A68" s="380">
        <v>58</v>
      </c>
      <c r="B68" s="382" t="s">
        <v>129</v>
      </c>
      <c r="C68" s="383" t="s">
        <v>130</v>
      </c>
      <c r="D68" s="837">
        <f t="shared" si="5"/>
        <v>145380</v>
      </c>
      <c r="E68" s="837">
        <f t="shared" si="7"/>
        <v>30362</v>
      </c>
      <c r="F68" s="837">
        <v>0</v>
      </c>
      <c r="G68" s="837">
        <v>30362</v>
      </c>
      <c r="H68" s="827">
        <f t="shared" si="6"/>
        <v>388</v>
      </c>
      <c r="I68" s="837">
        <v>0</v>
      </c>
      <c r="J68" s="837">
        <v>388</v>
      </c>
      <c r="K68" s="837">
        <f t="shared" si="3"/>
        <v>114630</v>
      </c>
      <c r="L68" s="838">
        <v>0</v>
      </c>
      <c r="M68" s="838">
        <v>0</v>
      </c>
      <c r="N68" s="838">
        <v>11348</v>
      </c>
      <c r="O68" s="838">
        <v>54395</v>
      </c>
      <c r="P68" s="838">
        <v>0</v>
      </c>
      <c r="Q68" s="838">
        <v>48850</v>
      </c>
      <c r="R68" s="838">
        <v>37</v>
      </c>
      <c r="S68" s="838">
        <v>0</v>
      </c>
      <c r="T68" s="833"/>
      <c r="V68" s="839"/>
      <c r="X68" s="829"/>
      <c r="Y68" s="829"/>
      <c r="AI68" s="834"/>
      <c r="AJ68" s="829"/>
    </row>
    <row r="69" spans="1:36" ht="24" x14ac:dyDescent="0.2">
      <c r="A69" s="2">
        <v>59</v>
      </c>
      <c r="B69" s="384" t="s">
        <v>131</v>
      </c>
      <c r="C69" s="385" t="s">
        <v>132</v>
      </c>
      <c r="D69" s="837">
        <f t="shared" si="5"/>
        <v>205742</v>
      </c>
      <c r="E69" s="837">
        <f t="shared" si="7"/>
        <v>44999</v>
      </c>
      <c r="F69" s="837">
        <v>0</v>
      </c>
      <c r="G69" s="837">
        <v>44999</v>
      </c>
      <c r="H69" s="827">
        <f t="shared" si="6"/>
        <v>130</v>
      </c>
      <c r="I69" s="837">
        <v>0</v>
      </c>
      <c r="J69" s="837">
        <v>130</v>
      </c>
      <c r="K69" s="837">
        <f t="shared" si="3"/>
        <v>160613</v>
      </c>
      <c r="L69" s="838">
        <v>0</v>
      </c>
      <c r="M69" s="838">
        <v>0</v>
      </c>
      <c r="N69" s="838">
        <v>26055</v>
      </c>
      <c r="O69" s="838">
        <v>71864</v>
      </c>
      <c r="P69" s="838">
        <v>1600</v>
      </c>
      <c r="Q69" s="838">
        <v>61058</v>
      </c>
      <c r="R69" s="838">
        <v>36</v>
      </c>
      <c r="S69" s="838">
        <v>0</v>
      </c>
      <c r="T69" s="833"/>
      <c r="V69" s="839"/>
      <c r="X69" s="829"/>
      <c r="Y69" s="829"/>
      <c r="AI69" s="834"/>
      <c r="AJ69" s="829"/>
    </row>
    <row r="70" spans="1:36" ht="24" x14ac:dyDescent="0.2">
      <c r="A70" s="380">
        <v>60</v>
      </c>
      <c r="B70" s="382" t="s">
        <v>133</v>
      </c>
      <c r="C70" s="383" t="s">
        <v>134</v>
      </c>
      <c r="D70" s="837">
        <f t="shared" si="5"/>
        <v>266568</v>
      </c>
      <c r="E70" s="837">
        <f t="shared" si="7"/>
        <v>54933</v>
      </c>
      <c r="F70" s="837">
        <v>0</v>
      </c>
      <c r="G70" s="837">
        <v>54933</v>
      </c>
      <c r="H70" s="827">
        <f t="shared" si="6"/>
        <v>256</v>
      </c>
      <c r="I70" s="837">
        <v>0</v>
      </c>
      <c r="J70" s="837">
        <v>256</v>
      </c>
      <c r="K70" s="837">
        <f t="shared" si="3"/>
        <v>211379</v>
      </c>
      <c r="L70" s="838">
        <v>0</v>
      </c>
      <c r="M70" s="838">
        <v>0</v>
      </c>
      <c r="N70" s="838">
        <v>23694</v>
      </c>
      <c r="O70" s="838">
        <v>77238</v>
      </c>
      <c r="P70" s="838">
        <v>0</v>
      </c>
      <c r="Q70" s="838">
        <v>110392</v>
      </c>
      <c r="R70" s="838">
        <v>55</v>
      </c>
      <c r="S70" s="838">
        <v>0</v>
      </c>
      <c r="T70" s="833"/>
      <c r="V70" s="839"/>
      <c r="X70" s="829"/>
      <c r="Y70" s="829"/>
      <c r="AI70" s="834"/>
      <c r="AJ70" s="829"/>
    </row>
    <row r="71" spans="1:36" ht="24" x14ac:dyDescent="0.2">
      <c r="A71" s="2">
        <v>61</v>
      </c>
      <c r="B71" s="357" t="s">
        <v>135</v>
      </c>
      <c r="C71" s="383" t="s">
        <v>136</v>
      </c>
      <c r="D71" s="837">
        <f t="shared" si="5"/>
        <v>102001</v>
      </c>
      <c r="E71" s="837">
        <f t="shared" si="7"/>
        <v>21933</v>
      </c>
      <c r="F71" s="837">
        <v>0</v>
      </c>
      <c r="G71" s="837">
        <v>21933</v>
      </c>
      <c r="H71" s="827">
        <f t="shared" si="6"/>
        <v>81</v>
      </c>
      <c r="I71" s="837">
        <v>0</v>
      </c>
      <c r="J71" s="837">
        <v>81</v>
      </c>
      <c r="K71" s="837">
        <f t="shared" si="3"/>
        <v>79987</v>
      </c>
      <c r="L71" s="838">
        <v>0</v>
      </c>
      <c r="M71" s="838">
        <v>0</v>
      </c>
      <c r="N71" s="838">
        <v>11892</v>
      </c>
      <c r="O71" s="838">
        <v>43629</v>
      </c>
      <c r="P71" s="838">
        <v>0</v>
      </c>
      <c r="Q71" s="838">
        <v>24449</v>
      </c>
      <c r="R71" s="838">
        <v>17</v>
      </c>
      <c r="S71" s="838">
        <v>0</v>
      </c>
      <c r="T71" s="833"/>
      <c r="V71" s="839"/>
      <c r="X71" s="829"/>
      <c r="Y71" s="829"/>
      <c r="AI71" s="834"/>
      <c r="AJ71" s="829"/>
    </row>
    <row r="72" spans="1:36" ht="36" x14ac:dyDescent="0.2">
      <c r="A72" s="380">
        <v>62</v>
      </c>
      <c r="B72" s="358" t="s">
        <v>137</v>
      </c>
      <c r="C72" s="383" t="s">
        <v>138</v>
      </c>
      <c r="D72" s="837">
        <f t="shared" si="5"/>
        <v>41838</v>
      </c>
      <c r="E72" s="837">
        <f t="shared" si="7"/>
        <v>0</v>
      </c>
      <c r="F72" s="837">
        <v>0</v>
      </c>
      <c r="G72" s="837">
        <v>0</v>
      </c>
      <c r="H72" s="827">
        <f t="shared" si="6"/>
        <v>0</v>
      </c>
      <c r="I72" s="837">
        <v>0</v>
      </c>
      <c r="J72" s="837">
        <v>0</v>
      </c>
      <c r="K72" s="837">
        <f t="shared" si="3"/>
        <v>41838</v>
      </c>
      <c r="L72" s="838">
        <v>0</v>
      </c>
      <c r="M72" s="838">
        <v>0</v>
      </c>
      <c r="N72" s="838">
        <v>0</v>
      </c>
      <c r="O72" s="838">
        <v>35736</v>
      </c>
      <c r="P72" s="838">
        <v>6102</v>
      </c>
      <c r="Q72" s="838">
        <v>0</v>
      </c>
      <c r="R72" s="838">
        <v>0</v>
      </c>
      <c r="S72" s="838">
        <v>0</v>
      </c>
      <c r="T72" s="833"/>
      <c r="V72" s="839"/>
      <c r="X72" s="829"/>
      <c r="Y72" s="829"/>
      <c r="AI72" s="834"/>
      <c r="AJ72" s="829"/>
    </row>
    <row r="73" spans="1:36" ht="36" x14ac:dyDescent="0.2">
      <c r="A73" s="2">
        <v>63</v>
      </c>
      <c r="B73" s="358" t="s">
        <v>139</v>
      </c>
      <c r="C73" s="383" t="s">
        <v>140</v>
      </c>
      <c r="D73" s="837">
        <f t="shared" si="5"/>
        <v>34287</v>
      </c>
      <c r="E73" s="837">
        <f t="shared" si="7"/>
        <v>0</v>
      </c>
      <c r="F73" s="837">
        <v>0</v>
      </c>
      <c r="G73" s="837">
        <v>0</v>
      </c>
      <c r="H73" s="827">
        <f t="shared" si="6"/>
        <v>0</v>
      </c>
      <c r="I73" s="837">
        <v>0</v>
      </c>
      <c r="J73" s="837">
        <v>0</v>
      </c>
      <c r="K73" s="837">
        <f t="shared" si="3"/>
        <v>34287</v>
      </c>
      <c r="L73" s="838">
        <v>0</v>
      </c>
      <c r="M73" s="838">
        <v>0</v>
      </c>
      <c r="N73" s="838">
        <v>0</v>
      </c>
      <c r="O73" s="838">
        <v>15383</v>
      </c>
      <c r="P73" s="838">
        <v>18904</v>
      </c>
      <c r="Q73" s="838">
        <v>0</v>
      </c>
      <c r="R73" s="838">
        <v>0</v>
      </c>
      <c r="S73" s="838">
        <v>0</v>
      </c>
      <c r="T73" s="833"/>
      <c r="V73" s="839"/>
      <c r="X73" s="829"/>
      <c r="Y73" s="829"/>
      <c r="AI73" s="834"/>
      <c r="AJ73" s="829"/>
    </row>
    <row r="74" spans="1:36" ht="24" x14ac:dyDescent="0.2">
      <c r="A74" s="380">
        <v>64</v>
      </c>
      <c r="B74" s="382" t="s">
        <v>141</v>
      </c>
      <c r="C74" s="383" t="s">
        <v>142</v>
      </c>
      <c r="D74" s="837">
        <f t="shared" si="5"/>
        <v>133111</v>
      </c>
      <c r="E74" s="837">
        <f t="shared" si="7"/>
        <v>5132</v>
      </c>
      <c r="F74" s="837">
        <v>5132</v>
      </c>
      <c r="G74" s="837">
        <v>0</v>
      </c>
      <c r="H74" s="827">
        <f t="shared" si="6"/>
        <v>33492</v>
      </c>
      <c r="I74" s="837">
        <v>33492</v>
      </c>
      <c r="J74" s="837">
        <v>0</v>
      </c>
      <c r="K74" s="837">
        <f t="shared" si="3"/>
        <v>94487</v>
      </c>
      <c r="L74" s="838">
        <v>8473</v>
      </c>
      <c r="M74" s="838">
        <v>999</v>
      </c>
      <c r="N74" s="838">
        <v>22257</v>
      </c>
      <c r="O74" s="838">
        <v>50302</v>
      </c>
      <c r="P74" s="838">
        <v>0</v>
      </c>
      <c r="Q74" s="838">
        <v>10468</v>
      </c>
      <c r="R74" s="838">
        <v>1988</v>
      </c>
      <c r="S74" s="838">
        <v>26470</v>
      </c>
      <c r="T74" s="833"/>
      <c r="V74" s="839"/>
      <c r="X74" s="829"/>
      <c r="Y74" s="829"/>
      <c r="AI74" s="834"/>
      <c r="AJ74" s="829"/>
    </row>
    <row r="75" spans="1:36" ht="24" x14ac:dyDescent="0.2">
      <c r="A75" s="2">
        <v>65</v>
      </c>
      <c r="B75" s="382" t="s">
        <v>143</v>
      </c>
      <c r="C75" s="381" t="s">
        <v>144</v>
      </c>
      <c r="D75" s="837">
        <f t="shared" si="5"/>
        <v>100143</v>
      </c>
      <c r="E75" s="837">
        <f t="shared" si="7"/>
        <v>3223</v>
      </c>
      <c r="F75" s="837">
        <v>3223</v>
      </c>
      <c r="G75" s="837">
        <v>0</v>
      </c>
      <c r="H75" s="827">
        <f t="shared" si="6"/>
        <v>21031</v>
      </c>
      <c r="I75" s="837">
        <v>21031</v>
      </c>
      <c r="J75" s="837">
        <v>0</v>
      </c>
      <c r="K75" s="837">
        <f t="shared" ref="K75:K138" si="8">SUM(L75:R75)</f>
        <v>75889</v>
      </c>
      <c r="L75" s="838">
        <v>5321</v>
      </c>
      <c r="M75" s="838">
        <v>888</v>
      </c>
      <c r="N75" s="838">
        <v>41782</v>
      </c>
      <c r="O75" s="838">
        <v>9878</v>
      </c>
      <c r="P75" s="838">
        <v>0</v>
      </c>
      <c r="Q75" s="838">
        <v>16915</v>
      </c>
      <c r="R75" s="838">
        <v>1105</v>
      </c>
      <c r="S75" s="838">
        <v>30027</v>
      </c>
      <c r="T75" s="833"/>
      <c r="V75" s="839"/>
      <c r="X75" s="829"/>
      <c r="Y75" s="829"/>
      <c r="AI75" s="834"/>
      <c r="AJ75" s="829"/>
    </row>
    <row r="76" spans="1:36" ht="24" x14ac:dyDescent="0.2">
      <c r="A76" s="380">
        <v>66</v>
      </c>
      <c r="B76" s="382" t="s">
        <v>145</v>
      </c>
      <c r="C76" s="383" t="s">
        <v>146</v>
      </c>
      <c r="D76" s="837">
        <f t="shared" si="5"/>
        <v>174000</v>
      </c>
      <c r="E76" s="837">
        <f t="shared" si="7"/>
        <v>7069</v>
      </c>
      <c r="F76" s="837">
        <v>7069</v>
      </c>
      <c r="G76" s="837">
        <v>0</v>
      </c>
      <c r="H76" s="827">
        <f t="shared" si="6"/>
        <v>46129</v>
      </c>
      <c r="I76" s="837">
        <v>46129</v>
      </c>
      <c r="J76" s="837">
        <v>0</v>
      </c>
      <c r="K76" s="837">
        <f t="shared" si="8"/>
        <v>120802</v>
      </c>
      <c r="L76" s="838">
        <v>11671</v>
      </c>
      <c r="M76" s="838">
        <v>1353</v>
      </c>
      <c r="N76" s="838">
        <v>60904</v>
      </c>
      <c r="O76" s="838">
        <v>33956</v>
      </c>
      <c r="P76" s="838">
        <v>0</v>
      </c>
      <c r="Q76" s="838">
        <v>10970</v>
      </c>
      <c r="R76" s="838">
        <v>1948</v>
      </c>
      <c r="S76" s="838">
        <v>42131</v>
      </c>
      <c r="T76" s="833"/>
      <c r="V76" s="839"/>
      <c r="X76" s="829"/>
      <c r="Y76" s="829"/>
      <c r="AI76" s="834"/>
      <c r="AJ76" s="829"/>
    </row>
    <row r="77" spans="1:36" ht="24" x14ac:dyDescent="0.2">
      <c r="A77" s="2">
        <v>67</v>
      </c>
      <c r="B77" s="382" t="s">
        <v>147</v>
      </c>
      <c r="C77" s="383" t="s">
        <v>148</v>
      </c>
      <c r="D77" s="837">
        <f t="shared" si="5"/>
        <v>2496</v>
      </c>
      <c r="E77" s="837">
        <f t="shared" si="7"/>
        <v>0</v>
      </c>
      <c r="F77" s="837">
        <v>0</v>
      </c>
      <c r="G77" s="837">
        <v>0</v>
      </c>
      <c r="H77" s="827">
        <f t="shared" ref="H77:H94" si="9">I77+J77</f>
        <v>0</v>
      </c>
      <c r="I77" s="837">
        <v>0</v>
      </c>
      <c r="J77" s="837">
        <v>0</v>
      </c>
      <c r="K77" s="837">
        <f t="shared" si="8"/>
        <v>2496</v>
      </c>
      <c r="L77" s="838">
        <v>0</v>
      </c>
      <c r="M77" s="838">
        <v>0</v>
      </c>
      <c r="N77" s="838">
        <v>7</v>
      </c>
      <c r="O77" s="838">
        <v>1989</v>
      </c>
      <c r="P77" s="838">
        <v>200</v>
      </c>
      <c r="Q77" s="838">
        <v>300</v>
      </c>
      <c r="R77" s="838">
        <v>0</v>
      </c>
      <c r="S77" s="838">
        <v>7</v>
      </c>
      <c r="T77" s="833"/>
      <c r="V77" s="839"/>
      <c r="X77" s="829"/>
      <c r="Y77" s="829"/>
      <c r="AI77" s="834"/>
      <c r="AJ77" s="829"/>
    </row>
    <row r="78" spans="1:36" ht="24" x14ac:dyDescent="0.2">
      <c r="A78" s="380">
        <v>68</v>
      </c>
      <c r="B78" s="358" t="s">
        <v>149</v>
      </c>
      <c r="C78" s="383" t="s">
        <v>150</v>
      </c>
      <c r="D78" s="837">
        <f t="shared" si="5"/>
        <v>3831</v>
      </c>
      <c r="E78" s="837">
        <f t="shared" si="7"/>
        <v>0</v>
      </c>
      <c r="F78" s="837">
        <v>0</v>
      </c>
      <c r="G78" s="837">
        <v>0</v>
      </c>
      <c r="H78" s="827">
        <f t="shared" si="9"/>
        <v>0</v>
      </c>
      <c r="I78" s="837">
        <v>0</v>
      </c>
      <c r="J78" s="837">
        <v>0</v>
      </c>
      <c r="K78" s="837">
        <f t="shared" si="8"/>
        <v>3831</v>
      </c>
      <c r="L78" s="838">
        <v>0</v>
      </c>
      <c r="M78" s="838">
        <v>0</v>
      </c>
      <c r="N78" s="838">
        <v>1</v>
      </c>
      <c r="O78" s="838">
        <v>3730</v>
      </c>
      <c r="P78" s="838">
        <v>0</v>
      </c>
      <c r="Q78" s="838">
        <v>100</v>
      </c>
      <c r="R78" s="838">
        <v>0</v>
      </c>
      <c r="S78" s="838">
        <v>8</v>
      </c>
      <c r="T78" s="833"/>
      <c r="V78" s="839"/>
      <c r="X78" s="829"/>
      <c r="Y78" s="829"/>
      <c r="AI78" s="834"/>
      <c r="AJ78" s="829"/>
    </row>
    <row r="79" spans="1:36" ht="24" x14ac:dyDescent="0.2">
      <c r="A79" s="2">
        <v>69</v>
      </c>
      <c r="B79" s="382" t="s">
        <v>151</v>
      </c>
      <c r="C79" s="383" t="s">
        <v>152</v>
      </c>
      <c r="D79" s="837">
        <f t="shared" si="5"/>
        <v>3616</v>
      </c>
      <c r="E79" s="837">
        <f t="shared" si="7"/>
        <v>0</v>
      </c>
      <c r="F79" s="837">
        <v>0</v>
      </c>
      <c r="G79" s="837">
        <v>0</v>
      </c>
      <c r="H79" s="827">
        <f t="shared" si="9"/>
        <v>0</v>
      </c>
      <c r="I79" s="837">
        <v>0</v>
      </c>
      <c r="J79" s="837">
        <v>0</v>
      </c>
      <c r="K79" s="837">
        <f t="shared" si="8"/>
        <v>3616</v>
      </c>
      <c r="L79" s="838">
        <v>0</v>
      </c>
      <c r="M79" s="838">
        <v>0</v>
      </c>
      <c r="N79" s="838">
        <v>13</v>
      </c>
      <c r="O79" s="838">
        <v>3503</v>
      </c>
      <c r="P79" s="838">
        <v>50</v>
      </c>
      <c r="Q79" s="838">
        <v>50</v>
      </c>
      <c r="R79" s="838">
        <v>0</v>
      </c>
      <c r="S79" s="838">
        <v>12</v>
      </c>
      <c r="T79" s="833"/>
      <c r="V79" s="839"/>
      <c r="X79" s="829"/>
      <c r="Y79" s="829"/>
      <c r="AI79" s="834"/>
      <c r="AJ79" s="829"/>
    </row>
    <row r="80" spans="1:36" ht="24" x14ac:dyDescent="0.2">
      <c r="A80" s="380">
        <v>70</v>
      </c>
      <c r="B80" s="382" t="s">
        <v>153</v>
      </c>
      <c r="C80" s="383" t="s">
        <v>154</v>
      </c>
      <c r="D80" s="837">
        <f t="shared" si="5"/>
        <v>3460</v>
      </c>
      <c r="E80" s="837">
        <f t="shared" si="7"/>
        <v>0</v>
      </c>
      <c r="F80" s="837">
        <v>0</v>
      </c>
      <c r="G80" s="837">
        <v>0</v>
      </c>
      <c r="H80" s="827">
        <f t="shared" si="9"/>
        <v>0</v>
      </c>
      <c r="I80" s="837">
        <v>0</v>
      </c>
      <c r="J80" s="837">
        <v>0</v>
      </c>
      <c r="K80" s="837">
        <f t="shared" si="8"/>
        <v>3460</v>
      </c>
      <c r="L80" s="838">
        <v>0</v>
      </c>
      <c r="M80" s="838">
        <v>0</v>
      </c>
      <c r="N80" s="838">
        <v>571</v>
      </c>
      <c r="O80" s="838">
        <v>2599</v>
      </c>
      <c r="P80" s="838">
        <v>0</v>
      </c>
      <c r="Q80" s="838">
        <v>290</v>
      </c>
      <c r="R80" s="838">
        <v>0</v>
      </c>
      <c r="S80" s="838">
        <v>19</v>
      </c>
      <c r="T80" s="833"/>
      <c r="V80" s="839"/>
      <c r="X80" s="829"/>
      <c r="Y80" s="829"/>
      <c r="AI80" s="834"/>
      <c r="AJ80" s="829"/>
    </row>
    <row r="81" spans="1:36" ht="24" x14ac:dyDescent="0.2">
      <c r="A81" s="2">
        <v>71</v>
      </c>
      <c r="B81" s="358" t="s">
        <v>155</v>
      </c>
      <c r="C81" s="383" t="s">
        <v>156</v>
      </c>
      <c r="D81" s="837">
        <f t="shared" si="5"/>
        <v>20191</v>
      </c>
      <c r="E81" s="837">
        <f t="shared" si="7"/>
        <v>0</v>
      </c>
      <c r="F81" s="837">
        <v>0</v>
      </c>
      <c r="G81" s="837">
        <v>0</v>
      </c>
      <c r="H81" s="827">
        <f t="shared" si="9"/>
        <v>0</v>
      </c>
      <c r="I81" s="837">
        <v>0</v>
      </c>
      <c r="J81" s="837">
        <v>0</v>
      </c>
      <c r="K81" s="837">
        <f t="shared" si="8"/>
        <v>20191</v>
      </c>
      <c r="L81" s="838">
        <v>0</v>
      </c>
      <c r="M81" s="838">
        <v>0</v>
      </c>
      <c r="N81" s="838">
        <v>0</v>
      </c>
      <c r="O81" s="838">
        <v>14591</v>
      </c>
      <c r="P81" s="838">
        <v>4000</v>
      </c>
      <c r="Q81" s="838">
        <v>1600</v>
      </c>
      <c r="R81" s="838">
        <v>0</v>
      </c>
      <c r="S81" s="838">
        <v>0</v>
      </c>
      <c r="T81" s="833"/>
      <c r="V81" s="839"/>
      <c r="X81" s="829"/>
      <c r="Y81" s="829"/>
      <c r="AI81" s="834"/>
      <c r="AJ81" s="829"/>
    </row>
    <row r="82" spans="1:36" ht="24" x14ac:dyDescent="0.2">
      <c r="A82" s="380">
        <v>72</v>
      </c>
      <c r="B82" s="358" t="s">
        <v>157</v>
      </c>
      <c r="C82" s="383" t="s">
        <v>158</v>
      </c>
      <c r="D82" s="837">
        <f t="shared" si="5"/>
        <v>2724</v>
      </c>
      <c r="E82" s="837">
        <f t="shared" si="7"/>
        <v>0</v>
      </c>
      <c r="F82" s="837">
        <v>0</v>
      </c>
      <c r="G82" s="837">
        <v>0</v>
      </c>
      <c r="H82" s="827">
        <f t="shared" si="9"/>
        <v>0</v>
      </c>
      <c r="I82" s="837">
        <v>0</v>
      </c>
      <c r="J82" s="837">
        <v>0</v>
      </c>
      <c r="K82" s="837">
        <f t="shared" si="8"/>
        <v>2724</v>
      </c>
      <c r="L82" s="838">
        <v>0</v>
      </c>
      <c r="M82" s="838">
        <v>0</v>
      </c>
      <c r="N82" s="838">
        <v>6</v>
      </c>
      <c r="O82" s="838">
        <v>2405</v>
      </c>
      <c r="P82" s="838">
        <v>163</v>
      </c>
      <c r="Q82" s="838">
        <v>150</v>
      </c>
      <c r="R82" s="838">
        <v>0</v>
      </c>
      <c r="S82" s="838">
        <v>10</v>
      </c>
      <c r="T82" s="833"/>
      <c r="V82" s="839"/>
      <c r="X82" s="829"/>
      <c r="Y82" s="829"/>
      <c r="AI82" s="834"/>
      <c r="AJ82" s="829"/>
    </row>
    <row r="83" spans="1:36" ht="24" x14ac:dyDescent="0.2">
      <c r="A83" s="2">
        <v>73</v>
      </c>
      <c r="B83" s="358" t="s">
        <v>159</v>
      </c>
      <c r="C83" s="383" t="s">
        <v>160</v>
      </c>
      <c r="D83" s="837">
        <f t="shared" ref="D83:D149" si="10">E83+H83+K83</f>
        <v>4910</v>
      </c>
      <c r="E83" s="837">
        <f t="shared" si="7"/>
        <v>0</v>
      </c>
      <c r="F83" s="837">
        <v>0</v>
      </c>
      <c r="G83" s="837">
        <v>0</v>
      </c>
      <c r="H83" s="827">
        <f t="shared" si="9"/>
        <v>0</v>
      </c>
      <c r="I83" s="837">
        <v>0</v>
      </c>
      <c r="J83" s="837">
        <v>0</v>
      </c>
      <c r="K83" s="837">
        <f t="shared" si="8"/>
        <v>4910</v>
      </c>
      <c r="L83" s="838">
        <v>0</v>
      </c>
      <c r="M83" s="838">
        <v>0</v>
      </c>
      <c r="N83" s="838">
        <v>0</v>
      </c>
      <c r="O83" s="838">
        <v>4786</v>
      </c>
      <c r="P83" s="838">
        <v>124</v>
      </c>
      <c r="Q83" s="838">
        <v>0</v>
      </c>
      <c r="R83" s="838">
        <v>0</v>
      </c>
      <c r="S83" s="838">
        <v>0</v>
      </c>
      <c r="T83" s="833"/>
      <c r="V83" s="839"/>
      <c r="X83" s="829"/>
      <c r="Y83" s="829"/>
      <c r="AI83" s="834"/>
      <c r="AJ83" s="829"/>
    </row>
    <row r="84" spans="1:36" ht="24" x14ac:dyDescent="0.2">
      <c r="A84" s="380">
        <v>74</v>
      </c>
      <c r="B84" s="357" t="s">
        <v>161</v>
      </c>
      <c r="C84" s="383" t="s">
        <v>162</v>
      </c>
      <c r="D84" s="837">
        <f t="shared" si="10"/>
        <v>221417</v>
      </c>
      <c r="E84" s="837">
        <f t="shared" ref="E84:E94" si="11">F84+G84</f>
        <v>28302</v>
      </c>
      <c r="F84" s="837">
        <v>3798</v>
      </c>
      <c r="G84" s="837">
        <v>24504</v>
      </c>
      <c r="H84" s="827">
        <f t="shared" si="9"/>
        <v>24969</v>
      </c>
      <c r="I84" s="837">
        <v>24786</v>
      </c>
      <c r="J84" s="837">
        <v>183</v>
      </c>
      <c r="K84" s="837">
        <f t="shared" si="8"/>
        <v>168146</v>
      </c>
      <c r="L84" s="838">
        <v>6271</v>
      </c>
      <c r="M84" s="838">
        <v>822</v>
      </c>
      <c r="N84" s="838">
        <v>26956</v>
      </c>
      <c r="O84" s="838">
        <v>56475</v>
      </c>
      <c r="P84" s="838">
        <v>3940</v>
      </c>
      <c r="Q84" s="838">
        <v>72242</v>
      </c>
      <c r="R84" s="838">
        <v>1440</v>
      </c>
      <c r="S84" s="838">
        <v>25904</v>
      </c>
      <c r="T84" s="833"/>
      <c r="V84" s="839"/>
      <c r="X84" s="829"/>
      <c r="Y84" s="829"/>
      <c r="AI84" s="834"/>
      <c r="AJ84" s="829"/>
    </row>
    <row r="85" spans="1:36" x14ac:dyDescent="0.2">
      <c r="A85" s="2">
        <v>75</v>
      </c>
      <c r="B85" s="358" t="s">
        <v>163</v>
      </c>
      <c r="C85" s="383" t="s">
        <v>164</v>
      </c>
      <c r="D85" s="837">
        <f t="shared" si="10"/>
        <v>242093</v>
      </c>
      <c r="E85" s="837">
        <f t="shared" si="11"/>
        <v>12968</v>
      </c>
      <c r="F85" s="837">
        <v>9510</v>
      </c>
      <c r="G85" s="837">
        <v>3458</v>
      </c>
      <c r="H85" s="827">
        <f t="shared" si="9"/>
        <v>62054</v>
      </c>
      <c r="I85" s="837">
        <v>62054</v>
      </c>
      <c r="J85" s="837">
        <v>0</v>
      </c>
      <c r="K85" s="837">
        <f t="shared" si="8"/>
        <v>167071</v>
      </c>
      <c r="L85" s="838">
        <v>15700</v>
      </c>
      <c r="M85" s="838">
        <v>1812</v>
      </c>
      <c r="N85" s="838">
        <v>56161</v>
      </c>
      <c r="O85" s="838">
        <v>55643</v>
      </c>
      <c r="P85" s="838">
        <v>960</v>
      </c>
      <c r="Q85" s="838">
        <v>34808</v>
      </c>
      <c r="R85" s="838">
        <v>1987</v>
      </c>
      <c r="S85" s="838">
        <v>37113</v>
      </c>
      <c r="T85" s="833"/>
      <c r="V85" s="839"/>
      <c r="X85" s="829"/>
      <c r="Y85" s="829"/>
      <c r="AI85" s="834"/>
      <c r="AJ85" s="829"/>
    </row>
    <row r="86" spans="1:36" x14ac:dyDescent="0.2">
      <c r="A86" s="380">
        <v>76</v>
      </c>
      <c r="B86" s="357" t="s">
        <v>165</v>
      </c>
      <c r="C86" s="383" t="s">
        <v>166</v>
      </c>
      <c r="D86" s="837">
        <f t="shared" si="10"/>
        <v>140312</v>
      </c>
      <c r="E86" s="837">
        <f t="shared" si="11"/>
        <v>5566</v>
      </c>
      <c r="F86" s="837">
        <v>5566</v>
      </c>
      <c r="G86" s="837">
        <v>0</v>
      </c>
      <c r="H86" s="827">
        <f t="shared" si="9"/>
        <v>36321</v>
      </c>
      <c r="I86" s="837">
        <v>36321</v>
      </c>
      <c r="J86" s="837">
        <v>0</v>
      </c>
      <c r="K86" s="837">
        <f t="shared" si="8"/>
        <v>98425</v>
      </c>
      <c r="L86" s="838">
        <v>9189</v>
      </c>
      <c r="M86" s="838">
        <v>1164</v>
      </c>
      <c r="N86" s="838">
        <v>31524</v>
      </c>
      <c r="O86" s="838">
        <v>27786</v>
      </c>
      <c r="P86" s="838">
        <v>4300</v>
      </c>
      <c r="Q86" s="838">
        <v>22715</v>
      </c>
      <c r="R86" s="838">
        <v>1747</v>
      </c>
      <c r="S86" s="838">
        <v>31971</v>
      </c>
      <c r="T86" s="833"/>
      <c r="V86" s="839"/>
      <c r="X86" s="829"/>
      <c r="Y86" s="829"/>
      <c r="AI86" s="834"/>
      <c r="AJ86" s="829"/>
    </row>
    <row r="87" spans="1:36" x14ac:dyDescent="0.2">
      <c r="A87" s="2">
        <v>77</v>
      </c>
      <c r="B87" s="384" t="s">
        <v>167</v>
      </c>
      <c r="C87" s="385" t="s">
        <v>168</v>
      </c>
      <c r="D87" s="837">
        <f t="shared" si="10"/>
        <v>40316</v>
      </c>
      <c r="E87" s="837">
        <f t="shared" si="11"/>
        <v>1626</v>
      </c>
      <c r="F87" s="837">
        <v>1626</v>
      </c>
      <c r="G87" s="837">
        <v>0</v>
      </c>
      <c r="H87" s="827">
        <f t="shared" si="9"/>
        <v>10609</v>
      </c>
      <c r="I87" s="837">
        <v>10609</v>
      </c>
      <c r="J87" s="837">
        <v>0</v>
      </c>
      <c r="K87" s="837">
        <f t="shared" si="8"/>
        <v>28081</v>
      </c>
      <c r="L87" s="838">
        <v>2684</v>
      </c>
      <c r="M87" s="838">
        <v>231</v>
      </c>
      <c r="N87" s="838">
        <v>12769</v>
      </c>
      <c r="O87" s="838">
        <v>10614</v>
      </c>
      <c r="P87" s="838">
        <v>0</v>
      </c>
      <c r="Q87" s="838">
        <v>1783</v>
      </c>
      <c r="R87" s="838">
        <v>0</v>
      </c>
      <c r="S87" s="838">
        <v>7895</v>
      </c>
      <c r="T87" s="833"/>
      <c r="V87" s="839"/>
      <c r="X87" s="829"/>
      <c r="Y87" s="829"/>
      <c r="AI87" s="834"/>
      <c r="AJ87" s="829"/>
    </row>
    <row r="88" spans="1:36" x14ac:dyDescent="0.2">
      <c r="A88" s="380">
        <v>78</v>
      </c>
      <c r="B88" s="358" t="s">
        <v>169</v>
      </c>
      <c r="C88" s="383" t="s">
        <v>170</v>
      </c>
      <c r="D88" s="837">
        <f t="shared" si="10"/>
        <v>259844</v>
      </c>
      <c r="E88" s="837">
        <f t="shared" si="11"/>
        <v>8990</v>
      </c>
      <c r="F88" s="837">
        <v>8990</v>
      </c>
      <c r="G88" s="837">
        <v>0</v>
      </c>
      <c r="H88" s="827">
        <f t="shared" si="9"/>
        <v>58662</v>
      </c>
      <c r="I88" s="837">
        <v>58662</v>
      </c>
      <c r="J88" s="837">
        <v>0</v>
      </c>
      <c r="K88" s="837">
        <f t="shared" si="8"/>
        <v>192192</v>
      </c>
      <c r="L88" s="838">
        <v>14841</v>
      </c>
      <c r="M88" s="838">
        <v>5268</v>
      </c>
      <c r="N88" s="838">
        <v>48309</v>
      </c>
      <c r="O88" s="838">
        <v>72510</v>
      </c>
      <c r="P88" s="838">
        <v>0</v>
      </c>
      <c r="Q88" s="838">
        <v>48834</v>
      </c>
      <c r="R88" s="838">
        <v>2430</v>
      </c>
      <c r="S88" s="838">
        <v>58440</v>
      </c>
      <c r="T88" s="833"/>
      <c r="V88" s="839"/>
      <c r="X88" s="829"/>
      <c r="Y88" s="829"/>
      <c r="AI88" s="834"/>
      <c r="AJ88" s="829"/>
    </row>
    <row r="89" spans="1:36" x14ac:dyDescent="0.2">
      <c r="A89" s="2">
        <v>79</v>
      </c>
      <c r="B89" s="384" t="s">
        <v>171</v>
      </c>
      <c r="C89" s="385" t="s">
        <v>172</v>
      </c>
      <c r="D89" s="837">
        <f t="shared" si="10"/>
        <v>158454</v>
      </c>
      <c r="E89" s="837">
        <f t="shared" si="11"/>
        <v>33274</v>
      </c>
      <c r="F89" s="837">
        <v>0</v>
      </c>
      <c r="G89" s="837">
        <v>33274</v>
      </c>
      <c r="H89" s="827">
        <f t="shared" si="9"/>
        <v>390</v>
      </c>
      <c r="I89" s="837">
        <v>0</v>
      </c>
      <c r="J89" s="837">
        <v>390</v>
      </c>
      <c r="K89" s="837">
        <f t="shared" si="8"/>
        <v>124790</v>
      </c>
      <c r="L89" s="838">
        <v>0</v>
      </c>
      <c r="M89" s="838">
        <v>0</v>
      </c>
      <c r="N89" s="838">
        <v>23053</v>
      </c>
      <c r="O89" s="838">
        <v>60400</v>
      </c>
      <c r="P89" s="838">
        <v>0</v>
      </c>
      <c r="Q89" s="838">
        <v>41320</v>
      </c>
      <c r="R89" s="838">
        <v>17</v>
      </c>
      <c r="S89" s="838">
        <v>0</v>
      </c>
      <c r="T89" s="833"/>
      <c r="V89" s="839"/>
      <c r="X89" s="829"/>
      <c r="Y89" s="829"/>
      <c r="AI89" s="834"/>
      <c r="AJ89" s="829"/>
    </row>
    <row r="90" spans="1:36" x14ac:dyDescent="0.2">
      <c r="A90" s="380">
        <v>80</v>
      </c>
      <c r="B90" s="358" t="s">
        <v>173</v>
      </c>
      <c r="C90" s="383" t="s">
        <v>174</v>
      </c>
      <c r="D90" s="837">
        <f t="shared" si="10"/>
        <v>203340</v>
      </c>
      <c r="E90" s="837">
        <f t="shared" si="11"/>
        <v>7329</v>
      </c>
      <c r="F90" s="837">
        <v>7329</v>
      </c>
      <c r="G90" s="837">
        <v>0</v>
      </c>
      <c r="H90" s="827">
        <f t="shared" si="9"/>
        <v>47823</v>
      </c>
      <c r="I90" s="837">
        <v>47823</v>
      </c>
      <c r="J90" s="837">
        <v>0</v>
      </c>
      <c r="K90" s="837">
        <f t="shared" si="8"/>
        <v>148188</v>
      </c>
      <c r="L90" s="838">
        <v>12099</v>
      </c>
      <c r="M90" s="838">
        <v>2679</v>
      </c>
      <c r="N90" s="838">
        <v>41471</v>
      </c>
      <c r="O90" s="838">
        <v>27194</v>
      </c>
      <c r="P90" s="838">
        <v>1500</v>
      </c>
      <c r="Q90" s="838">
        <v>61357</v>
      </c>
      <c r="R90" s="838">
        <v>1888</v>
      </c>
      <c r="S90" s="838">
        <v>37572</v>
      </c>
      <c r="T90" s="833"/>
      <c r="V90" s="839"/>
      <c r="X90" s="829"/>
      <c r="Y90" s="829"/>
      <c r="AI90" s="834"/>
      <c r="AJ90" s="829"/>
    </row>
    <row r="91" spans="1:36" x14ac:dyDescent="0.2">
      <c r="A91" s="2">
        <v>81</v>
      </c>
      <c r="B91" s="384" t="s">
        <v>175</v>
      </c>
      <c r="C91" s="50" t="s">
        <v>749</v>
      </c>
      <c r="D91" s="837">
        <f t="shared" si="10"/>
        <v>42977</v>
      </c>
      <c r="E91" s="837">
        <f t="shared" si="11"/>
        <v>0</v>
      </c>
      <c r="F91" s="837">
        <v>0</v>
      </c>
      <c r="G91" s="837">
        <v>0</v>
      </c>
      <c r="H91" s="827">
        <f t="shared" si="9"/>
        <v>0</v>
      </c>
      <c r="I91" s="837">
        <v>0</v>
      </c>
      <c r="J91" s="837">
        <v>0</v>
      </c>
      <c r="K91" s="837">
        <f t="shared" si="8"/>
        <v>42977</v>
      </c>
      <c r="L91" s="838">
        <v>0</v>
      </c>
      <c r="M91" s="838">
        <v>0</v>
      </c>
      <c r="N91" s="838">
        <v>0</v>
      </c>
      <c r="O91" s="838">
        <v>14229</v>
      </c>
      <c r="P91" s="838">
        <v>0</v>
      </c>
      <c r="Q91" s="838">
        <v>28748</v>
      </c>
      <c r="R91" s="838">
        <v>0</v>
      </c>
      <c r="S91" s="838">
        <v>0</v>
      </c>
      <c r="T91" s="833"/>
      <c r="V91" s="839"/>
      <c r="X91" s="829"/>
      <c r="Y91" s="829"/>
      <c r="AI91" s="834"/>
      <c r="AJ91" s="829"/>
    </row>
    <row r="92" spans="1:36" x14ac:dyDescent="0.2">
      <c r="A92" s="380">
        <v>82</v>
      </c>
      <c r="B92" s="382" t="s">
        <v>177</v>
      </c>
      <c r="C92" s="383" t="s">
        <v>358</v>
      </c>
      <c r="D92" s="837">
        <f t="shared" si="10"/>
        <v>0</v>
      </c>
      <c r="E92" s="837">
        <f t="shared" si="11"/>
        <v>0</v>
      </c>
      <c r="F92" s="837">
        <v>0</v>
      </c>
      <c r="G92" s="837">
        <v>0</v>
      </c>
      <c r="H92" s="827">
        <f t="shared" si="9"/>
        <v>0</v>
      </c>
      <c r="I92" s="837">
        <v>0</v>
      </c>
      <c r="J92" s="837">
        <v>0</v>
      </c>
      <c r="K92" s="837">
        <f t="shared" si="8"/>
        <v>0</v>
      </c>
      <c r="L92" s="838">
        <v>0</v>
      </c>
      <c r="M92" s="838">
        <v>0</v>
      </c>
      <c r="N92" s="838">
        <v>0</v>
      </c>
      <c r="O92" s="838">
        <v>0</v>
      </c>
      <c r="P92" s="838">
        <v>0</v>
      </c>
      <c r="Q92" s="838">
        <v>0</v>
      </c>
      <c r="R92" s="838">
        <v>0</v>
      </c>
      <c r="S92" s="838">
        <v>0</v>
      </c>
      <c r="T92" s="833"/>
      <c r="V92" s="839"/>
      <c r="X92" s="829"/>
      <c r="Y92" s="829"/>
      <c r="AI92" s="834"/>
      <c r="AJ92" s="829"/>
    </row>
    <row r="93" spans="1:36" ht="36" x14ac:dyDescent="0.2">
      <c r="A93" s="978">
        <v>83</v>
      </c>
      <c r="B93" s="981" t="s">
        <v>178</v>
      </c>
      <c r="C93" s="383" t="s">
        <v>179</v>
      </c>
      <c r="D93" s="837">
        <f t="shared" si="10"/>
        <v>16922</v>
      </c>
      <c r="E93" s="837">
        <f t="shared" si="11"/>
        <v>420</v>
      </c>
      <c r="F93" s="837">
        <v>420</v>
      </c>
      <c r="G93" s="837">
        <v>0</v>
      </c>
      <c r="H93" s="827">
        <f t="shared" si="9"/>
        <v>2740</v>
      </c>
      <c r="I93" s="837">
        <v>2740</v>
      </c>
      <c r="J93" s="837">
        <v>0</v>
      </c>
      <c r="K93" s="837">
        <f t="shared" si="8"/>
        <v>13762</v>
      </c>
      <c r="L93" s="838">
        <v>693</v>
      </c>
      <c r="M93" s="838">
        <v>45</v>
      </c>
      <c r="N93" s="838">
        <v>462</v>
      </c>
      <c r="O93" s="838">
        <v>11376</v>
      </c>
      <c r="P93" s="838">
        <v>0</v>
      </c>
      <c r="Q93" s="838">
        <v>1186</v>
      </c>
      <c r="R93" s="838">
        <v>0</v>
      </c>
      <c r="S93" s="838">
        <v>194</v>
      </c>
      <c r="T93" s="833"/>
      <c r="V93" s="839"/>
      <c r="X93" s="829"/>
      <c r="Y93" s="829"/>
      <c r="AI93" s="834"/>
      <c r="AJ93" s="829"/>
    </row>
    <row r="94" spans="1:36" ht="36" x14ac:dyDescent="0.2">
      <c r="A94" s="979"/>
      <c r="B94" s="982"/>
      <c r="C94" s="383" t="s">
        <v>180</v>
      </c>
      <c r="D94" s="837">
        <f t="shared" si="10"/>
        <v>3600</v>
      </c>
      <c r="E94" s="837">
        <f t="shared" si="11"/>
        <v>0</v>
      </c>
      <c r="F94" s="837">
        <v>0</v>
      </c>
      <c r="G94" s="837">
        <v>0</v>
      </c>
      <c r="H94" s="827">
        <f t="shared" si="9"/>
        <v>0</v>
      </c>
      <c r="I94" s="837">
        <v>0</v>
      </c>
      <c r="J94" s="837">
        <v>0</v>
      </c>
      <c r="K94" s="837">
        <f t="shared" si="8"/>
        <v>3600</v>
      </c>
      <c r="L94" s="840">
        <v>0</v>
      </c>
      <c r="M94" s="840">
        <v>0</v>
      </c>
      <c r="N94" s="838">
        <v>0</v>
      </c>
      <c r="O94" s="838">
        <v>3600</v>
      </c>
      <c r="P94" s="838">
        <v>0</v>
      </c>
      <c r="Q94" s="838">
        <v>0</v>
      </c>
      <c r="R94" s="838">
        <v>0</v>
      </c>
      <c r="S94" s="838"/>
      <c r="T94" s="833"/>
      <c r="V94" s="839"/>
      <c r="X94" s="829"/>
      <c r="Y94" s="829"/>
      <c r="AI94" s="834"/>
      <c r="AJ94" s="829"/>
    </row>
    <row r="95" spans="1:36" ht="60" x14ac:dyDescent="0.2">
      <c r="A95" s="980"/>
      <c r="B95" s="983"/>
      <c r="C95" s="339" t="s">
        <v>509</v>
      </c>
      <c r="D95" s="837">
        <f t="shared" si="10"/>
        <v>8000</v>
      </c>
      <c r="E95" s="837">
        <v>0</v>
      </c>
      <c r="F95" s="837">
        <v>0</v>
      </c>
      <c r="G95" s="837">
        <v>0</v>
      </c>
      <c r="H95" s="827">
        <v>0</v>
      </c>
      <c r="I95" s="837">
        <v>0</v>
      </c>
      <c r="J95" s="837">
        <v>0</v>
      </c>
      <c r="K95" s="837">
        <f t="shared" si="8"/>
        <v>8000</v>
      </c>
      <c r="L95" s="840">
        <v>0</v>
      </c>
      <c r="M95" s="840">
        <v>0</v>
      </c>
      <c r="N95" s="838">
        <v>0</v>
      </c>
      <c r="O95" s="838">
        <v>8000</v>
      </c>
      <c r="P95" s="838">
        <v>0</v>
      </c>
      <c r="Q95" s="838">
        <v>0</v>
      </c>
      <c r="R95" s="838">
        <v>0</v>
      </c>
      <c r="S95" s="838"/>
      <c r="T95" s="833"/>
      <c r="V95" s="839"/>
      <c r="X95" s="829"/>
      <c r="Y95" s="829"/>
      <c r="AI95" s="834"/>
      <c r="AJ95" s="829"/>
    </row>
    <row r="96" spans="1:36" ht="24" x14ac:dyDescent="0.2">
      <c r="A96" s="380">
        <v>84</v>
      </c>
      <c r="B96" s="382" t="s">
        <v>181</v>
      </c>
      <c r="C96" s="381" t="s">
        <v>182</v>
      </c>
      <c r="D96" s="837">
        <f t="shared" si="10"/>
        <v>8400</v>
      </c>
      <c r="E96" s="837">
        <f t="shared" ref="E96:E152" si="12">F96+G96</f>
        <v>0</v>
      </c>
      <c r="F96" s="837">
        <v>0</v>
      </c>
      <c r="G96" s="837">
        <v>0</v>
      </c>
      <c r="H96" s="827">
        <f t="shared" ref="H96:H152" si="13">I96+J96</f>
        <v>0</v>
      </c>
      <c r="I96" s="837">
        <v>0</v>
      </c>
      <c r="J96" s="837">
        <v>0</v>
      </c>
      <c r="K96" s="837">
        <f t="shared" si="8"/>
        <v>8400</v>
      </c>
      <c r="L96" s="840">
        <v>0</v>
      </c>
      <c r="M96" s="840">
        <v>0</v>
      </c>
      <c r="N96" s="838">
        <v>0</v>
      </c>
      <c r="O96" s="838">
        <v>8400</v>
      </c>
      <c r="P96" s="838">
        <v>0</v>
      </c>
      <c r="Q96" s="838">
        <v>0</v>
      </c>
      <c r="R96" s="838">
        <v>0</v>
      </c>
      <c r="S96" s="838">
        <v>0</v>
      </c>
      <c r="T96" s="833"/>
      <c r="V96" s="839"/>
      <c r="X96" s="829"/>
      <c r="Y96" s="829"/>
      <c r="AI96" s="834"/>
      <c r="AJ96" s="829"/>
    </row>
    <row r="97" spans="1:36" x14ac:dyDescent="0.2">
      <c r="A97" s="380">
        <v>85</v>
      </c>
      <c r="B97" s="382" t="s">
        <v>183</v>
      </c>
      <c r="C97" s="385" t="s">
        <v>184</v>
      </c>
      <c r="D97" s="837">
        <f t="shared" si="10"/>
        <v>13584</v>
      </c>
      <c r="E97" s="837">
        <f t="shared" si="12"/>
        <v>337</v>
      </c>
      <c r="F97" s="837">
        <v>337</v>
      </c>
      <c r="G97" s="837">
        <v>0</v>
      </c>
      <c r="H97" s="827">
        <f t="shared" si="13"/>
        <v>2199</v>
      </c>
      <c r="I97" s="837">
        <v>2199</v>
      </c>
      <c r="J97" s="837">
        <v>0</v>
      </c>
      <c r="K97" s="837">
        <f t="shared" si="8"/>
        <v>11048</v>
      </c>
      <c r="L97" s="838">
        <v>556</v>
      </c>
      <c r="M97" s="838">
        <v>75</v>
      </c>
      <c r="N97" s="838">
        <v>1641</v>
      </c>
      <c r="O97" s="838">
        <v>5613</v>
      </c>
      <c r="P97" s="838">
        <v>0</v>
      </c>
      <c r="Q97" s="838">
        <v>3163</v>
      </c>
      <c r="R97" s="838">
        <v>0</v>
      </c>
      <c r="S97" s="838">
        <v>2169</v>
      </c>
      <c r="T97" s="833"/>
      <c r="V97" s="839"/>
      <c r="X97" s="829"/>
      <c r="Y97" s="829"/>
      <c r="AI97" s="834"/>
      <c r="AJ97" s="829"/>
    </row>
    <row r="98" spans="1:36" ht="24" x14ac:dyDescent="0.2">
      <c r="A98" s="380">
        <v>86</v>
      </c>
      <c r="B98" s="357" t="s">
        <v>185</v>
      </c>
      <c r="C98" s="383" t="s">
        <v>186</v>
      </c>
      <c r="D98" s="837">
        <f t="shared" si="10"/>
        <v>38306</v>
      </c>
      <c r="E98" s="837">
        <f t="shared" si="12"/>
        <v>1444</v>
      </c>
      <c r="F98" s="837">
        <v>1444</v>
      </c>
      <c r="G98" s="837">
        <v>0</v>
      </c>
      <c r="H98" s="827">
        <f t="shared" si="13"/>
        <v>9425</v>
      </c>
      <c r="I98" s="837">
        <v>9425</v>
      </c>
      <c r="J98" s="837">
        <v>0</v>
      </c>
      <c r="K98" s="837">
        <f t="shared" si="8"/>
        <v>27437</v>
      </c>
      <c r="L98" s="838">
        <v>2385</v>
      </c>
      <c r="M98" s="838">
        <v>276</v>
      </c>
      <c r="N98" s="838">
        <v>7284</v>
      </c>
      <c r="O98" s="838">
        <v>12505</v>
      </c>
      <c r="P98" s="838">
        <v>1000</v>
      </c>
      <c r="Q98" s="838">
        <v>3987</v>
      </c>
      <c r="R98" s="838">
        <v>0</v>
      </c>
      <c r="S98" s="838">
        <v>6690</v>
      </c>
      <c r="T98" s="833"/>
      <c r="V98" s="839"/>
      <c r="X98" s="829"/>
      <c r="Y98" s="829"/>
      <c r="AI98" s="834"/>
      <c r="AJ98" s="829"/>
    </row>
    <row r="99" spans="1:36" x14ac:dyDescent="0.2">
      <c r="A99" s="380">
        <v>87</v>
      </c>
      <c r="B99" s="382" t="s">
        <v>187</v>
      </c>
      <c r="C99" s="381" t="s">
        <v>188</v>
      </c>
      <c r="D99" s="837">
        <f t="shared" si="10"/>
        <v>40502</v>
      </c>
      <c r="E99" s="837">
        <f t="shared" si="12"/>
        <v>4724</v>
      </c>
      <c r="F99" s="837">
        <v>869</v>
      </c>
      <c r="G99" s="837">
        <v>3855</v>
      </c>
      <c r="H99" s="827">
        <f t="shared" si="13"/>
        <v>5744</v>
      </c>
      <c r="I99" s="837">
        <v>5668</v>
      </c>
      <c r="J99" s="837">
        <v>76</v>
      </c>
      <c r="K99" s="837">
        <f t="shared" si="8"/>
        <v>30034</v>
      </c>
      <c r="L99" s="838">
        <v>1434</v>
      </c>
      <c r="M99" s="838">
        <v>132</v>
      </c>
      <c r="N99" s="838">
        <v>5969</v>
      </c>
      <c r="O99" s="838">
        <v>13563</v>
      </c>
      <c r="P99" s="838">
        <v>0</v>
      </c>
      <c r="Q99" s="838">
        <v>8934</v>
      </c>
      <c r="R99" s="838">
        <v>2</v>
      </c>
      <c r="S99" s="838">
        <v>4580</v>
      </c>
      <c r="T99" s="833"/>
      <c r="V99" s="839"/>
      <c r="X99" s="829"/>
      <c r="Y99" s="829"/>
      <c r="AI99" s="834"/>
      <c r="AJ99" s="829"/>
    </row>
    <row r="100" spans="1:36" x14ac:dyDescent="0.2">
      <c r="A100" s="380">
        <v>88</v>
      </c>
      <c r="B100" s="357" t="s">
        <v>189</v>
      </c>
      <c r="C100" s="383" t="s">
        <v>190</v>
      </c>
      <c r="D100" s="837">
        <f t="shared" si="10"/>
        <v>40206</v>
      </c>
      <c r="E100" s="837">
        <f t="shared" si="12"/>
        <v>4741</v>
      </c>
      <c r="F100" s="837">
        <v>861</v>
      </c>
      <c r="G100" s="837">
        <v>3880</v>
      </c>
      <c r="H100" s="827">
        <f t="shared" si="13"/>
        <v>5633</v>
      </c>
      <c r="I100" s="837">
        <v>5621</v>
      </c>
      <c r="J100" s="837">
        <v>12</v>
      </c>
      <c r="K100" s="837">
        <f t="shared" si="8"/>
        <v>29832</v>
      </c>
      <c r="L100" s="838">
        <v>1422</v>
      </c>
      <c r="M100" s="838">
        <v>30</v>
      </c>
      <c r="N100" s="838">
        <v>5380</v>
      </c>
      <c r="O100" s="838">
        <v>11683</v>
      </c>
      <c r="P100" s="838">
        <v>2960</v>
      </c>
      <c r="Q100" s="838">
        <v>8356</v>
      </c>
      <c r="R100" s="838">
        <v>1</v>
      </c>
      <c r="S100" s="838">
        <v>3583</v>
      </c>
      <c r="T100" s="833"/>
      <c r="V100" s="839"/>
      <c r="X100" s="829"/>
      <c r="Y100" s="829"/>
      <c r="AI100" s="834"/>
      <c r="AJ100" s="829"/>
    </row>
    <row r="101" spans="1:36" ht="24" x14ac:dyDescent="0.2">
      <c r="A101" s="380">
        <v>89</v>
      </c>
      <c r="B101" s="357" t="s">
        <v>191</v>
      </c>
      <c r="C101" s="383" t="s">
        <v>192</v>
      </c>
      <c r="D101" s="837">
        <f t="shared" si="10"/>
        <v>117563</v>
      </c>
      <c r="E101" s="837">
        <f t="shared" si="12"/>
        <v>14923</v>
      </c>
      <c r="F101" s="837">
        <v>2380</v>
      </c>
      <c r="G101" s="837">
        <v>12543</v>
      </c>
      <c r="H101" s="827">
        <f t="shared" si="13"/>
        <v>15711</v>
      </c>
      <c r="I101" s="837">
        <v>15530</v>
      </c>
      <c r="J101" s="837">
        <v>181</v>
      </c>
      <c r="K101" s="837">
        <f t="shared" si="8"/>
        <v>86929</v>
      </c>
      <c r="L101" s="838">
        <v>3929</v>
      </c>
      <c r="M101" s="838">
        <v>510</v>
      </c>
      <c r="N101" s="838">
        <v>13686</v>
      </c>
      <c r="O101" s="838">
        <v>32007</v>
      </c>
      <c r="P101" s="838">
        <v>8000</v>
      </c>
      <c r="Q101" s="838">
        <v>27763</v>
      </c>
      <c r="R101" s="838">
        <v>1034</v>
      </c>
      <c r="S101" s="838">
        <v>13140</v>
      </c>
      <c r="T101" s="833"/>
      <c r="V101" s="839"/>
      <c r="X101" s="829"/>
      <c r="Y101" s="829"/>
      <c r="AI101" s="834"/>
      <c r="AJ101" s="829"/>
    </row>
    <row r="102" spans="1:36" ht="24" x14ac:dyDescent="0.2">
      <c r="A102" s="380">
        <v>90</v>
      </c>
      <c r="B102" s="382" t="s">
        <v>193</v>
      </c>
      <c r="C102" s="385" t="s">
        <v>194</v>
      </c>
      <c r="D102" s="837">
        <f t="shared" si="10"/>
        <v>49189</v>
      </c>
      <c r="E102" s="837">
        <f t="shared" si="12"/>
        <v>5369</v>
      </c>
      <c r="F102" s="837">
        <v>1030</v>
      </c>
      <c r="G102" s="837">
        <v>4339</v>
      </c>
      <c r="H102" s="827">
        <f t="shared" si="13"/>
        <v>6763</v>
      </c>
      <c r="I102" s="837">
        <v>6723</v>
      </c>
      <c r="J102" s="837">
        <v>40</v>
      </c>
      <c r="K102" s="837">
        <f t="shared" si="8"/>
        <v>37057</v>
      </c>
      <c r="L102" s="838">
        <v>1701</v>
      </c>
      <c r="M102" s="838">
        <v>348</v>
      </c>
      <c r="N102" s="838">
        <v>6381</v>
      </c>
      <c r="O102" s="838">
        <v>10804</v>
      </c>
      <c r="P102" s="838">
        <v>6620</v>
      </c>
      <c r="Q102" s="838">
        <v>11202</v>
      </c>
      <c r="R102" s="838">
        <v>1</v>
      </c>
      <c r="S102" s="838">
        <v>5264</v>
      </c>
      <c r="T102" s="833"/>
      <c r="V102" s="839"/>
      <c r="X102" s="829"/>
      <c r="Y102" s="829"/>
      <c r="AI102" s="834"/>
      <c r="AJ102" s="829"/>
    </row>
    <row r="103" spans="1:36" x14ac:dyDescent="0.2">
      <c r="A103" s="380">
        <v>91</v>
      </c>
      <c r="B103" s="382" t="s">
        <v>195</v>
      </c>
      <c r="C103" s="381" t="s">
        <v>196</v>
      </c>
      <c r="D103" s="837">
        <f t="shared" si="10"/>
        <v>60468</v>
      </c>
      <c r="E103" s="837">
        <f t="shared" si="12"/>
        <v>5197</v>
      </c>
      <c r="F103" s="837">
        <v>1338</v>
      </c>
      <c r="G103" s="837">
        <v>3859</v>
      </c>
      <c r="H103" s="827">
        <f t="shared" si="13"/>
        <v>8791</v>
      </c>
      <c r="I103" s="837">
        <v>8730</v>
      </c>
      <c r="J103" s="837">
        <v>61</v>
      </c>
      <c r="K103" s="837">
        <f t="shared" si="8"/>
        <v>46480</v>
      </c>
      <c r="L103" s="838">
        <v>2209</v>
      </c>
      <c r="M103" s="838">
        <v>93</v>
      </c>
      <c r="N103" s="838">
        <v>13895</v>
      </c>
      <c r="O103" s="838">
        <v>18589</v>
      </c>
      <c r="P103" s="838">
        <v>0</v>
      </c>
      <c r="Q103" s="838">
        <v>10628</v>
      </c>
      <c r="R103" s="838">
        <v>1066</v>
      </c>
      <c r="S103" s="838">
        <v>10485</v>
      </c>
      <c r="T103" s="833"/>
      <c r="V103" s="839"/>
      <c r="X103" s="829"/>
      <c r="Y103" s="829"/>
      <c r="AI103" s="834"/>
      <c r="AJ103" s="829"/>
    </row>
    <row r="104" spans="1:36" x14ac:dyDescent="0.2">
      <c r="A104" s="380">
        <v>92</v>
      </c>
      <c r="B104" s="358" t="s">
        <v>197</v>
      </c>
      <c r="C104" s="381" t="s">
        <v>198</v>
      </c>
      <c r="D104" s="837">
        <f t="shared" si="10"/>
        <v>137141</v>
      </c>
      <c r="E104" s="837">
        <f t="shared" si="12"/>
        <v>16718</v>
      </c>
      <c r="F104" s="837">
        <v>2703</v>
      </c>
      <c r="G104" s="837">
        <v>14015</v>
      </c>
      <c r="H104" s="827">
        <f t="shared" si="13"/>
        <v>17893</v>
      </c>
      <c r="I104" s="837">
        <v>17638</v>
      </c>
      <c r="J104" s="837">
        <v>255</v>
      </c>
      <c r="K104" s="837">
        <f t="shared" si="8"/>
        <v>102530</v>
      </c>
      <c r="L104" s="838">
        <v>4462</v>
      </c>
      <c r="M104" s="838">
        <v>414</v>
      </c>
      <c r="N104" s="838">
        <v>12466</v>
      </c>
      <c r="O104" s="838">
        <v>43148</v>
      </c>
      <c r="P104" s="838">
        <v>2300</v>
      </c>
      <c r="Q104" s="838">
        <v>38906</v>
      </c>
      <c r="R104" s="838">
        <v>834</v>
      </c>
      <c r="S104" s="838">
        <v>9656</v>
      </c>
      <c r="T104" s="833"/>
      <c r="V104" s="839"/>
      <c r="X104" s="829"/>
      <c r="Y104" s="829"/>
      <c r="AI104" s="834"/>
      <c r="AJ104" s="829"/>
    </row>
    <row r="105" spans="1:36" ht="24" x14ac:dyDescent="0.2">
      <c r="A105" s="380">
        <v>93</v>
      </c>
      <c r="B105" s="358" t="s">
        <v>199</v>
      </c>
      <c r="C105" s="381" t="s">
        <v>200</v>
      </c>
      <c r="D105" s="837">
        <f t="shared" si="10"/>
        <v>107751</v>
      </c>
      <c r="E105" s="837">
        <f t="shared" si="12"/>
        <v>11542</v>
      </c>
      <c r="F105" s="837">
        <v>2274</v>
      </c>
      <c r="G105" s="837">
        <v>9268</v>
      </c>
      <c r="H105" s="827">
        <f t="shared" si="13"/>
        <v>14946</v>
      </c>
      <c r="I105" s="837">
        <v>14838</v>
      </c>
      <c r="J105" s="837">
        <v>108</v>
      </c>
      <c r="K105" s="837">
        <f t="shared" si="8"/>
        <v>81263</v>
      </c>
      <c r="L105" s="838">
        <v>3754</v>
      </c>
      <c r="M105" s="838">
        <v>591</v>
      </c>
      <c r="N105" s="838">
        <v>9902</v>
      </c>
      <c r="O105" s="838">
        <v>33170</v>
      </c>
      <c r="P105" s="838">
        <v>7477</v>
      </c>
      <c r="Q105" s="838">
        <v>25358</v>
      </c>
      <c r="R105" s="838">
        <v>1011</v>
      </c>
      <c r="S105" s="838">
        <v>8391</v>
      </c>
      <c r="T105" s="833"/>
      <c r="V105" s="839"/>
      <c r="X105" s="829"/>
      <c r="Y105" s="829"/>
      <c r="AI105" s="834"/>
      <c r="AJ105" s="829"/>
    </row>
    <row r="106" spans="1:36" x14ac:dyDescent="0.2">
      <c r="A106" s="380">
        <v>94</v>
      </c>
      <c r="B106" s="357" t="s">
        <v>201</v>
      </c>
      <c r="C106" s="383" t="s">
        <v>202</v>
      </c>
      <c r="D106" s="837">
        <f t="shared" si="10"/>
        <v>37208</v>
      </c>
      <c r="E106" s="837">
        <f t="shared" si="12"/>
        <v>4206</v>
      </c>
      <c r="F106" s="837">
        <v>791</v>
      </c>
      <c r="G106" s="837">
        <v>3415</v>
      </c>
      <c r="H106" s="827">
        <f t="shared" si="13"/>
        <v>5236</v>
      </c>
      <c r="I106" s="837">
        <v>5160</v>
      </c>
      <c r="J106" s="837">
        <v>76</v>
      </c>
      <c r="K106" s="837">
        <f t="shared" si="8"/>
        <v>27766</v>
      </c>
      <c r="L106" s="840">
        <v>1305</v>
      </c>
      <c r="M106" s="840">
        <v>36</v>
      </c>
      <c r="N106" s="838">
        <v>3637</v>
      </c>
      <c r="O106" s="838">
        <v>9725</v>
      </c>
      <c r="P106" s="838">
        <v>2277</v>
      </c>
      <c r="Q106" s="838">
        <v>10500</v>
      </c>
      <c r="R106" s="838">
        <v>286</v>
      </c>
      <c r="S106" s="838">
        <v>4993</v>
      </c>
      <c r="T106" s="833"/>
      <c r="V106" s="839"/>
      <c r="X106" s="829"/>
      <c r="Y106" s="829"/>
      <c r="AI106" s="834"/>
      <c r="AJ106" s="829"/>
    </row>
    <row r="107" spans="1:36" ht="24" x14ac:dyDescent="0.2">
      <c r="A107" s="380">
        <v>95</v>
      </c>
      <c r="B107" s="384" t="s">
        <v>203</v>
      </c>
      <c r="C107" s="385" t="s">
        <v>204</v>
      </c>
      <c r="D107" s="837">
        <f t="shared" si="10"/>
        <v>57490</v>
      </c>
      <c r="E107" s="837">
        <f t="shared" si="12"/>
        <v>6433</v>
      </c>
      <c r="F107" s="837">
        <v>1233</v>
      </c>
      <c r="G107" s="837">
        <v>5200</v>
      </c>
      <c r="H107" s="827">
        <f t="shared" si="13"/>
        <v>8102</v>
      </c>
      <c r="I107" s="837">
        <v>8044</v>
      </c>
      <c r="J107" s="837">
        <v>58</v>
      </c>
      <c r="K107" s="837">
        <f t="shared" si="8"/>
        <v>42955</v>
      </c>
      <c r="L107" s="840">
        <v>2035</v>
      </c>
      <c r="M107" s="840">
        <v>222</v>
      </c>
      <c r="N107" s="838">
        <v>11149</v>
      </c>
      <c r="O107" s="838">
        <v>9512</v>
      </c>
      <c r="P107" s="838">
        <v>4000</v>
      </c>
      <c r="Q107" s="838">
        <v>16034</v>
      </c>
      <c r="R107" s="838">
        <v>3</v>
      </c>
      <c r="S107" s="838">
        <v>7220</v>
      </c>
      <c r="T107" s="833"/>
      <c r="V107" s="839"/>
      <c r="X107" s="829"/>
      <c r="Y107" s="829"/>
      <c r="AI107" s="834"/>
      <c r="AJ107" s="829"/>
    </row>
    <row r="108" spans="1:36" x14ac:dyDescent="0.2">
      <c r="A108" s="380">
        <v>96</v>
      </c>
      <c r="B108" s="358" t="s">
        <v>205</v>
      </c>
      <c r="C108" s="381" t="s">
        <v>206</v>
      </c>
      <c r="D108" s="837">
        <f t="shared" si="10"/>
        <v>55616</v>
      </c>
      <c r="E108" s="837">
        <f t="shared" si="12"/>
        <v>6652</v>
      </c>
      <c r="F108" s="837">
        <v>1167</v>
      </c>
      <c r="G108" s="837">
        <v>5485</v>
      </c>
      <c r="H108" s="827">
        <f t="shared" si="13"/>
        <v>7693</v>
      </c>
      <c r="I108" s="837">
        <v>7613</v>
      </c>
      <c r="J108" s="837">
        <v>80</v>
      </c>
      <c r="K108" s="837">
        <f t="shared" si="8"/>
        <v>41271</v>
      </c>
      <c r="L108" s="838">
        <v>1926</v>
      </c>
      <c r="M108" s="838">
        <v>42</v>
      </c>
      <c r="N108" s="838">
        <v>6982</v>
      </c>
      <c r="O108" s="838">
        <v>14928</v>
      </c>
      <c r="P108" s="838">
        <v>5961</v>
      </c>
      <c r="Q108" s="838">
        <v>11431</v>
      </c>
      <c r="R108" s="838">
        <v>1</v>
      </c>
      <c r="S108" s="838">
        <v>6929</v>
      </c>
      <c r="T108" s="833"/>
      <c r="V108" s="839"/>
      <c r="X108" s="829"/>
      <c r="Y108" s="829"/>
      <c r="AI108" s="834"/>
      <c r="AJ108" s="829"/>
    </row>
    <row r="109" spans="1:36" x14ac:dyDescent="0.2">
      <c r="A109" s="380">
        <v>97</v>
      </c>
      <c r="B109" s="382" t="s">
        <v>207</v>
      </c>
      <c r="C109" s="381" t="s">
        <v>208</v>
      </c>
      <c r="D109" s="837">
        <f t="shared" si="10"/>
        <v>74440</v>
      </c>
      <c r="E109" s="837">
        <f t="shared" si="12"/>
        <v>8058</v>
      </c>
      <c r="F109" s="837">
        <v>1350</v>
      </c>
      <c r="G109" s="837">
        <v>6708</v>
      </c>
      <c r="H109" s="827">
        <f t="shared" si="13"/>
        <v>8902</v>
      </c>
      <c r="I109" s="837">
        <v>8809</v>
      </c>
      <c r="J109" s="837">
        <v>93</v>
      </c>
      <c r="K109" s="837">
        <f t="shared" si="8"/>
        <v>57480</v>
      </c>
      <c r="L109" s="838">
        <v>2229</v>
      </c>
      <c r="M109" s="838">
        <v>27</v>
      </c>
      <c r="N109" s="838">
        <v>7166</v>
      </c>
      <c r="O109" s="838">
        <v>12992</v>
      </c>
      <c r="P109" s="838">
        <v>9780</v>
      </c>
      <c r="Q109" s="838">
        <v>24820</v>
      </c>
      <c r="R109" s="838">
        <v>466</v>
      </c>
      <c r="S109" s="838">
        <v>6409</v>
      </c>
      <c r="T109" s="833"/>
      <c r="V109" s="839"/>
      <c r="X109" s="829"/>
      <c r="Y109" s="829"/>
      <c r="AI109" s="834"/>
      <c r="AJ109" s="829"/>
    </row>
    <row r="110" spans="1:36" ht="24" x14ac:dyDescent="0.2">
      <c r="A110" s="380">
        <v>98</v>
      </c>
      <c r="B110" s="357" t="s">
        <v>209</v>
      </c>
      <c r="C110" s="383" t="s">
        <v>210</v>
      </c>
      <c r="D110" s="837">
        <f t="shared" si="10"/>
        <v>43950</v>
      </c>
      <c r="E110" s="837">
        <f t="shared" si="12"/>
        <v>5529</v>
      </c>
      <c r="F110" s="837">
        <v>913</v>
      </c>
      <c r="G110" s="837">
        <v>4616</v>
      </c>
      <c r="H110" s="827">
        <f t="shared" si="13"/>
        <v>6030</v>
      </c>
      <c r="I110" s="837">
        <v>5960</v>
      </c>
      <c r="J110" s="837">
        <v>70</v>
      </c>
      <c r="K110" s="837">
        <f t="shared" si="8"/>
        <v>32391</v>
      </c>
      <c r="L110" s="838">
        <v>1508</v>
      </c>
      <c r="M110" s="838">
        <v>186</v>
      </c>
      <c r="N110" s="838">
        <v>5488</v>
      </c>
      <c r="O110" s="838">
        <v>11495</v>
      </c>
      <c r="P110" s="838">
        <v>1113</v>
      </c>
      <c r="Q110" s="838">
        <v>12597</v>
      </c>
      <c r="R110" s="838">
        <v>4</v>
      </c>
      <c r="S110" s="838">
        <v>4346</v>
      </c>
      <c r="T110" s="833"/>
      <c r="V110" s="839"/>
      <c r="X110" s="829"/>
      <c r="Y110" s="829"/>
      <c r="AI110" s="834"/>
      <c r="AJ110" s="829"/>
    </row>
    <row r="111" spans="1:36" ht="24" x14ac:dyDescent="0.2">
      <c r="A111" s="380">
        <v>99</v>
      </c>
      <c r="B111" s="357" t="s">
        <v>211</v>
      </c>
      <c r="C111" s="383" t="s">
        <v>212</v>
      </c>
      <c r="D111" s="837">
        <f t="shared" si="10"/>
        <v>63262</v>
      </c>
      <c r="E111" s="837">
        <f t="shared" si="12"/>
        <v>6960</v>
      </c>
      <c r="F111" s="837">
        <v>1362</v>
      </c>
      <c r="G111" s="837">
        <v>5598</v>
      </c>
      <c r="H111" s="827">
        <f t="shared" si="13"/>
        <v>8942</v>
      </c>
      <c r="I111" s="837">
        <v>8888</v>
      </c>
      <c r="J111" s="837">
        <v>54</v>
      </c>
      <c r="K111" s="837">
        <f t="shared" si="8"/>
        <v>47360</v>
      </c>
      <c r="L111" s="838">
        <v>2249</v>
      </c>
      <c r="M111" s="838">
        <v>69</v>
      </c>
      <c r="N111" s="838">
        <v>9878</v>
      </c>
      <c r="O111" s="838">
        <v>15923</v>
      </c>
      <c r="P111" s="838">
        <v>6150</v>
      </c>
      <c r="Q111" s="838">
        <v>12286</v>
      </c>
      <c r="R111" s="838">
        <v>805</v>
      </c>
      <c r="S111" s="838">
        <v>8378</v>
      </c>
      <c r="T111" s="833"/>
      <c r="V111" s="839"/>
      <c r="X111" s="829"/>
      <c r="Y111" s="829"/>
      <c r="AI111" s="834"/>
      <c r="AJ111" s="829"/>
    </row>
    <row r="112" spans="1:36" x14ac:dyDescent="0.2">
      <c r="A112" s="380">
        <v>100</v>
      </c>
      <c r="B112" s="358" t="s">
        <v>213</v>
      </c>
      <c r="C112" s="381" t="s">
        <v>214</v>
      </c>
      <c r="D112" s="837">
        <f t="shared" si="10"/>
        <v>109998</v>
      </c>
      <c r="E112" s="837">
        <f t="shared" si="12"/>
        <v>11952</v>
      </c>
      <c r="F112" s="837">
        <v>2352</v>
      </c>
      <c r="G112" s="837">
        <v>9600</v>
      </c>
      <c r="H112" s="827">
        <f t="shared" si="13"/>
        <v>15423</v>
      </c>
      <c r="I112" s="837">
        <v>15345</v>
      </c>
      <c r="J112" s="837">
        <v>78</v>
      </c>
      <c r="K112" s="837">
        <f t="shared" si="8"/>
        <v>82623</v>
      </c>
      <c r="L112" s="838">
        <v>3882</v>
      </c>
      <c r="M112" s="838">
        <v>276</v>
      </c>
      <c r="N112" s="838">
        <v>18093</v>
      </c>
      <c r="O112" s="838">
        <v>29664</v>
      </c>
      <c r="P112" s="838">
        <v>4600</v>
      </c>
      <c r="Q112" s="838">
        <v>25359</v>
      </c>
      <c r="R112" s="838">
        <v>749</v>
      </c>
      <c r="S112" s="838">
        <v>12853</v>
      </c>
      <c r="T112" s="833"/>
      <c r="V112" s="839"/>
      <c r="X112" s="829"/>
      <c r="Y112" s="829"/>
      <c r="AI112" s="834"/>
      <c r="AJ112" s="829"/>
    </row>
    <row r="113" spans="1:36" x14ac:dyDescent="0.2">
      <c r="A113" s="380">
        <v>101</v>
      </c>
      <c r="B113" s="382" t="s">
        <v>215</v>
      </c>
      <c r="C113" s="381" t="s">
        <v>216</v>
      </c>
      <c r="D113" s="837">
        <f t="shared" si="10"/>
        <v>49453</v>
      </c>
      <c r="E113" s="837">
        <f t="shared" si="12"/>
        <v>5499</v>
      </c>
      <c r="F113" s="837">
        <v>1076</v>
      </c>
      <c r="G113" s="837">
        <v>4423</v>
      </c>
      <c r="H113" s="827">
        <f t="shared" si="13"/>
        <v>7072</v>
      </c>
      <c r="I113" s="837">
        <v>7018</v>
      </c>
      <c r="J113" s="837">
        <v>54</v>
      </c>
      <c r="K113" s="837">
        <f t="shared" si="8"/>
        <v>36882</v>
      </c>
      <c r="L113" s="838">
        <v>1776</v>
      </c>
      <c r="M113" s="838">
        <v>336</v>
      </c>
      <c r="N113" s="838">
        <v>7195</v>
      </c>
      <c r="O113" s="838">
        <v>16925</v>
      </c>
      <c r="P113" s="838">
        <v>5174</v>
      </c>
      <c r="Q113" s="838">
        <v>5473</v>
      </c>
      <c r="R113" s="838">
        <v>3</v>
      </c>
      <c r="S113" s="838">
        <v>7049</v>
      </c>
      <c r="T113" s="833"/>
      <c r="V113" s="839"/>
      <c r="X113" s="829"/>
      <c r="Y113" s="829"/>
      <c r="AI113" s="834"/>
      <c r="AJ113" s="829"/>
    </row>
    <row r="114" spans="1:36" x14ac:dyDescent="0.2">
      <c r="A114" s="380">
        <v>102</v>
      </c>
      <c r="B114" s="358" t="s">
        <v>217</v>
      </c>
      <c r="C114" s="383" t="s">
        <v>218</v>
      </c>
      <c r="D114" s="837">
        <f t="shared" si="10"/>
        <v>7992</v>
      </c>
      <c r="E114" s="837">
        <f t="shared" si="12"/>
        <v>0</v>
      </c>
      <c r="F114" s="837">
        <v>0</v>
      </c>
      <c r="G114" s="837">
        <v>0</v>
      </c>
      <c r="H114" s="827">
        <f t="shared" si="13"/>
        <v>0</v>
      </c>
      <c r="I114" s="837">
        <v>0</v>
      </c>
      <c r="J114" s="837">
        <v>0</v>
      </c>
      <c r="K114" s="837">
        <f t="shared" si="8"/>
        <v>7992</v>
      </c>
      <c r="L114" s="838">
        <v>0</v>
      </c>
      <c r="M114" s="838">
        <v>0</v>
      </c>
      <c r="N114" s="838">
        <v>28</v>
      </c>
      <c r="O114" s="838">
        <v>7964</v>
      </c>
      <c r="P114" s="838">
        <v>0</v>
      </c>
      <c r="Q114" s="838">
        <v>0</v>
      </c>
      <c r="R114" s="838">
        <v>0</v>
      </c>
      <c r="S114" s="838">
        <v>0</v>
      </c>
      <c r="T114" s="833"/>
      <c r="V114" s="839"/>
      <c r="X114" s="829"/>
      <c r="Y114" s="829"/>
      <c r="AI114" s="834"/>
      <c r="AJ114" s="829"/>
    </row>
    <row r="115" spans="1:36" x14ac:dyDescent="0.2">
      <c r="A115" s="380">
        <v>103</v>
      </c>
      <c r="B115" s="358" t="s">
        <v>219</v>
      </c>
      <c r="C115" s="381" t="s">
        <v>220</v>
      </c>
      <c r="D115" s="837">
        <f t="shared" si="10"/>
        <v>0</v>
      </c>
      <c r="E115" s="837">
        <f t="shared" si="12"/>
        <v>0</v>
      </c>
      <c r="F115" s="837">
        <v>0</v>
      </c>
      <c r="G115" s="837">
        <v>0</v>
      </c>
      <c r="H115" s="827">
        <f t="shared" si="13"/>
        <v>0</v>
      </c>
      <c r="I115" s="837">
        <v>0</v>
      </c>
      <c r="J115" s="837">
        <v>0</v>
      </c>
      <c r="K115" s="837">
        <f t="shared" si="8"/>
        <v>0</v>
      </c>
      <c r="L115" s="838">
        <v>0</v>
      </c>
      <c r="M115" s="838">
        <v>0</v>
      </c>
      <c r="N115" s="838">
        <v>0</v>
      </c>
      <c r="O115" s="838">
        <v>0</v>
      </c>
      <c r="P115" s="838">
        <v>0</v>
      </c>
      <c r="Q115" s="838">
        <v>0</v>
      </c>
      <c r="R115" s="838">
        <v>0</v>
      </c>
      <c r="S115" s="838">
        <v>0</v>
      </c>
      <c r="T115" s="833"/>
      <c r="V115" s="839"/>
      <c r="X115" s="829"/>
      <c r="Y115" s="829"/>
      <c r="AI115" s="834"/>
      <c r="AJ115" s="829"/>
    </row>
    <row r="116" spans="1:36" x14ac:dyDescent="0.2">
      <c r="A116" s="380">
        <v>104</v>
      </c>
      <c r="B116" s="357" t="s">
        <v>221</v>
      </c>
      <c r="C116" s="383" t="s">
        <v>222</v>
      </c>
      <c r="D116" s="837">
        <f t="shared" si="10"/>
        <v>1138</v>
      </c>
      <c r="E116" s="837">
        <f t="shared" si="12"/>
        <v>0</v>
      </c>
      <c r="F116" s="837">
        <v>0</v>
      </c>
      <c r="G116" s="837">
        <v>0</v>
      </c>
      <c r="H116" s="827">
        <f t="shared" si="13"/>
        <v>0</v>
      </c>
      <c r="I116" s="837">
        <v>0</v>
      </c>
      <c r="J116" s="837">
        <v>0</v>
      </c>
      <c r="K116" s="837">
        <f t="shared" si="8"/>
        <v>1138</v>
      </c>
      <c r="L116" s="838">
        <v>0</v>
      </c>
      <c r="M116" s="838">
        <v>0</v>
      </c>
      <c r="N116" s="838">
        <v>0</v>
      </c>
      <c r="O116" s="838">
        <v>1138</v>
      </c>
      <c r="P116" s="838">
        <v>0</v>
      </c>
      <c r="Q116" s="838">
        <v>0</v>
      </c>
      <c r="R116" s="838">
        <v>0</v>
      </c>
      <c r="S116" s="838">
        <v>0</v>
      </c>
      <c r="T116" s="833"/>
      <c r="V116" s="839"/>
      <c r="X116" s="829"/>
      <c r="Y116" s="829"/>
      <c r="AI116" s="834"/>
      <c r="AJ116" s="829"/>
    </row>
    <row r="117" spans="1:36" x14ac:dyDescent="0.2">
      <c r="A117" s="380">
        <v>105</v>
      </c>
      <c r="B117" s="357" t="s">
        <v>223</v>
      </c>
      <c r="C117" s="383" t="s">
        <v>224</v>
      </c>
      <c r="D117" s="837">
        <f t="shared" si="10"/>
        <v>0</v>
      </c>
      <c r="E117" s="837">
        <f t="shared" si="12"/>
        <v>0</v>
      </c>
      <c r="F117" s="837">
        <v>0</v>
      </c>
      <c r="G117" s="837">
        <v>0</v>
      </c>
      <c r="H117" s="827">
        <f t="shared" si="13"/>
        <v>0</v>
      </c>
      <c r="I117" s="837">
        <v>0</v>
      </c>
      <c r="J117" s="837">
        <v>0</v>
      </c>
      <c r="K117" s="837">
        <f t="shared" si="8"/>
        <v>0</v>
      </c>
      <c r="L117" s="838">
        <v>0</v>
      </c>
      <c r="M117" s="838">
        <v>0</v>
      </c>
      <c r="N117" s="838">
        <v>0</v>
      </c>
      <c r="O117" s="838">
        <v>0</v>
      </c>
      <c r="P117" s="838">
        <v>0</v>
      </c>
      <c r="Q117" s="838">
        <v>0</v>
      </c>
      <c r="R117" s="838">
        <v>0</v>
      </c>
      <c r="S117" s="838">
        <v>0</v>
      </c>
      <c r="T117" s="833"/>
      <c r="V117" s="839"/>
      <c r="X117" s="829"/>
      <c r="Y117" s="829"/>
      <c r="AI117" s="834"/>
      <c r="AJ117" s="829"/>
    </row>
    <row r="118" spans="1:36" ht="24" x14ac:dyDescent="0.2">
      <c r="A118" s="380">
        <v>106</v>
      </c>
      <c r="B118" s="357" t="s">
        <v>225</v>
      </c>
      <c r="C118" s="383" t="s">
        <v>226</v>
      </c>
      <c r="D118" s="837">
        <f t="shared" si="10"/>
        <v>0</v>
      </c>
      <c r="E118" s="837">
        <f t="shared" si="12"/>
        <v>0</v>
      </c>
      <c r="F118" s="837">
        <v>0</v>
      </c>
      <c r="G118" s="837">
        <v>0</v>
      </c>
      <c r="H118" s="827">
        <f t="shared" si="13"/>
        <v>0</v>
      </c>
      <c r="I118" s="837">
        <v>0</v>
      </c>
      <c r="J118" s="837">
        <v>0</v>
      </c>
      <c r="K118" s="837">
        <f t="shared" si="8"/>
        <v>0</v>
      </c>
      <c r="L118" s="838">
        <v>0</v>
      </c>
      <c r="M118" s="838">
        <v>0</v>
      </c>
      <c r="N118" s="838">
        <v>0</v>
      </c>
      <c r="O118" s="838">
        <v>0</v>
      </c>
      <c r="P118" s="838">
        <v>0</v>
      </c>
      <c r="Q118" s="838">
        <v>0</v>
      </c>
      <c r="R118" s="838">
        <v>0</v>
      </c>
      <c r="S118" s="838">
        <v>0</v>
      </c>
      <c r="T118" s="833"/>
      <c r="V118" s="839"/>
      <c r="X118" s="829"/>
      <c r="Y118" s="829"/>
      <c r="AI118" s="834"/>
      <c r="AJ118" s="829"/>
    </row>
    <row r="119" spans="1:36" ht="24" x14ac:dyDescent="0.2">
      <c r="A119" s="380">
        <v>107</v>
      </c>
      <c r="B119" s="357" t="s">
        <v>227</v>
      </c>
      <c r="C119" s="383" t="s">
        <v>228</v>
      </c>
      <c r="D119" s="837">
        <f t="shared" si="10"/>
        <v>0</v>
      </c>
      <c r="E119" s="837">
        <f t="shared" si="12"/>
        <v>0</v>
      </c>
      <c r="F119" s="837">
        <v>0</v>
      </c>
      <c r="G119" s="837">
        <v>0</v>
      </c>
      <c r="H119" s="827">
        <f t="shared" si="13"/>
        <v>0</v>
      </c>
      <c r="I119" s="837">
        <v>0</v>
      </c>
      <c r="J119" s="837">
        <v>0</v>
      </c>
      <c r="K119" s="837">
        <f t="shared" si="8"/>
        <v>0</v>
      </c>
      <c r="L119" s="838">
        <v>0</v>
      </c>
      <c r="M119" s="838">
        <v>0</v>
      </c>
      <c r="N119" s="838">
        <v>0</v>
      </c>
      <c r="O119" s="838">
        <v>0</v>
      </c>
      <c r="P119" s="838">
        <v>0</v>
      </c>
      <c r="Q119" s="838">
        <v>0</v>
      </c>
      <c r="R119" s="838">
        <v>0</v>
      </c>
      <c r="S119" s="838">
        <v>0</v>
      </c>
      <c r="T119" s="833"/>
      <c r="V119" s="839"/>
      <c r="X119" s="829"/>
      <c r="Y119" s="829"/>
      <c r="AI119" s="834"/>
      <c r="AJ119" s="829"/>
    </row>
    <row r="120" spans="1:36" x14ac:dyDescent="0.2">
      <c r="A120" s="380">
        <v>108</v>
      </c>
      <c r="B120" s="357" t="s">
        <v>229</v>
      </c>
      <c r="C120" s="383" t="s">
        <v>230</v>
      </c>
      <c r="D120" s="837">
        <f t="shared" si="10"/>
        <v>0</v>
      </c>
      <c r="E120" s="837">
        <f t="shared" si="12"/>
        <v>0</v>
      </c>
      <c r="F120" s="837">
        <v>0</v>
      </c>
      <c r="G120" s="837">
        <v>0</v>
      </c>
      <c r="H120" s="827">
        <f t="shared" si="13"/>
        <v>0</v>
      </c>
      <c r="I120" s="837">
        <v>0</v>
      </c>
      <c r="J120" s="837">
        <v>0</v>
      </c>
      <c r="K120" s="837">
        <f t="shared" si="8"/>
        <v>0</v>
      </c>
      <c r="L120" s="838">
        <v>0</v>
      </c>
      <c r="M120" s="838">
        <v>0</v>
      </c>
      <c r="N120" s="838">
        <v>0</v>
      </c>
      <c r="O120" s="838">
        <v>0</v>
      </c>
      <c r="P120" s="838">
        <v>0</v>
      </c>
      <c r="Q120" s="838">
        <v>0</v>
      </c>
      <c r="R120" s="838">
        <v>0</v>
      </c>
      <c r="S120" s="838">
        <v>0</v>
      </c>
      <c r="T120" s="833"/>
      <c r="V120" s="839"/>
      <c r="X120" s="829"/>
      <c r="Y120" s="829"/>
      <c r="AI120" s="834"/>
      <c r="AJ120" s="829"/>
    </row>
    <row r="121" spans="1:36" ht="24" x14ac:dyDescent="0.2">
      <c r="A121" s="380">
        <v>109</v>
      </c>
      <c r="B121" s="357" t="s">
        <v>231</v>
      </c>
      <c r="C121" s="383" t="s">
        <v>232</v>
      </c>
      <c r="D121" s="837">
        <f t="shared" si="10"/>
        <v>29254</v>
      </c>
      <c r="E121" s="837">
        <f t="shared" si="12"/>
        <v>0</v>
      </c>
      <c r="F121" s="837">
        <v>0</v>
      </c>
      <c r="G121" s="837">
        <v>0</v>
      </c>
      <c r="H121" s="827">
        <f t="shared" si="13"/>
        <v>0</v>
      </c>
      <c r="I121" s="837">
        <v>0</v>
      </c>
      <c r="J121" s="837">
        <v>0</v>
      </c>
      <c r="K121" s="837">
        <f t="shared" si="8"/>
        <v>29254</v>
      </c>
      <c r="L121" s="838">
        <v>0</v>
      </c>
      <c r="M121" s="838">
        <v>0</v>
      </c>
      <c r="N121" s="838">
        <v>8</v>
      </c>
      <c r="O121" s="838">
        <v>29246</v>
      </c>
      <c r="P121" s="838">
        <v>0</v>
      </c>
      <c r="Q121" s="838">
        <v>0</v>
      </c>
      <c r="R121" s="838">
        <v>0</v>
      </c>
      <c r="S121" s="838">
        <v>0</v>
      </c>
      <c r="T121" s="833"/>
      <c r="V121" s="839"/>
      <c r="X121" s="829"/>
      <c r="Y121" s="829"/>
      <c r="AI121" s="834"/>
      <c r="AJ121" s="829"/>
    </row>
    <row r="122" spans="1:36" x14ac:dyDescent="0.2">
      <c r="A122" s="380">
        <v>110</v>
      </c>
      <c r="B122" s="388" t="s">
        <v>233</v>
      </c>
      <c r="C122" s="389" t="s">
        <v>234</v>
      </c>
      <c r="D122" s="837">
        <f t="shared" si="10"/>
        <v>0</v>
      </c>
      <c r="E122" s="837">
        <f t="shared" si="12"/>
        <v>0</v>
      </c>
      <c r="F122" s="837">
        <v>0</v>
      </c>
      <c r="G122" s="837">
        <v>0</v>
      </c>
      <c r="H122" s="827">
        <f t="shared" si="13"/>
        <v>0</v>
      </c>
      <c r="I122" s="837">
        <v>0</v>
      </c>
      <c r="J122" s="837">
        <v>0</v>
      </c>
      <c r="K122" s="837">
        <f t="shared" si="8"/>
        <v>0</v>
      </c>
      <c r="L122" s="838">
        <v>0</v>
      </c>
      <c r="M122" s="838">
        <v>0</v>
      </c>
      <c r="N122" s="838">
        <v>0</v>
      </c>
      <c r="O122" s="838">
        <v>0</v>
      </c>
      <c r="P122" s="838">
        <v>0</v>
      </c>
      <c r="Q122" s="838">
        <v>0</v>
      </c>
      <c r="R122" s="838">
        <v>0</v>
      </c>
      <c r="S122" s="838">
        <v>0</v>
      </c>
      <c r="T122" s="833"/>
      <c r="V122" s="839"/>
      <c r="X122" s="829"/>
      <c r="Y122" s="829"/>
      <c r="AI122" s="834"/>
      <c r="AJ122" s="829"/>
    </row>
    <row r="123" spans="1:36" ht="24" x14ac:dyDescent="0.2">
      <c r="A123" s="380">
        <v>111</v>
      </c>
      <c r="B123" s="388" t="s">
        <v>235</v>
      </c>
      <c r="C123" s="389" t="s">
        <v>236</v>
      </c>
      <c r="D123" s="837">
        <f t="shared" si="10"/>
        <v>130</v>
      </c>
      <c r="E123" s="837">
        <f t="shared" si="12"/>
        <v>0</v>
      </c>
      <c r="F123" s="837">
        <v>0</v>
      </c>
      <c r="G123" s="837">
        <v>0</v>
      </c>
      <c r="H123" s="827">
        <f t="shared" si="13"/>
        <v>0</v>
      </c>
      <c r="I123" s="837">
        <v>0</v>
      </c>
      <c r="J123" s="837">
        <v>0</v>
      </c>
      <c r="K123" s="837">
        <f t="shared" si="8"/>
        <v>130</v>
      </c>
      <c r="L123" s="838">
        <v>0</v>
      </c>
      <c r="M123" s="838">
        <v>0</v>
      </c>
      <c r="N123" s="838">
        <v>0</v>
      </c>
      <c r="O123" s="838">
        <v>130</v>
      </c>
      <c r="P123" s="838">
        <v>0</v>
      </c>
      <c r="Q123" s="838">
        <v>0</v>
      </c>
      <c r="R123" s="838">
        <v>0</v>
      </c>
      <c r="S123" s="838">
        <v>0</v>
      </c>
      <c r="T123" s="833"/>
      <c r="V123" s="839"/>
      <c r="X123" s="829"/>
      <c r="Y123" s="829"/>
      <c r="AI123" s="834"/>
      <c r="AJ123" s="829"/>
    </row>
    <row r="124" spans="1:36" x14ac:dyDescent="0.2">
      <c r="A124" s="380">
        <v>112</v>
      </c>
      <c r="B124" s="382" t="s">
        <v>237</v>
      </c>
      <c r="C124" s="381" t="s">
        <v>238</v>
      </c>
      <c r="D124" s="837">
        <f t="shared" si="10"/>
        <v>0</v>
      </c>
      <c r="E124" s="837">
        <f t="shared" si="12"/>
        <v>0</v>
      </c>
      <c r="F124" s="837">
        <v>0</v>
      </c>
      <c r="G124" s="837">
        <v>0</v>
      </c>
      <c r="H124" s="827">
        <f t="shared" si="13"/>
        <v>0</v>
      </c>
      <c r="I124" s="837">
        <v>0</v>
      </c>
      <c r="J124" s="837">
        <v>0</v>
      </c>
      <c r="K124" s="837">
        <f t="shared" si="8"/>
        <v>0</v>
      </c>
      <c r="L124" s="838">
        <v>0</v>
      </c>
      <c r="M124" s="838">
        <v>0</v>
      </c>
      <c r="N124" s="838">
        <v>0</v>
      </c>
      <c r="O124" s="838">
        <v>0</v>
      </c>
      <c r="P124" s="838">
        <v>0</v>
      </c>
      <c r="Q124" s="838">
        <v>0</v>
      </c>
      <c r="R124" s="838">
        <v>0</v>
      </c>
      <c r="S124" s="838">
        <v>0</v>
      </c>
      <c r="T124" s="833"/>
      <c r="V124" s="839"/>
      <c r="X124" s="829"/>
      <c r="Y124" s="829"/>
      <c r="AI124" s="834"/>
      <c r="AJ124" s="829"/>
    </row>
    <row r="125" spans="1:36" ht="24" x14ac:dyDescent="0.2">
      <c r="A125" s="380">
        <v>113</v>
      </c>
      <c r="B125" s="357" t="s">
        <v>239</v>
      </c>
      <c r="C125" s="383" t="s">
        <v>240</v>
      </c>
      <c r="D125" s="837">
        <f t="shared" si="10"/>
        <v>0</v>
      </c>
      <c r="E125" s="837">
        <f t="shared" si="12"/>
        <v>0</v>
      </c>
      <c r="F125" s="837">
        <v>0</v>
      </c>
      <c r="G125" s="837">
        <v>0</v>
      </c>
      <c r="H125" s="827">
        <f t="shared" si="13"/>
        <v>0</v>
      </c>
      <c r="I125" s="837">
        <v>0</v>
      </c>
      <c r="J125" s="837">
        <v>0</v>
      </c>
      <c r="K125" s="837">
        <f t="shared" si="8"/>
        <v>0</v>
      </c>
      <c r="L125" s="838">
        <v>0</v>
      </c>
      <c r="M125" s="838">
        <v>0</v>
      </c>
      <c r="N125" s="838">
        <v>0</v>
      </c>
      <c r="O125" s="838">
        <v>0</v>
      </c>
      <c r="P125" s="838">
        <v>0</v>
      </c>
      <c r="Q125" s="838">
        <v>0</v>
      </c>
      <c r="R125" s="838">
        <v>0</v>
      </c>
      <c r="S125" s="838">
        <v>0</v>
      </c>
      <c r="T125" s="833"/>
      <c r="V125" s="839"/>
      <c r="X125" s="829"/>
      <c r="Y125" s="829"/>
      <c r="AI125" s="834"/>
      <c r="AJ125" s="829"/>
    </row>
    <row r="126" spans="1:36" ht="24" x14ac:dyDescent="0.2">
      <c r="A126" s="380">
        <v>114</v>
      </c>
      <c r="B126" s="358" t="s">
        <v>241</v>
      </c>
      <c r="C126" s="390" t="s">
        <v>242</v>
      </c>
      <c r="D126" s="837">
        <f t="shared" si="10"/>
        <v>0</v>
      </c>
      <c r="E126" s="837">
        <f t="shared" si="12"/>
        <v>0</v>
      </c>
      <c r="F126" s="837">
        <v>0</v>
      </c>
      <c r="G126" s="837">
        <v>0</v>
      </c>
      <c r="H126" s="827">
        <f t="shared" si="13"/>
        <v>0</v>
      </c>
      <c r="I126" s="837">
        <v>0</v>
      </c>
      <c r="J126" s="837">
        <v>0</v>
      </c>
      <c r="K126" s="837">
        <f t="shared" si="8"/>
        <v>0</v>
      </c>
      <c r="L126" s="838">
        <v>0</v>
      </c>
      <c r="M126" s="838">
        <v>0</v>
      </c>
      <c r="N126" s="838">
        <v>0</v>
      </c>
      <c r="O126" s="838">
        <v>0</v>
      </c>
      <c r="P126" s="838">
        <v>0</v>
      </c>
      <c r="Q126" s="838">
        <v>0</v>
      </c>
      <c r="R126" s="838">
        <v>0</v>
      </c>
      <c r="S126" s="838">
        <v>0</v>
      </c>
      <c r="T126" s="833"/>
      <c r="V126" s="839"/>
      <c r="X126" s="829"/>
      <c r="Y126" s="829"/>
      <c r="AI126" s="834"/>
      <c r="AJ126" s="829"/>
    </row>
    <row r="127" spans="1:36" x14ac:dyDescent="0.2">
      <c r="A127" s="380">
        <v>115</v>
      </c>
      <c r="B127" s="357" t="s">
        <v>243</v>
      </c>
      <c r="C127" s="50" t="s">
        <v>385</v>
      </c>
      <c r="D127" s="837">
        <f t="shared" si="10"/>
        <v>0</v>
      </c>
      <c r="E127" s="837">
        <f t="shared" si="12"/>
        <v>0</v>
      </c>
      <c r="F127" s="837">
        <v>0</v>
      </c>
      <c r="G127" s="837">
        <v>0</v>
      </c>
      <c r="H127" s="827">
        <f t="shared" si="13"/>
        <v>0</v>
      </c>
      <c r="I127" s="837">
        <v>0</v>
      </c>
      <c r="J127" s="837">
        <v>0</v>
      </c>
      <c r="K127" s="837">
        <f t="shared" si="8"/>
        <v>0</v>
      </c>
      <c r="L127" s="838">
        <v>0</v>
      </c>
      <c r="M127" s="838">
        <v>0</v>
      </c>
      <c r="N127" s="838">
        <v>0</v>
      </c>
      <c r="O127" s="838">
        <v>0</v>
      </c>
      <c r="P127" s="838">
        <v>0</v>
      </c>
      <c r="Q127" s="838">
        <v>0</v>
      </c>
      <c r="R127" s="838">
        <v>0</v>
      </c>
      <c r="S127" s="838">
        <v>0</v>
      </c>
      <c r="T127" s="833"/>
      <c r="V127" s="839"/>
      <c r="X127" s="829"/>
      <c r="Y127" s="829"/>
      <c r="AI127" s="834"/>
      <c r="AJ127" s="829"/>
    </row>
    <row r="128" spans="1:36" x14ac:dyDescent="0.2">
      <c r="A128" s="380">
        <v>116</v>
      </c>
      <c r="B128" s="382" t="s">
        <v>244</v>
      </c>
      <c r="C128" s="383" t="s">
        <v>245</v>
      </c>
      <c r="D128" s="837">
        <f t="shared" si="10"/>
        <v>0</v>
      </c>
      <c r="E128" s="837">
        <f t="shared" si="12"/>
        <v>0</v>
      </c>
      <c r="F128" s="837">
        <v>0</v>
      </c>
      <c r="G128" s="837">
        <v>0</v>
      </c>
      <c r="H128" s="827">
        <f t="shared" si="13"/>
        <v>0</v>
      </c>
      <c r="I128" s="837">
        <v>0</v>
      </c>
      <c r="J128" s="837">
        <v>0</v>
      </c>
      <c r="K128" s="837">
        <f t="shared" si="8"/>
        <v>0</v>
      </c>
      <c r="L128" s="838">
        <v>0</v>
      </c>
      <c r="M128" s="838">
        <v>0</v>
      </c>
      <c r="N128" s="838">
        <v>0</v>
      </c>
      <c r="O128" s="838">
        <v>0</v>
      </c>
      <c r="P128" s="838">
        <v>0</v>
      </c>
      <c r="Q128" s="838">
        <v>0</v>
      </c>
      <c r="R128" s="838">
        <v>0</v>
      </c>
      <c r="S128" s="838">
        <v>0</v>
      </c>
      <c r="T128" s="833"/>
      <c r="V128" s="839"/>
      <c r="X128" s="829"/>
      <c r="Y128" s="829"/>
      <c r="AI128" s="834"/>
      <c r="AJ128" s="829"/>
    </row>
    <row r="129" spans="1:36" ht="24" x14ac:dyDescent="0.2">
      <c r="A129" s="380">
        <v>117</v>
      </c>
      <c r="B129" s="382" t="s">
        <v>246</v>
      </c>
      <c r="C129" s="383" t="s">
        <v>247</v>
      </c>
      <c r="D129" s="837">
        <f t="shared" si="10"/>
        <v>0</v>
      </c>
      <c r="E129" s="837">
        <f t="shared" si="12"/>
        <v>0</v>
      </c>
      <c r="F129" s="837">
        <v>0</v>
      </c>
      <c r="G129" s="837">
        <v>0</v>
      </c>
      <c r="H129" s="827">
        <f t="shared" si="13"/>
        <v>0</v>
      </c>
      <c r="I129" s="837">
        <v>0</v>
      </c>
      <c r="J129" s="837">
        <v>0</v>
      </c>
      <c r="K129" s="837">
        <f t="shared" si="8"/>
        <v>0</v>
      </c>
      <c r="L129" s="838">
        <v>0</v>
      </c>
      <c r="M129" s="838">
        <v>0</v>
      </c>
      <c r="N129" s="838">
        <v>0</v>
      </c>
      <c r="O129" s="838">
        <v>0</v>
      </c>
      <c r="P129" s="838">
        <v>0</v>
      </c>
      <c r="Q129" s="838">
        <v>0</v>
      </c>
      <c r="R129" s="838">
        <v>0</v>
      </c>
      <c r="S129" s="838">
        <v>0</v>
      </c>
      <c r="T129" s="833"/>
      <c r="V129" s="839"/>
      <c r="X129" s="829"/>
      <c r="Y129" s="829"/>
      <c r="AI129" s="834"/>
      <c r="AJ129" s="829"/>
    </row>
    <row r="130" spans="1:36" x14ac:dyDescent="0.2">
      <c r="A130" s="380">
        <v>118</v>
      </c>
      <c r="B130" s="382" t="s">
        <v>248</v>
      </c>
      <c r="C130" s="383" t="s">
        <v>249</v>
      </c>
      <c r="D130" s="837">
        <f t="shared" si="10"/>
        <v>0</v>
      </c>
      <c r="E130" s="837">
        <f t="shared" si="12"/>
        <v>0</v>
      </c>
      <c r="F130" s="837">
        <v>0</v>
      </c>
      <c r="G130" s="837">
        <v>0</v>
      </c>
      <c r="H130" s="827">
        <f t="shared" si="13"/>
        <v>0</v>
      </c>
      <c r="I130" s="837">
        <v>0</v>
      </c>
      <c r="J130" s="837">
        <v>0</v>
      </c>
      <c r="K130" s="837">
        <f t="shared" si="8"/>
        <v>0</v>
      </c>
      <c r="L130" s="838">
        <v>0</v>
      </c>
      <c r="M130" s="838">
        <v>0</v>
      </c>
      <c r="N130" s="838">
        <v>0</v>
      </c>
      <c r="O130" s="838">
        <v>0</v>
      </c>
      <c r="P130" s="838">
        <v>0</v>
      </c>
      <c r="Q130" s="838">
        <v>0</v>
      </c>
      <c r="R130" s="838">
        <v>0</v>
      </c>
      <c r="S130" s="838">
        <v>0</v>
      </c>
      <c r="T130" s="833"/>
      <c r="V130" s="839"/>
      <c r="X130" s="829"/>
      <c r="Y130" s="829"/>
      <c r="AI130" s="834"/>
      <c r="AJ130" s="829"/>
    </row>
    <row r="131" spans="1:36" x14ac:dyDescent="0.2">
      <c r="A131" s="380">
        <v>119</v>
      </c>
      <c r="B131" s="358" t="s">
        <v>250</v>
      </c>
      <c r="C131" s="381" t="s">
        <v>251</v>
      </c>
      <c r="D131" s="837">
        <f t="shared" si="10"/>
        <v>1391</v>
      </c>
      <c r="E131" s="837">
        <f t="shared" si="12"/>
        <v>0</v>
      </c>
      <c r="F131" s="838">
        <v>0</v>
      </c>
      <c r="G131" s="838">
        <v>0</v>
      </c>
      <c r="H131" s="827">
        <f t="shared" si="13"/>
        <v>0</v>
      </c>
      <c r="I131" s="838">
        <v>0</v>
      </c>
      <c r="J131" s="838">
        <v>0</v>
      </c>
      <c r="K131" s="837">
        <f t="shared" si="8"/>
        <v>1391</v>
      </c>
      <c r="L131" s="838">
        <v>0</v>
      </c>
      <c r="M131" s="838">
        <v>0</v>
      </c>
      <c r="N131" s="838">
        <v>8</v>
      </c>
      <c r="O131" s="838">
        <v>1383</v>
      </c>
      <c r="P131" s="838">
        <v>0</v>
      </c>
      <c r="Q131" s="838">
        <v>0</v>
      </c>
      <c r="R131" s="838">
        <v>0</v>
      </c>
      <c r="S131" s="838">
        <v>0</v>
      </c>
      <c r="T131" s="833"/>
      <c r="V131" s="839"/>
      <c r="X131" s="829"/>
      <c r="Y131" s="829"/>
      <c r="AI131" s="834"/>
      <c r="AJ131" s="829"/>
    </row>
    <row r="132" spans="1:36" x14ac:dyDescent="0.2">
      <c r="A132" s="380">
        <v>120</v>
      </c>
      <c r="B132" s="382" t="s">
        <v>252</v>
      </c>
      <c r="C132" s="381" t="s">
        <v>253</v>
      </c>
      <c r="D132" s="837">
        <f t="shared" si="10"/>
        <v>0</v>
      </c>
      <c r="E132" s="837">
        <f t="shared" si="12"/>
        <v>0</v>
      </c>
      <c r="F132" s="838">
        <v>0</v>
      </c>
      <c r="G132" s="838">
        <v>0</v>
      </c>
      <c r="H132" s="827">
        <f t="shared" si="13"/>
        <v>0</v>
      </c>
      <c r="I132" s="838">
        <v>0</v>
      </c>
      <c r="J132" s="838">
        <v>0</v>
      </c>
      <c r="K132" s="837">
        <f t="shared" si="8"/>
        <v>0</v>
      </c>
      <c r="L132" s="838">
        <v>0</v>
      </c>
      <c r="M132" s="838">
        <v>0</v>
      </c>
      <c r="N132" s="838">
        <v>0</v>
      </c>
      <c r="O132" s="838">
        <v>0</v>
      </c>
      <c r="P132" s="838">
        <v>0</v>
      </c>
      <c r="Q132" s="838">
        <v>0</v>
      </c>
      <c r="R132" s="838">
        <v>0</v>
      </c>
      <c r="S132" s="838">
        <v>0</v>
      </c>
      <c r="T132" s="833"/>
      <c r="V132" s="839"/>
      <c r="X132" s="829"/>
      <c r="Y132" s="829"/>
      <c r="AI132" s="834"/>
      <c r="AJ132" s="829"/>
    </row>
    <row r="133" spans="1:36" x14ac:dyDescent="0.2">
      <c r="A133" s="380">
        <v>121</v>
      </c>
      <c r="B133" s="357" t="s">
        <v>254</v>
      </c>
      <c r="C133" s="383" t="s">
        <v>255</v>
      </c>
      <c r="D133" s="837">
        <f t="shared" si="10"/>
        <v>9754</v>
      </c>
      <c r="E133" s="837">
        <f t="shared" si="12"/>
        <v>0</v>
      </c>
      <c r="F133" s="838">
        <v>0</v>
      </c>
      <c r="G133" s="838">
        <v>0</v>
      </c>
      <c r="H133" s="827">
        <f t="shared" si="13"/>
        <v>0</v>
      </c>
      <c r="I133" s="838">
        <v>0</v>
      </c>
      <c r="J133" s="838">
        <v>0</v>
      </c>
      <c r="K133" s="837">
        <f t="shared" si="8"/>
        <v>9754</v>
      </c>
      <c r="L133" s="838">
        <v>0</v>
      </c>
      <c r="M133" s="838">
        <v>0</v>
      </c>
      <c r="N133" s="838">
        <v>12</v>
      </c>
      <c r="O133" s="838">
        <v>9742</v>
      </c>
      <c r="P133" s="838">
        <v>0</v>
      </c>
      <c r="Q133" s="838">
        <v>0</v>
      </c>
      <c r="R133" s="838">
        <v>0</v>
      </c>
      <c r="S133" s="838">
        <v>0</v>
      </c>
      <c r="T133" s="833"/>
      <c r="V133" s="839"/>
      <c r="X133" s="829"/>
      <c r="Y133" s="829"/>
      <c r="AI133" s="834"/>
      <c r="AJ133" s="829"/>
    </row>
    <row r="134" spans="1:36" x14ac:dyDescent="0.2">
      <c r="A134" s="380">
        <v>122</v>
      </c>
      <c r="B134" s="357" t="s">
        <v>256</v>
      </c>
      <c r="C134" s="383" t="s">
        <v>257</v>
      </c>
      <c r="D134" s="837">
        <f t="shared" si="10"/>
        <v>0</v>
      </c>
      <c r="E134" s="837">
        <f t="shared" si="12"/>
        <v>0</v>
      </c>
      <c r="F134" s="838">
        <v>0</v>
      </c>
      <c r="G134" s="838">
        <v>0</v>
      </c>
      <c r="H134" s="827">
        <f t="shared" si="13"/>
        <v>0</v>
      </c>
      <c r="I134" s="838">
        <v>0</v>
      </c>
      <c r="J134" s="838">
        <v>0</v>
      </c>
      <c r="K134" s="837">
        <f t="shared" si="8"/>
        <v>0</v>
      </c>
      <c r="L134" s="838">
        <v>0</v>
      </c>
      <c r="M134" s="838">
        <v>0</v>
      </c>
      <c r="N134" s="838">
        <v>0</v>
      </c>
      <c r="O134" s="838">
        <v>0</v>
      </c>
      <c r="P134" s="838">
        <v>0</v>
      </c>
      <c r="Q134" s="838">
        <v>0</v>
      </c>
      <c r="R134" s="838">
        <v>0</v>
      </c>
      <c r="S134" s="838">
        <v>0</v>
      </c>
      <c r="T134" s="833"/>
      <c r="V134" s="839"/>
      <c r="X134" s="829"/>
      <c r="Y134" s="829"/>
      <c r="AI134" s="834"/>
      <c r="AJ134" s="829"/>
    </row>
    <row r="135" spans="1:36" x14ac:dyDescent="0.2">
      <c r="A135" s="380">
        <v>123</v>
      </c>
      <c r="B135" s="357" t="s">
        <v>258</v>
      </c>
      <c r="C135" s="383" t="s">
        <v>259</v>
      </c>
      <c r="D135" s="837">
        <f t="shared" si="10"/>
        <v>223231</v>
      </c>
      <c r="E135" s="837">
        <f t="shared" si="12"/>
        <v>0</v>
      </c>
      <c r="F135" s="838">
        <v>0</v>
      </c>
      <c r="G135" s="838">
        <v>0</v>
      </c>
      <c r="H135" s="827">
        <f t="shared" si="13"/>
        <v>0</v>
      </c>
      <c r="I135" s="838">
        <v>0</v>
      </c>
      <c r="J135" s="838">
        <v>0</v>
      </c>
      <c r="K135" s="837">
        <f t="shared" si="8"/>
        <v>223231</v>
      </c>
      <c r="L135" s="838">
        <v>0</v>
      </c>
      <c r="M135" s="838">
        <v>0</v>
      </c>
      <c r="N135" s="838">
        <v>0</v>
      </c>
      <c r="O135" s="838">
        <v>223231</v>
      </c>
      <c r="P135" s="838">
        <v>0</v>
      </c>
      <c r="Q135" s="838">
        <v>0</v>
      </c>
      <c r="R135" s="838">
        <v>0</v>
      </c>
      <c r="S135" s="838">
        <v>0</v>
      </c>
      <c r="T135" s="833"/>
      <c r="V135" s="839"/>
      <c r="X135" s="829"/>
      <c r="Y135" s="829"/>
      <c r="AI135" s="834"/>
      <c r="AJ135" s="829"/>
    </row>
    <row r="136" spans="1:36" x14ac:dyDescent="0.2">
      <c r="A136" s="380">
        <v>124</v>
      </c>
      <c r="B136" s="357" t="s">
        <v>260</v>
      </c>
      <c r="C136" s="383" t="s">
        <v>261</v>
      </c>
      <c r="D136" s="837">
        <f t="shared" si="10"/>
        <v>137000</v>
      </c>
      <c r="E136" s="837">
        <f t="shared" si="12"/>
        <v>0</v>
      </c>
      <c r="F136" s="838">
        <v>0</v>
      </c>
      <c r="G136" s="838">
        <v>0</v>
      </c>
      <c r="H136" s="827">
        <f t="shared" si="13"/>
        <v>0</v>
      </c>
      <c r="I136" s="838">
        <v>0</v>
      </c>
      <c r="J136" s="838">
        <v>0</v>
      </c>
      <c r="K136" s="837">
        <f t="shared" si="8"/>
        <v>137000</v>
      </c>
      <c r="L136" s="838">
        <v>0</v>
      </c>
      <c r="M136" s="838">
        <v>0</v>
      </c>
      <c r="N136" s="838">
        <v>0</v>
      </c>
      <c r="O136" s="838">
        <v>137000</v>
      </c>
      <c r="P136" s="838">
        <v>0</v>
      </c>
      <c r="Q136" s="838">
        <v>0</v>
      </c>
      <c r="R136" s="838">
        <v>0</v>
      </c>
      <c r="S136" s="838">
        <v>0</v>
      </c>
      <c r="T136" s="833"/>
      <c r="V136" s="839"/>
      <c r="X136" s="829"/>
      <c r="Y136" s="829"/>
      <c r="AI136" s="834"/>
      <c r="AJ136" s="829"/>
    </row>
    <row r="137" spans="1:36" x14ac:dyDescent="0.2">
      <c r="A137" s="380">
        <v>125</v>
      </c>
      <c r="B137" s="357" t="s">
        <v>262</v>
      </c>
      <c r="C137" s="383" t="s">
        <v>263</v>
      </c>
      <c r="D137" s="837">
        <f t="shared" si="10"/>
        <v>90000</v>
      </c>
      <c r="E137" s="837">
        <f t="shared" si="12"/>
        <v>0</v>
      </c>
      <c r="F137" s="838">
        <v>0</v>
      </c>
      <c r="G137" s="838">
        <v>0</v>
      </c>
      <c r="H137" s="827">
        <f t="shared" si="13"/>
        <v>0</v>
      </c>
      <c r="I137" s="838">
        <v>0</v>
      </c>
      <c r="J137" s="838">
        <v>0</v>
      </c>
      <c r="K137" s="837">
        <f t="shared" si="8"/>
        <v>90000</v>
      </c>
      <c r="L137" s="838">
        <v>0</v>
      </c>
      <c r="M137" s="838">
        <v>0</v>
      </c>
      <c r="N137" s="838">
        <v>0</v>
      </c>
      <c r="O137" s="838">
        <v>90000</v>
      </c>
      <c r="P137" s="838">
        <v>0</v>
      </c>
      <c r="Q137" s="838">
        <v>0</v>
      </c>
      <c r="R137" s="838">
        <v>0</v>
      </c>
      <c r="S137" s="838">
        <v>0</v>
      </c>
      <c r="T137" s="833"/>
      <c r="V137" s="839"/>
      <c r="X137" s="829"/>
      <c r="Y137" s="829"/>
      <c r="AI137" s="834"/>
      <c r="AJ137" s="829"/>
    </row>
    <row r="138" spans="1:36" x14ac:dyDescent="0.2">
      <c r="A138" s="380">
        <v>126</v>
      </c>
      <c r="B138" s="358" t="s">
        <v>264</v>
      </c>
      <c r="C138" s="381" t="s">
        <v>265</v>
      </c>
      <c r="D138" s="837">
        <f t="shared" si="10"/>
        <v>114092</v>
      </c>
      <c r="E138" s="837">
        <f t="shared" si="12"/>
        <v>0</v>
      </c>
      <c r="F138" s="838">
        <v>0</v>
      </c>
      <c r="G138" s="838">
        <v>0</v>
      </c>
      <c r="H138" s="827">
        <f t="shared" si="13"/>
        <v>0</v>
      </c>
      <c r="I138" s="838">
        <v>0</v>
      </c>
      <c r="J138" s="838">
        <v>0</v>
      </c>
      <c r="K138" s="837">
        <f t="shared" si="8"/>
        <v>114092</v>
      </c>
      <c r="L138" s="838">
        <v>0</v>
      </c>
      <c r="M138" s="838">
        <v>0</v>
      </c>
      <c r="N138" s="838">
        <v>0</v>
      </c>
      <c r="O138" s="838">
        <v>114092</v>
      </c>
      <c r="P138" s="838">
        <v>0</v>
      </c>
      <c r="Q138" s="838">
        <v>0</v>
      </c>
      <c r="R138" s="838">
        <v>0</v>
      </c>
      <c r="S138" s="838">
        <v>0</v>
      </c>
      <c r="T138" s="833"/>
      <c r="V138" s="839"/>
      <c r="X138" s="829"/>
      <c r="Y138" s="829"/>
      <c r="AI138" s="834"/>
      <c r="AJ138" s="829"/>
    </row>
    <row r="139" spans="1:36" x14ac:dyDescent="0.2">
      <c r="A139" s="380">
        <v>127</v>
      </c>
      <c r="B139" s="358" t="s">
        <v>266</v>
      </c>
      <c r="C139" s="383" t="s">
        <v>267</v>
      </c>
      <c r="D139" s="837">
        <f t="shared" si="10"/>
        <v>87522</v>
      </c>
      <c r="E139" s="837">
        <f t="shared" si="12"/>
        <v>0</v>
      </c>
      <c r="F139" s="838">
        <v>0</v>
      </c>
      <c r="G139" s="838">
        <v>0</v>
      </c>
      <c r="H139" s="827">
        <f t="shared" si="13"/>
        <v>0</v>
      </c>
      <c r="I139" s="838">
        <v>0</v>
      </c>
      <c r="J139" s="838">
        <v>0</v>
      </c>
      <c r="K139" s="837">
        <f t="shared" ref="K139:K152" si="14">SUM(L139:R139)</f>
        <v>87522</v>
      </c>
      <c r="L139" s="838">
        <v>0</v>
      </c>
      <c r="M139" s="838">
        <v>0</v>
      </c>
      <c r="N139" s="838">
        <v>0</v>
      </c>
      <c r="O139" s="838">
        <v>75721</v>
      </c>
      <c r="P139" s="838">
        <v>0</v>
      </c>
      <c r="Q139" s="838">
        <v>11801</v>
      </c>
      <c r="R139" s="838">
        <v>0</v>
      </c>
      <c r="S139" s="838">
        <v>0</v>
      </c>
      <c r="T139" s="833"/>
      <c r="V139" s="839"/>
      <c r="X139" s="829"/>
      <c r="Y139" s="829"/>
      <c r="AI139" s="834"/>
      <c r="AJ139" s="829"/>
    </row>
    <row r="140" spans="1:36" x14ac:dyDescent="0.2">
      <c r="A140" s="380">
        <v>128</v>
      </c>
      <c r="B140" s="384" t="s">
        <v>268</v>
      </c>
      <c r="C140" s="385" t="s">
        <v>269</v>
      </c>
      <c r="D140" s="837">
        <f t="shared" si="10"/>
        <v>60775</v>
      </c>
      <c r="E140" s="837">
        <f t="shared" si="12"/>
        <v>0</v>
      </c>
      <c r="F140" s="838">
        <v>0</v>
      </c>
      <c r="G140" s="838">
        <v>0</v>
      </c>
      <c r="H140" s="827">
        <f t="shared" si="13"/>
        <v>0</v>
      </c>
      <c r="I140" s="838">
        <v>0</v>
      </c>
      <c r="J140" s="838">
        <v>0</v>
      </c>
      <c r="K140" s="837">
        <f t="shared" si="14"/>
        <v>60775</v>
      </c>
      <c r="L140" s="838">
        <v>0</v>
      </c>
      <c r="M140" s="838">
        <v>0</v>
      </c>
      <c r="N140" s="838">
        <v>0</v>
      </c>
      <c r="O140" s="838">
        <v>36644</v>
      </c>
      <c r="P140" s="838">
        <v>0</v>
      </c>
      <c r="Q140" s="838">
        <v>24131</v>
      </c>
      <c r="R140" s="838">
        <v>0</v>
      </c>
      <c r="S140" s="838">
        <v>0</v>
      </c>
      <c r="T140" s="833"/>
      <c r="V140" s="839"/>
      <c r="X140" s="829"/>
      <c r="Y140" s="829"/>
      <c r="AI140" s="834"/>
      <c r="AJ140" s="829"/>
    </row>
    <row r="141" spans="1:36" x14ac:dyDescent="0.2">
      <c r="A141" s="380">
        <v>129</v>
      </c>
      <c r="B141" s="357" t="s">
        <v>270</v>
      </c>
      <c r="C141" s="383" t="s">
        <v>271</v>
      </c>
      <c r="D141" s="837">
        <f t="shared" si="10"/>
        <v>78000</v>
      </c>
      <c r="E141" s="837">
        <f t="shared" si="12"/>
        <v>0</v>
      </c>
      <c r="F141" s="838">
        <v>0</v>
      </c>
      <c r="G141" s="838">
        <v>0</v>
      </c>
      <c r="H141" s="827">
        <f t="shared" si="13"/>
        <v>0</v>
      </c>
      <c r="I141" s="838">
        <v>0</v>
      </c>
      <c r="J141" s="838">
        <v>0</v>
      </c>
      <c r="K141" s="837">
        <f t="shared" si="14"/>
        <v>78000</v>
      </c>
      <c r="L141" s="838">
        <v>0</v>
      </c>
      <c r="M141" s="838">
        <v>0</v>
      </c>
      <c r="N141" s="838">
        <v>0</v>
      </c>
      <c r="O141" s="838">
        <v>78000</v>
      </c>
      <c r="P141" s="838">
        <v>0</v>
      </c>
      <c r="Q141" s="838">
        <v>0</v>
      </c>
      <c r="R141" s="838">
        <v>0</v>
      </c>
      <c r="S141" s="838">
        <v>0</v>
      </c>
      <c r="T141" s="833"/>
      <c r="V141" s="839"/>
      <c r="X141" s="829"/>
      <c r="Y141" s="829"/>
      <c r="AI141" s="834"/>
      <c r="AJ141" s="829"/>
    </row>
    <row r="142" spans="1:36" x14ac:dyDescent="0.2">
      <c r="A142" s="380">
        <v>130</v>
      </c>
      <c r="B142" s="357" t="s">
        <v>272</v>
      </c>
      <c r="C142" s="383" t="s">
        <v>273</v>
      </c>
      <c r="D142" s="837">
        <f t="shared" si="10"/>
        <v>11877</v>
      </c>
      <c r="E142" s="837">
        <f t="shared" si="12"/>
        <v>0</v>
      </c>
      <c r="F142" s="838">
        <v>0</v>
      </c>
      <c r="G142" s="838">
        <v>0</v>
      </c>
      <c r="H142" s="827">
        <f t="shared" si="13"/>
        <v>0</v>
      </c>
      <c r="I142" s="838">
        <v>0</v>
      </c>
      <c r="J142" s="838">
        <v>0</v>
      </c>
      <c r="K142" s="837">
        <f t="shared" si="14"/>
        <v>11877</v>
      </c>
      <c r="L142" s="838">
        <v>0</v>
      </c>
      <c r="M142" s="838">
        <v>0</v>
      </c>
      <c r="N142" s="838">
        <v>0</v>
      </c>
      <c r="O142" s="838">
        <v>182</v>
      </c>
      <c r="P142" s="838">
        <v>0</v>
      </c>
      <c r="Q142" s="838">
        <v>11695</v>
      </c>
      <c r="R142" s="838">
        <v>0</v>
      </c>
      <c r="S142" s="838">
        <v>0</v>
      </c>
      <c r="T142" s="833"/>
      <c r="V142" s="839"/>
      <c r="X142" s="829"/>
      <c r="Y142" s="829"/>
      <c r="AI142" s="834"/>
      <c r="AJ142" s="829"/>
    </row>
    <row r="143" spans="1:36" x14ac:dyDescent="0.2">
      <c r="A143" s="380">
        <v>131</v>
      </c>
      <c r="B143" s="357" t="s">
        <v>274</v>
      </c>
      <c r="C143" s="383" t="s">
        <v>275</v>
      </c>
      <c r="D143" s="837">
        <f t="shared" si="10"/>
        <v>58392</v>
      </c>
      <c r="E143" s="837">
        <f t="shared" si="12"/>
        <v>0</v>
      </c>
      <c r="F143" s="838">
        <v>0</v>
      </c>
      <c r="G143" s="838">
        <v>0</v>
      </c>
      <c r="H143" s="827">
        <f t="shared" si="13"/>
        <v>0</v>
      </c>
      <c r="I143" s="838">
        <v>0</v>
      </c>
      <c r="J143" s="838">
        <v>0</v>
      </c>
      <c r="K143" s="837">
        <f t="shared" si="14"/>
        <v>58392</v>
      </c>
      <c r="L143" s="838">
        <v>0</v>
      </c>
      <c r="M143" s="838">
        <v>0</v>
      </c>
      <c r="N143" s="838">
        <v>0</v>
      </c>
      <c r="O143" s="838">
        <v>58392</v>
      </c>
      <c r="P143" s="838">
        <v>0</v>
      </c>
      <c r="Q143" s="838">
        <v>0</v>
      </c>
      <c r="R143" s="838">
        <v>0</v>
      </c>
      <c r="S143" s="838">
        <v>0</v>
      </c>
      <c r="T143" s="833"/>
      <c r="V143" s="839"/>
      <c r="X143" s="829"/>
      <c r="Y143" s="829"/>
      <c r="AI143" s="834"/>
      <c r="AJ143" s="829"/>
    </row>
    <row r="144" spans="1:36" x14ac:dyDescent="0.2">
      <c r="A144" s="380">
        <v>132</v>
      </c>
      <c r="B144" s="384" t="s">
        <v>276</v>
      </c>
      <c r="C144" s="385" t="s">
        <v>277</v>
      </c>
      <c r="D144" s="837">
        <f t="shared" si="10"/>
        <v>85245</v>
      </c>
      <c r="E144" s="837">
        <f t="shared" si="12"/>
        <v>4023</v>
      </c>
      <c r="F144" s="838">
        <v>4023</v>
      </c>
      <c r="G144" s="838">
        <v>0</v>
      </c>
      <c r="H144" s="827">
        <f t="shared" si="13"/>
        <v>26251</v>
      </c>
      <c r="I144" s="838">
        <v>26251</v>
      </c>
      <c r="J144" s="838">
        <v>0</v>
      </c>
      <c r="K144" s="837">
        <f t="shared" si="14"/>
        <v>54971</v>
      </c>
      <c r="L144" s="838">
        <v>6642</v>
      </c>
      <c r="M144" s="838">
        <v>906</v>
      </c>
      <c r="N144" s="838">
        <v>25255</v>
      </c>
      <c r="O144" s="838">
        <v>13142</v>
      </c>
      <c r="P144" s="838">
        <v>0</v>
      </c>
      <c r="Q144" s="838">
        <v>7822</v>
      </c>
      <c r="R144" s="838">
        <v>1204</v>
      </c>
      <c r="S144" s="838">
        <v>20130</v>
      </c>
      <c r="T144" s="833"/>
      <c r="V144" s="839"/>
      <c r="X144" s="829"/>
      <c r="Y144" s="829"/>
      <c r="AI144" s="834"/>
      <c r="AJ144" s="829"/>
    </row>
    <row r="145" spans="1:36" x14ac:dyDescent="0.2">
      <c r="A145" s="380">
        <v>133</v>
      </c>
      <c r="B145" s="382" t="s">
        <v>278</v>
      </c>
      <c r="C145" s="385" t="s">
        <v>279</v>
      </c>
      <c r="D145" s="837">
        <f t="shared" si="10"/>
        <v>249220</v>
      </c>
      <c r="E145" s="837">
        <f t="shared" si="12"/>
        <v>28885</v>
      </c>
      <c r="F145" s="838">
        <v>6042</v>
      </c>
      <c r="G145" s="838">
        <v>22843</v>
      </c>
      <c r="H145" s="827">
        <f t="shared" si="13"/>
        <v>39550</v>
      </c>
      <c r="I145" s="838">
        <v>39435</v>
      </c>
      <c r="J145" s="838">
        <v>115</v>
      </c>
      <c r="K145" s="837">
        <f t="shared" si="14"/>
        <v>180785</v>
      </c>
      <c r="L145" s="838">
        <v>9976</v>
      </c>
      <c r="M145" s="838">
        <v>1287</v>
      </c>
      <c r="N145" s="838">
        <v>40291</v>
      </c>
      <c r="O145" s="838">
        <v>62271</v>
      </c>
      <c r="P145" s="838">
        <v>2770</v>
      </c>
      <c r="Q145" s="838">
        <v>61890</v>
      </c>
      <c r="R145" s="838">
        <v>2300</v>
      </c>
      <c r="S145" s="838">
        <v>26910</v>
      </c>
      <c r="T145" s="833"/>
      <c r="V145" s="839"/>
      <c r="X145" s="829"/>
      <c r="Y145" s="829"/>
      <c r="AI145" s="834"/>
      <c r="AJ145" s="829"/>
    </row>
    <row r="146" spans="1:36" x14ac:dyDescent="0.2">
      <c r="A146" s="380">
        <v>134</v>
      </c>
      <c r="B146" s="357" t="s">
        <v>280</v>
      </c>
      <c r="C146" s="383" t="s">
        <v>281</v>
      </c>
      <c r="D146" s="837">
        <f t="shared" si="10"/>
        <v>4650</v>
      </c>
      <c r="E146" s="837">
        <f t="shared" si="12"/>
        <v>0</v>
      </c>
      <c r="F146" s="838">
        <v>0</v>
      </c>
      <c r="G146" s="838">
        <v>0</v>
      </c>
      <c r="H146" s="827">
        <f t="shared" si="13"/>
        <v>0</v>
      </c>
      <c r="I146" s="838">
        <v>0</v>
      </c>
      <c r="J146" s="838">
        <v>0</v>
      </c>
      <c r="K146" s="837">
        <f t="shared" si="14"/>
        <v>4650</v>
      </c>
      <c r="L146" s="838">
        <v>0</v>
      </c>
      <c r="M146" s="838">
        <v>0</v>
      </c>
      <c r="N146" s="838">
        <v>0</v>
      </c>
      <c r="O146" s="838">
        <v>4650</v>
      </c>
      <c r="P146" s="838">
        <v>0</v>
      </c>
      <c r="Q146" s="838">
        <v>0</v>
      </c>
      <c r="R146" s="838">
        <v>0</v>
      </c>
      <c r="S146" s="838">
        <v>0</v>
      </c>
      <c r="T146" s="833"/>
      <c r="V146" s="839"/>
      <c r="X146" s="829"/>
      <c r="Y146" s="829"/>
      <c r="AI146" s="834"/>
      <c r="AJ146" s="829"/>
    </row>
    <row r="147" spans="1:36" x14ac:dyDescent="0.2">
      <c r="A147" s="380">
        <v>135</v>
      </c>
      <c r="B147" s="358" t="s">
        <v>282</v>
      </c>
      <c r="C147" s="381" t="s">
        <v>283</v>
      </c>
      <c r="D147" s="837">
        <f t="shared" si="10"/>
        <v>14805</v>
      </c>
      <c r="E147" s="837">
        <f t="shared" si="12"/>
        <v>0</v>
      </c>
      <c r="F147" s="838">
        <v>0</v>
      </c>
      <c r="G147" s="838">
        <v>0</v>
      </c>
      <c r="H147" s="827">
        <f t="shared" si="13"/>
        <v>0</v>
      </c>
      <c r="I147" s="838">
        <v>0</v>
      </c>
      <c r="J147" s="838">
        <v>0</v>
      </c>
      <c r="K147" s="837">
        <f t="shared" si="14"/>
        <v>14805</v>
      </c>
      <c r="L147" s="838">
        <v>0</v>
      </c>
      <c r="M147" s="838">
        <v>0</v>
      </c>
      <c r="N147" s="838">
        <v>0</v>
      </c>
      <c r="O147" s="838">
        <v>14805</v>
      </c>
      <c r="P147" s="838">
        <v>0</v>
      </c>
      <c r="Q147" s="838">
        <v>0</v>
      </c>
      <c r="R147" s="838">
        <v>0</v>
      </c>
      <c r="S147" s="838">
        <v>0</v>
      </c>
      <c r="T147" s="833"/>
      <c r="V147" s="839"/>
      <c r="X147" s="829"/>
      <c r="Y147" s="829"/>
      <c r="AI147" s="834"/>
      <c r="AJ147" s="829"/>
    </row>
    <row r="148" spans="1:36" ht="24" x14ac:dyDescent="0.2">
      <c r="A148" s="380">
        <v>136</v>
      </c>
      <c r="B148" s="357" t="s">
        <v>284</v>
      </c>
      <c r="C148" s="383" t="s">
        <v>285</v>
      </c>
      <c r="D148" s="837">
        <f t="shared" si="10"/>
        <v>0</v>
      </c>
      <c r="E148" s="837">
        <f t="shared" si="12"/>
        <v>0</v>
      </c>
      <c r="F148" s="838">
        <v>0</v>
      </c>
      <c r="G148" s="838">
        <v>0</v>
      </c>
      <c r="H148" s="827">
        <f t="shared" si="13"/>
        <v>0</v>
      </c>
      <c r="I148" s="838"/>
      <c r="J148" s="838">
        <v>0</v>
      </c>
      <c r="K148" s="837">
        <f t="shared" si="14"/>
        <v>0</v>
      </c>
      <c r="L148" s="838">
        <v>0</v>
      </c>
      <c r="M148" s="838">
        <v>0</v>
      </c>
      <c r="N148" s="838">
        <v>0</v>
      </c>
      <c r="O148" s="838">
        <v>0</v>
      </c>
      <c r="P148" s="838">
        <v>0</v>
      </c>
      <c r="Q148" s="838">
        <v>0</v>
      </c>
      <c r="R148" s="838">
        <v>0</v>
      </c>
      <c r="S148" s="838">
        <v>0</v>
      </c>
      <c r="T148" s="833"/>
      <c r="V148" s="839"/>
      <c r="X148" s="829"/>
      <c r="Y148" s="829"/>
      <c r="AI148" s="834"/>
      <c r="AJ148" s="829"/>
    </row>
    <row r="149" spans="1:36" x14ac:dyDescent="0.2">
      <c r="A149" s="380">
        <v>137</v>
      </c>
      <c r="B149" s="58" t="s">
        <v>387</v>
      </c>
      <c r="C149" s="391" t="s">
        <v>388</v>
      </c>
      <c r="D149" s="837">
        <f t="shared" si="10"/>
        <v>0</v>
      </c>
      <c r="E149" s="837">
        <f t="shared" si="12"/>
        <v>0</v>
      </c>
      <c r="F149" s="841">
        <v>0</v>
      </c>
      <c r="G149" s="841">
        <v>0</v>
      </c>
      <c r="H149" s="827">
        <f t="shared" si="13"/>
        <v>0</v>
      </c>
      <c r="I149" s="841">
        <v>0</v>
      </c>
      <c r="J149" s="841">
        <v>0</v>
      </c>
      <c r="K149" s="837">
        <f t="shared" si="14"/>
        <v>0</v>
      </c>
      <c r="L149" s="841">
        <v>0</v>
      </c>
      <c r="M149" s="841"/>
      <c r="N149" s="838">
        <v>0</v>
      </c>
      <c r="O149" s="838">
        <v>0</v>
      </c>
      <c r="P149" s="838">
        <v>0</v>
      </c>
      <c r="Q149" s="838">
        <v>0</v>
      </c>
      <c r="R149" s="838">
        <v>0</v>
      </c>
      <c r="S149" s="838">
        <v>0</v>
      </c>
      <c r="T149" s="833"/>
      <c r="V149" s="839"/>
      <c r="X149" s="829"/>
      <c r="Y149" s="829"/>
      <c r="AI149" s="834"/>
      <c r="AJ149" s="829"/>
    </row>
    <row r="150" spans="1:36" x14ac:dyDescent="0.2">
      <c r="A150" s="380">
        <v>138</v>
      </c>
      <c r="B150" s="59" t="s">
        <v>389</v>
      </c>
      <c r="C150" s="392" t="s">
        <v>390</v>
      </c>
      <c r="D150" s="837">
        <f t="shared" ref="D150:D152" si="15">E150+H150+K150</f>
        <v>0</v>
      </c>
      <c r="E150" s="837">
        <f t="shared" si="12"/>
        <v>0</v>
      </c>
      <c r="F150" s="841">
        <v>0</v>
      </c>
      <c r="G150" s="841">
        <v>0</v>
      </c>
      <c r="H150" s="827">
        <f t="shared" si="13"/>
        <v>0</v>
      </c>
      <c r="I150" s="841">
        <v>0</v>
      </c>
      <c r="J150" s="841">
        <v>0</v>
      </c>
      <c r="K150" s="837">
        <f t="shared" si="14"/>
        <v>0</v>
      </c>
      <c r="L150" s="841">
        <v>0</v>
      </c>
      <c r="M150" s="841"/>
      <c r="N150" s="838">
        <v>0</v>
      </c>
      <c r="O150" s="838">
        <v>0</v>
      </c>
      <c r="P150" s="838">
        <v>0</v>
      </c>
      <c r="Q150" s="838">
        <v>0</v>
      </c>
      <c r="R150" s="838">
        <v>0</v>
      </c>
      <c r="S150" s="838">
        <v>0</v>
      </c>
      <c r="T150" s="833"/>
      <c r="V150" s="839"/>
      <c r="X150" s="829"/>
      <c r="Y150" s="829"/>
      <c r="AI150" s="834"/>
      <c r="AJ150" s="829"/>
    </row>
    <row r="151" spans="1:36" x14ac:dyDescent="0.2">
      <c r="A151" s="380">
        <v>139</v>
      </c>
      <c r="B151" s="60" t="s">
        <v>391</v>
      </c>
      <c r="C151" s="393" t="s">
        <v>392</v>
      </c>
      <c r="D151" s="837">
        <f t="shared" si="15"/>
        <v>0</v>
      </c>
      <c r="E151" s="837">
        <f t="shared" si="12"/>
        <v>0</v>
      </c>
      <c r="F151" s="841">
        <v>0</v>
      </c>
      <c r="G151" s="841">
        <v>0</v>
      </c>
      <c r="H151" s="827">
        <f t="shared" si="13"/>
        <v>0</v>
      </c>
      <c r="I151" s="841">
        <v>0</v>
      </c>
      <c r="J151" s="841">
        <v>0</v>
      </c>
      <c r="K151" s="837">
        <f t="shared" si="14"/>
        <v>0</v>
      </c>
      <c r="L151" s="841">
        <v>0</v>
      </c>
      <c r="M151" s="841"/>
      <c r="N151" s="838">
        <v>0</v>
      </c>
      <c r="O151" s="838">
        <v>0</v>
      </c>
      <c r="P151" s="838">
        <v>0</v>
      </c>
      <c r="Q151" s="838">
        <v>0</v>
      </c>
      <c r="R151" s="838">
        <v>0</v>
      </c>
      <c r="S151" s="838">
        <v>0</v>
      </c>
      <c r="T151" s="833"/>
      <c r="V151" s="839"/>
      <c r="X151" s="829"/>
      <c r="Y151" s="829"/>
      <c r="AI151" s="834"/>
      <c r="AJ151" s="829"/>
    </row>
    <row r="152" spans="1:36" x14ac:dyDescent="0.2">
      <c r="A152" s="380">
        <v>140</v>
      </c>
      <c r="B152" s="380" t="s">
        <v>393</v>
      </c>
      <c r="C152" s="394" t="s">
        <v>394</v>
      </c>
      <c r="D152" s="837">
        <f t="shared" si="15"/>
        <v>0</v>
      </c>
      <c r="E152" s="837">
        <f t="shared" si="12"/>
        <v>0</v>
      </c>
      <c r="F152" s="841">
        <v>0</v>
      </c>
      <c r="G152" s="841">
        <v>0</v>
      </c>
      <c r="H152" s="827">
        <f t="shared" si="13"/>
        <v>0</v>
      </c>
      <c r="I152" s="841">
        <v>0</v>
      </c>
      <c r="J152" s="841">
        <v>0</v>
      </c>
      <c r="K152" s="837">
        <f t="shared" si="14"/>
        <v>0</v>
      </c>
      <c r="L152" s="841">
        <v>0</v>
      </c>
      <c r="M152" s="841"/>
      <c r="N152" s="838">
        <v>0</v>
      </c>
      <c r="O152" s="838">
        <v>0</v>
      </c>
      <c r="P152" s="838">
        <v>0</v>
      </c>
      <c r="Q152" s="838">
        <v>0</v>
      </c>
      <c r="R152" s="838">
        <v>0</v>
      </c>
      <c r="S152" s="838">
        <v>0</v>
      </c>
      <c r="T152" s="833"/>
      <c r="V152" s="839"/>
      <c r="X152" s="829"/>
      <c r="Y152" s="829"/>
      <c r="AI152" s="834"/>
      <c r="AJ152" s="829"/>
    </row>
  </sheetData>
  <mergeCells count="22">
    <mergeCell ref="L5:R5"/>
    <mergeCell ref="A8:C8"/>
    <mergeCell ref="A9:C9"/>
    <mergeCell ref="A10:C10"/>
    <mergeCell ref="A93:A95"/>
    <mergeCell ref="B93:B95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3"/>
  <sheetViews>
    <sheetView zoomScale="80" zoomScaleNormal="8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E93" sqref="E93"/>
    </sheetView>
  </sheetViews>
  <sheetFormatPr defaultRowHeight="15" x14ac:dyDescent="0.25"/>
  <cols>
    <col min="1" max="2" width="9.140625" style="871"/>
    <col min="3" max="3" width="28.28515625" style="871" customWidth="1"/>
    <col min="4" max="4" width="16" style="871" customWidth="1"/>
    <col min="5" max="5" width="15.5703125" style="871" customWidth="1"/>
    <col min="6" max="6" width="16" style="871" customWidth="1"/>
    <col min="7" max="7" width="13.42578125" style="871" customWidth="1"/>
    <col min="8" max="8" width="16.42578125" style="871" customWidth="1"/>
    <col min="9" max="9" width="13" style="871" customWidth="1"/>
    <col min="10" max="10" width="15" style="871" customWidth="1"/>
    <col min="11" max="11" width="13.140625" style="871" customWidth="1"/>
    <col min="12" max="12" width="19.140625" style="871" customWidth="1"/>
    <col min="13" max="13" width="9.140625" style="871"/>
    <col min="14" max="14" width="13.42578125" style="871" customWidth="1"/>
    <col min="15" max="16384" width="9.140625" style="871"/>
  </cols>
  <sheetData>
    <row r="1" spans="1:14" ht="21.75" customHeight="1" x14ac:dyDescent="0.25">
      <c r="A1" s="984" t="s">
        <v>769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  <c r="L1" s="984"/>
    </row>
    <row r="2" spans="1:14" x14ac:dyDescent="0.25">
      <c r="J2" s="872"/>
    </row>
    <row r="3" spans="1:14" ht="24.75" customHeight="1" x14ac:dyDescent="0.25">
      <c r="A3" s="985" t="s">
        <v>0</v>
      </c>
      <c r="B3" s="986" t="s">
        <v>1</v>
      </c>
      <c r="C3" s="985" t="s">
        <v>2</v>
      </c>
      <c r="D3" s="989" t="s">
        <v>770</v>
      </c>
      <c r="E3" s="989"/>
      <c r="F3" s="989"/>
      <c r="G3" s="989"/>
      <c r="H3" s="989"/>
      <c r="I3" s="989"/>
      <c r="J3" s="989"/>
      <c r="K3" s="989"/>
      <c r="L3" s="990" t="s">
        <v>766</v>
      </c>
    </row>
    <row r="4" spans="1:14" ht="15" customHeight="1" x14ac:dyDescent="0.25">
      <c r="A4" s="985"/>
      <c r="B4" s="987"/>
      <c r="C4" s="985"/>
      <c r="D4" s="989" t="s">
        <v>3</v>
      </c>
      <c r="E4" s="989" t="s">
        <v>4</v>
      </c>
      <c r="F4" s="989"/>
      <c r="G4" s="989"/>
      <c r="H4" s="989"/>
      <c r="I4" s="989"/>
      <c r="J4" s="989"/>
      <c r="K4" s="989"/>
      <c r="L4" s="990"/>
    </row>
    <row r="5" spans="1:14" ht="44.25" customHeight="1" x14ac:dyDescent="0.25">
      <c r="A5" s="985"/>
      <c r="B5" s="987"/>
      <c r="C5" s="985"/>
      <c r="D5" s="989"/>
      <c r="E5" s="991" t="s">
        <v>771</v>
      </c>
      <c r="F5" s="991"/>
      <c r="G5" s="991"/>
      <c r="H5" s="991"/>
      <c r="I5" s="991" t="s">
        <v>772</v>
      </c>
      <c r="J5" s="992"/>
      <c r="K5" s="992"/>
      <c r="L5" s="990"/>
    </row>
    <row r="6" spans="1:14" ht="35.25" customHeight="1" x14ac:dyDescent="0.25">
      <c r="A6" s="985"/>
      <c r="B6" s="987"/>
      <c r="C6" s="985"/>
      <c r="D6" s="989"/>
      <c r="E6" s="996" t="s">
        <v>340</v>
      </c>
      <c r="F6" s="996" t="s">
        <v>341</v>
      </c>
      <c r="G6" s="996"/>
      <c r="H6" s="996"/>
      <c r="I6" s="996" t="s">
        <v>341</v>
      </c>
      <c r="J6" s="996"/>
      <c r="K6" s="996"/>
      <c r="L6" s="990"/>
    </row>
    <row r="7" spans="1:14" ht="42.75" customHeight="1" x14ac:dyDescent="0.25">
      <c r="A7" s="985"/>
      <c r="B7" s="988"/>
      <c r="C7" s="985"/>
      <c r="D7" s="989"/>
      <c r="E7" s="996"/>
      <c r="F7" s="873" t="s">
        <v>297</v>
      </c>
      <c r="G7" s="873" t="s">
        <v>345</v>
      </c>
      <c r="H7" s="874" t="s">
        <v>346</v>
      </c>
      <c r="I7" s="873" t="s">
        <v>297</v>
      </c>
      <c r="J7" s="873" t="s">
        <v>345</v>
      </c>
      <c r="K7" s="874" t="s">
        <v>346</v>
      </c>
      <c r="L7" s="990"/>
    </row>
    <row r="8" spans="1:14" x14ac:dyDescent="0.25">
      <c r="A8" s="856">
        <v>1</v>
      </c>
      <c r="B8" s="856">
        <v>2</v>
      </c>
      <c r="C8" s="856">
        <v>3</v>
      </c>
      <c r="D8" s="862"/>
      <c r="E8" s="862"/>
      <c r="F8" s="862"/>
      <c r="G8" s="862"/>
      <c r="H8" s="862"/>
      <c r="I8" s="862"/>
      <c r="J8" s="862"/>
      <c r="K8" s="862"/>
      <c r="L8" s="862"/>
    </row>
    <row r="9" spans="1:14" s="876" customFormat="1" x14ac:dyDescent="0.25">
      <c r="A9" s="971" t="s">
        <v>6</v>
      </c>
      <c r="B9" s="971"/>
      <c r="C9" s="971"/>
      <c r="D9" s="875">
        <f>D10+D11</f>
        <v>1330158</v>
      </c>
      <c r="E9" s="875">
        <f t="shared" ref="E9:L9" si="0">E10+E11</f>
        <v>654</v>
      </c>
      <c r="F9" s="875">
        <f t="shared" si="0"/>
        <v>1019792</v>
      </c>
      <c r="G9" s="875">
        <f t="shared" si="0"/>
        <v>171065</v>
      </c>
      <c r="H9" s="875">
        <f t="shared" si="0"/>
        <v>848727</v>
      </c>
      <c r="I9" s="875">
        <f t="shared" si="0"/>
        <v>309712</v>
      </c>
      <c r="J9" s="875">
        <f t="shared" si="0"/>
        <v>15080</v>
      </c>
      <c r="K9" s="875">
        <f t="shared" si="0"/>
        <v>294632</v>
      </c>
      <c r="L9" s="875">
        <f t="shared" si="0"/>
        <v>1025004</v>
      </c>
      <c r="N9" s="877"/>
    </row>
    <row r="10" spans="1:14" x14ac:dyDescent="0.25">
      <c r="A10" s="975" t="s">
        <v>14</v>
      </c>
      <c r="B10" s="976"/>
      <c r="C10" s="977"/>
      <c r="D10" s="862"/>
      <c r="E10" s="862"/>
      <c r="F10" s="862"/>
      <c r="G10" s="862"/>
      <c r="H10" s="862"/>
      <c r="I10" s="862"/>
      <c r="J10" s="862"/>
      <c r="K10" s="862"/>
      <c r="L10" s="862"/>
    </row>
    <row r="11" spans="1:14" s="876" customFormat="1" x14ac:dyDescent="0.25">
      <c r="A11" s="975" t="s">
        <v>15</v>
      </c>
      <c r="B11" s="976"/>
      <c r="C11" s="977"/>
      <c r="D11" s="875">
        <f>E11+F11+I11</f>
        <v>1330158</v>
      </c>
      <c r="E11" s="875">
        <f>SUM(E12:E153)</f>
        <v>654</v>
      </c>
      <c r="F11" s="875">
        <f>G11+H11</f>
        <v>1019792</v>
      </c>
      <c r="G11" s="875">
        <f>SUM(G12:G153)</f>
        <v>171065</v>
      </c>
      <c r="H11" s="875">
        <f>SUM(H12:H153)</f>
        <v>848727</v>
      </c>
      <c r="I11" s="875">
        <f>J11+K11</f>
        <v>309712</v>
      </c>
      <c r="J11" s="875">
        <f>SUM(J12:J153)</f>
        <v>15080</v>
      </c>
      <c r="K11" s="875">
        <f>SUM(K12:K153)</f>
        <v>294632</v>
      </c>
      <c r="L11" s="875">
        <f>SUM(L12:L153)</f>
        <v>1025004</v>
      </c>
    </row>
    <row r="12" spans="1:14" x14ac:dyDescent="0.25">
      <c r="A12" s="380">
        <v>1</v>
      </c>
      <c r="B12" s="395" t="s">
        <v>16</v>
      </c>
      <c r="C12" s="396" t="s">
        <v>17</v>
      </c>
      <c r="D12" s="862">
        <f t="shared" ref="D12:D75" si="1">E12+F12+I12</f>
        <v>10620</v>
      </c>
      <c r="E12" s="862">
        <v>0</v>
      </c>
      <c r="F12" s="862">
        <f t="shared" ref="F12:F75" si="2">G12+H12</f>
        <v>8644</v>
      </c>
      <c r="G12" s="862">
        <v>1555</v>
      </c>
      <c r="H12" s="862">
        <v>7089</v>
      </c>
      <c r="I12" s="862">
        <f t="shared" ref="I12:I75" si="3">J12+K12</f>
        <v>1976</v>
      </c>
      <c r="J12" s="862">
        <v>656</v>
      </c>
      <c r="K12" s="862">
        <v>1320</v>
      </c>
      <c r="L12" s="862">
        <v>8935</v>
      </c>
    </row>
    <row r="13" spans="1:14" x14ac:dyDescent="0.25">
      <c r="A13" s="380">
        <v>2</v>
      </c>
      <c r="B13" s="397" t="s">
        <v>18</v>
      </c>
      <c r="C13" s="396" t="s">
        <v>19</v>
      </c>
      <c r="D13" s="862">
        <f t="shared" si="1"/>
        <v>7720</v>
      </c>
      <c r="E13" s="862">
        <v>0</v>
      </c>
      <c r="F13" s="862">
        <f t="shared" si="2"/>
        <v>5826</v>
      </c>
      <c r="G13" s="862">
        <v>1155</v>
      </c>
      <c r="H13" s="862">
        <v>4671</v>
      </c>
      <c r="I13" s="862">
        <f t="shared" si="3"/>
        <v>1894</v>
      </c>
      <c r="J13" s="862">
        <v>40</v>
      </c>
      <c r="K13" s="862">
        <v>1854</v>
      </c>
      <c r="L13" s="862">
        <v>5618</v>
      </c>
    </row>
    <row r="14" spans="1:14" x14ac:dyDescent="0.25">
      <c r="A14" s="380">
        <v>3</v>
      </c>
      <c r="B14" s="398" t="s">
        <v>20</v>
      </c>
      <c r="C14" s="399" t="s">
        <v>21</v>
      </c>
      <c r="D14" s="862">
        <f t="shared" si="1"/>
        <v>21542</v>
      </c>
      <c r="E14" s="862">
        <v>0</v>
      </c>
      <c r="F14" s="862">
        <f t="shared" si="2"/>
        <v>18011</v>
      </c>
      <c r="G14" s="862">
        <v>2568</v>
      </c>
      <c r="H14" s="862">
        <v>15443</v>
      </c>
      <c r="I14" s="862">
        <f t="shared" si="3"/>
        <v>3531</v>
      </c>
      <c r="J14" s="862">
        <v>564</v>
      </c>
      <c r="K14" s="862">
        <v>2967</v>
      </c>
      <c r="L14" s="862">
        <v>14933</v>
      </c>
    </row>
    <row r="15" spans="1:14" x14ac:dyDescent="0.25">
      <c r="A15" s="380">
        <v>4</v>
      </c>
      <c r="B15" s="395" t="s">
        <v>22</v>
      </c>
      <c r="C15" s="396" t="s">
        <v>23</v>
      </c>
      <c r="D15" s="862">
        <f t="shared" si="1"/>
        <v>4048</v>
      </c>
      <c r="E15" s="862">
        <v>0</v>
      </c>
      <c r="F15" s="862">
        <f t="shared" si="2"/>
        <v>2719</v>
      </c>
      <c r="G15" s="862">
        <v>446</v>
      </c>
      <c r="H15" s="862">
        <v>2273</v>
      </c>
      <c r="I15" s="862">
        <f t="shared" si="3"/>
        <v>1329</v>
      </c>
      <c r="J15" s="862">
        <v>0</v>
      </c>
      <c r="K15" s="862">
        <v>1329</v>
      </c>
      <c r="L15" s="862">
        <v>5064</v>
      </c>
    </row>
    <row r="16" spans="1:14" ht="24" x14ac:dyDescent="0.25">
      <c r="A16" s="380">
        <v>5</v>
      </c>
      <c r="B16" s="395" t="s">
        <v>24</v>
      </c>
      <c r="C16" s="396" t="s">
        <v>25</v>
      </c>
      <c r="D16" s="862">
        <f t="shared" si="1"/>
        <v>8967</v>
      </c>
      <c r="E16" s="862">
        <v>0</v>
      </c>
      <c r="F16" s="862">
        <f t="shared" si="2"/>
        <v>7967</v>
      </c>
      <c r="G16" s="862">
        <v>785</v>
      </c>
      <c r="H16" s="862">
        <v>7182</v>
      </c>
      <c r="I16" s="862">
        <f t="shared" si="3"/>
        <v>1000</v>
      </c>
      <c r="J16" s="862">
        <v>0</v>
      </c>
      <c r="K16" s="862">
        <v>1000</v>
      </c>
      <c r="L16" s="862">
        <v>5698</v>
      </c>
    </row>
    <row r="17" spans="1:12" x14ac:dyDescent="0.25">
      <c r="A17" s="380">
        <v>6</v>
      </c>
      <c r="B17" s="398" t="s">
        <v>26</v>
      </c>
      <c r="C17" s="399" t="s">
        <v>27</v>
      </c>
      <c r="D17" s="862">
        <f t="shared" si="1"/>
        <v>52911</v>
      </c>
      <c r="E17" s="862">
        <v>0</v>
      </c>
      <c r="F17" s="862">
        <f t="shared" si="2"/>
        <v>38022</v>
      </c>
      <c r="G17" s="862">
        <v>6365</v>
      </c>
      <c r="H17" s="862">
        <v>31657</v>
      </c>
      <c r="I17" s="862">
        <f t="shared" si="3"/>
        <v>14889</v>
      </c>
      <c r="J17" s="862">
        <v>628</v>
      </c>
      <c r="K17" s="862">
        <v>14261</v>
      </c>
      <c r="L17" s="862">
        <v>46860</v>
      </c>
    </row>
    <row r="18" spans="1:12" x14ac:dyDescent="0.25">
      <c r="A18" s="380">
        <v>7</v>
      </c>
      <c r="B18" s="400" t="s">
        <v>28</v>
      </c>
      <c r="C18" s="50" t="s">
        <v>29</v>
      </c>
      <c r="D18" s="862">
        <f t="shared" si="1"/>
        <v>18159</v>
      </c>
      <c r="E18" s="862">
        <v>0</v>
      </c>
      <c r="F18" s="862">
        <f t="shared" si="2"/>
        <v>15284</v>
      </c>
      <c r="G18" s="862">
        <v>1872</v>
      </c>
      <c r="H18" s="862">
        <v>13412</v>
      </c>
      <c r="I18" s="862">
        <f t="shared" si="3"/>
        <v>2875</v>
      </c>
      <c r="J18" s="862">
        <v>20</v>
      </c>
      <c r="K18" s="862">
        <v>2855</v>
      </c>
      <c r="L18" s="862">
        <v>15539</v>
      </c>
    </row>
    <row r="19" spans="1:12" x14ac:dyDescent="0.25">
      <c r="A19" s="380">
        <v>8</v>
      </c>
      <c r="B19" s="398" t="s">
        <v>30</v>
      </c>
      <c r="C19" s="399" t="s">
        <v>31</v>
      </c>
      <c r="D19" s="862">
        <f t="shared" si="1"/>
        <v>8286</v>
      </c>
      <c r="E19" s="862">
        <v>0</v>
      </c>
      <c r="F19" s="862">
        <f t="shared" si="2"/>
        <v>4560</v>
      </c>
      <c r="G19" s="862">
        <v>849</v>
      </c>
      <c r="H19" s="862">
        <v>3711</v>
      </c>
      <c r="I19" s="862">
        <f t="shared" si="3"/>
        <v>3726</v>
      </c>
      <c r="J19" s="862">
        <v>0</v>
      </c>
      <c r="K19" s="862">
        <v>3726</v>
      </c>
      <c r="L19" s="862">
        <v>6227</v>
      </c>
    </row>
    <row r="20" spans="1:12" x14ac:dyDescent="0.25">
      <c r="A20" s="380">
        <v>9</v>
      </c>
      <c r="B20" s="398" t="s">
        <v>32</v>
      </c>
      <c r="C20" s="399" t="s">
        <v>33</v>
      </c>
      <c r="D20" s="862">
        <f t="shared" si="1"/>
        <v>7593</v>
      </c>
      <c r="E20" s="862">
        <v>0</v>
      </c>
      <c r="F20" s="862">
        <f t="shared" si="2"/>
        <v>6783</v>
      </c>
      <c r="G20" s="862">
        <v>652</v>
      </c>
      <c r="H20" s="862">
        <v>6131</v>
      </c>
      <c r="I20" s="862">
        <f t="shared" si="3"/>
        <v>810</v>
      </c>
      <c r="J20" s="862">
        <v>72</v>
      </c>
      <c r="K20" s="862">
        <v>738</v>
      </c>
      <c r="L20" s="862">
        <v>7377</v>
      </c>
    </row>
    <row r="21" spans="1:12" x14ac:dyDescent="0.25">
      <c r="A21" s="380">
        <v>10</v>
      </c>
      <c r="B21" s="398" t="s">
        <v>34</v>
      </c>
      <c r="C21" s="399" t="s">
        <v>35</v>
      </c>
      <c r="D21" s="862">
        <f t="shared" si="1"/>
        <v>11957</v>
      </c>
      <c r="E21" s="862">
        <v>0</v>
      </c>
      <c r="F21" s="862">
        <f t="shared" si="2"/>
        <v>9860</v>
      </c>
      <c r="G21" s="862">
        <v>972</v>
      </c>
      <c r="H21" s="862">
        <v>8888</v>
      </c>
      <c r="I21" s="862">
        <f t="shared" si="3"/>
        <v>2097</v>
      </c>
      <c r="J21" s="862">
        <v>0</v>
      </c>
      <c r="K21" s="862">
        <v>2097</v>
      </c>
      <c r="L21" s="862">
        <v>9011</v>
      </c>
    </row>
    <row r="22" spans="1:12" x14ac:dyDescent="0.25">
      <c r="A22" s="380">
        <v>11</v>
      </c>
      <c r="B22" s="398" t="s">
        <v>36</v>
      </c>
      <c r="C22" s="399" t="s">
        <v>37</v>
      </c>
      <c r="D22" s="862">
        <f t="shared" si="1"/>
        <v>9966</v>
      </c>
      <c r="E22" s="862">
        <v>0</v>
      </c>
      <c r="F22" s="862">
        <f t="shared" si="2"/>
        <v>7591</v>
      </c>
      <c r="G22" s="862">
        <v>957</v>
      </c>
      <c r="H22" s="862">
        <v>6634</v>
      </c>
      <c r="I22" s="862">
        <f t="shared" si="3"/>
        <v>2375</v>
      </c>
      <c r="J22" s="862">
        <v>24</v>
      </c>
      <c r="K22" s="862">
        <v>2351</v>
      </c>
      <c r="L22" s="862">
        <v>8641</v>
      </c>
    </row>
    <row r="23" spans="1:12" x14ac:dyDescent="0.25">
      <c r="A23" s="380">
        <v>12</v>
      </c>
      <c r="B23" s="398" t="s">
        <v>38</v>
      </c>
      <c r="C23" s="399" t="s">
        <v>39</v>
      </c>
      <c r="D23" s="862">
        <f t="shared" si="1"/>
        <v>16078</v>
      </c>
      <c r="E23" s="862">
        <v>0</v>
      </c>
      <c r="F23" s="862">
        <f t="shared" si="2"/>
        <v>10521</v>
      </c>
      <c r="G23" s="862">
        <v>1681</v>
      </c>
      <c r="H23" s="862">
        <v>8840</v>
      </c>
      <c r="I23" s="862">
        <f t="shared" si="3"/>
        <v>5557</v>
      </c>
      <c r="J23" s="862">
        <v>40</v>
      </c>
      <c r="K23" s="862">
        <v>5517</v>
      </c>
      <c r="L23" s="862">
        <v>14669</v>
      </c>
    </row>
    <row r="24" spans="1:12" x14ac:dyDescent="0.25">
      <c r="A24" s="2">
        <v>13</v>
      </c>
      <c r="B24" s="398" t="s">
        <v>40</v>
      </c>
      <c r="C24" s="399" t="s">
        <v>41</v>
      </c>
      <c r="D24" s="862">
        <f t="shared" si="1"/>
        <v>0</v>
      </c>
      <c r="E24" s="862">
        <v>0</v>
      </c>
      <c r="F24" s="862">
        <f t="shared" si="2"/>
        <v>0</v>
      </c>
      <c r="G24" s="862">
        <v>0</v>
      </c>
      <c r="H24" s="862">
        <v>0</v>
      </c>
      <c r="I24" s="862">
        <f t="shared" si="3"/>
        <v>0</v>
      </c>
      <c r="J24" s="862">
        <v>0</v>
      </c>
      <c r="K24" s="862">
        <v>0</v>
      </c>
      <c r="L24" s="862">
        <v>0</v>
      </c>
    </row>
    <row r="25" spans="1:12" ht="24" x14ac:dyDescent="0.25">
      <c r="A25" s="380">
        <v>14</v>
      </c>
      <c r="B25" s="395" t="s">
        <v>42</v>
      </c>
      <c r="C25" s="399" t="s">
        <v>43</v>
      </c>
      <c r="D25" s="862">
        <f t="shared" si="1"/>
        <v>0</v>
      </c>
      <c r="E25" s="862">
        <v>0</v>
      </c>
      <c r="F25" s="862">
        <f t="shared" si="2"/>
        <v>0</v>
      </c>
      <c r="G25" s="862">
        <v>0</v>
      </c>
      <c r="H25" s="862">
        <v>0</v>
      </c>
      <c r="I25" s="862">
        <f t="shared" si="3"/>
        <v>0</v>
      </c>
      <c r="J25" s="862">
        <v>0</v>
      </c>
      <c r="K25" s="862">
        <v>0</v>
      </c>
      <c r="L25" s="862">
        <v>0</v>
      </c>
    </row>
    <row r="26" spans="1:12" x14ac:dyDescent="0.25">
      <c r="A26" s="2">
        <v>15</v>
      </c>
      <c r="B26" s="398" t="s">
        <v>44</v>
      </c>
      <c r="C26" s="399" t="s">
        <v>45</v>
      </c>
      <c r="D26" s="862">
        <f t="shared" si="1"/>
        <v>6313</v>
      </c>
      <c r="E26" s="862">
        <v>0</v>
      </c>
      <c r="F26" s="862">
        <f t="shared" si="2"/>
        <v>5461</v>
      </c>
      <c r="G26" s="862">
        <v>778</v>
      </c>
      <c r="H26" s="862">
        <v>4683</v>
      </c>
      <c r="I26" s="862">
        <f t="shared" si="3"/>
        <v>852</v>
      </c>
      <c r="J26" s="862">
        <v>0</v>
      </c>
      <c r="K26" s="862">
        <v>852</v>
      </c>
      <c r="L26" s="862">
        <v>6357</v>
      </c>
    </row>
    <row r="27" spans="1:12" x14ac:dyDescent="0.25">
      <c r="A27" s="380">
        <v>16</v>
      </c>
      <c r="B27" s="398" t="s">
        <v>46</v>
      </c>
      <c r="C27" s="399" t="s">
        <v>47</v>
      </c>
      <c r="D27" s="862">
        <f t="shared" si="1"/>
        <v>9605</v>
      </c>
      <c r="E27" s="862">
        <v>0</v>
      </c>
      <c r="F27" s="862">
        <f t="shared" si="2"/>
        <v>7092</v>
      </c>
      <c r="G27" s="862">
        <v>649</v>
      </c>
      <c r="H27" s="862">
        <v>6443</v>
      </c>
      <c r="I27" s="862">
        <f t="shared" si="3"/>
        <v>2513</v>
      </c>
      <c r="J27" s="862">
        <v>0</v>
      </c>
      <c r="K27" s="862">
        <v>2513</v>
      </c>
      <c r="L27" s="862">
        <v>6446</v>
      </c>
    </row>
    <row r="28" spans="1:12" x14ac:dyDescent="0.25">
      <c r="A28" s="2">
        <v>17</v>
      </c>
      <c r="B28" s="398" t="s">
        <v>48</v>
      </c>
      <c r="C28" s="399" t="s">
        <v>49</v>
      </c>
      <c r="D28" s="862">
        <f t="shared" si="1"/>
        <v>9979</v>
      </c>
      <c r="E28" s="862">
        <v>0</v>
      </c>
      <c r="F28" s="862">
        <f t="shared" si="2"/>
        <v>7657</v>
      </c>
      <c r="G28" s="862">
        <v>1567</v>
      </c>
      <c r="H28" s="862">
        <v>6090</v>
      </c>
      <c r="I28" s="862">
        <f t="shared" si="3"/>
        <v>2322</v>
      </c>
      <c r="J28" s="862">
        <v>0</v>
      </c>
      <c r="K28" s="862">
        <v>2322</v>
      </c>
      <c r="L28" s="862">
        <v>7622</v>
      </c>
    </row>
    <row r="29" spans="1:12" x14ac:dyDescent="0.25">
      <c r="A29" s="380">
        <v>18</v>
      </c>
      <c r="B29" s="398" t="s">
        <v>50</v>
      </c>
      <c r="C29" s="399" t="s">
        <v>51</v>
      </c>
      <c r="D29" s="862">
        <f t="shared" si="1"/>
        <v>22658</v>
      </c>
      <c r="E29" s="862">
        <v>0</v>
      </c>
      <c r="F29" s="862">
        <f t="shared" si="2"/>
        <v>17014</v>
      </c>
      <c r="G29" s="862">
        <v>2510</v>
      </c>
      <c r="H29" s="862">
        <v>14504</v>
      </c>
      <c r="I29" s="862">
        <f t="shared" si="3"/>
        <v>5644</v>
      </c>
      <c r="J29" s="862">
        <v>340</v>
      </c>
      <c r="K29" s="862">
        <v>5304</v>
      </c>
      <c r="L29" s="862">
        <v>13025</v>
      </c>
    </row>
    <row r="30" spans="1:12" x14ac:dyDescent="0.25">
      <c r="A30" s="2">
        <v>19</v>
      </c>
      <c r="B30" s="395" t="s">
        <v>52</v>
      </c>
      <c r="C30" s="396" t="s">
        <v>53</v>
      </c>
      <c r="D30" s="862">
        <f t="shared" si="1"/>
        <v>6972</v>
      </c>
      <c r="E30" s="862">
        <v>0</v>
      </c>
      <c r="F30" s="862">
        <f t="shared" si="2"/>
        <v>3088</v>
      </c>
      <c r="G30" s="862">
        <v>1109</v>
      </c>
      <c r="H30" s="862">
        <v>1979</v>
      </c>
      <c r="I30" s="862">
        <f t="shared" si="3"/>
        <v>3884</v>
      </c>
      <c r="J30" s="862">
        <v>100</v>
      </c>
      <c r="K30" s="862">
        <v>3784</v>
      </c>
      <c r="L30" s="862">
        <v>3339</v>
      </c>
    </row>
    <row r="31" spans="1:12" x14ac:dyDescent="0.25">
      <c r="A31" s="380">
        <v>20</v>
      </c>
      <c r="B31" s="395" t="s">
        <v>54</v>
      </c>
      <c r="C31" s="396" t="s">
        <v>55</v>
      </c>
      <c r="D31" s="862">
        <f t="shared" si="1"/>
        <v>5727</v>
      </c>
      <c r="E31" s="862">
        <v>0</v>
      </c>
      <c r="F31" s="862">
        <f t="shared" si="2"/>
        <v>5244</v>
      </c>
      <c r="G31" s="862">
        <v>1078</v>
      </c>
      <c r="H31" s="862">
        <v>4166</v>
      </c>
      <c r="I31" s="862">
        <f t="shared" si="3"/>
        <v>483</v>
      </c>
      <c r="J31" s="862">
        <v>0</v>
      </c>
      <c r="K31" s="862">
        <v>483</v>
      </c>
      <c r="L31" s="862">
        <v>4550</v>
      </c>
    </row>
    <row r="32" spans="1:12" x14ac:dyDescent="0.25">
      <c r="A32" s="2">
        <v>21</v>
      </c>
      <c r="B32" s="395" t="s">
        <v>56</v>
      </c>
      <c r="C32" s="396" t="s">
        <v>57</v>
      </c>
      <c r="D32" s="862">
        <f t="shared" si="1"/>
        <v>22456</v>
      </c>
      <c r="E32" s="862">
        <v>0</v>
      </c>
      <c r="F32" s="862">
        <f t="shared" si="2"/>
        <v>13395</v>
      </c>
      <c r="G32" s="862">
        <v>2275</v>
      </c>
      <c r="H32" s="862">
        <v>11120</v>
      </c>
      <c r="I32" s="862">
        <f t="shared" si="3"/>
        <v>9061</v>
      </c>
      <c r="J32" s="862">
        <v>910</v>
      </c>
      <c r="K32" s="862">
        <v>8151</v>
      </c>
      <c r="L32" s="862">
        <v>17600</v>
      </c>
    </row>
    <row r="33" spans="1:12" x14ac:dyDescent="0.25">
      <c r="A33" s="380">
        <v>22</v>
      </c>
      <c r="B33" s="395" t="s">
        <v>58</v>
      </c>
      <c r="C33" s="396" t="s">
        <v>59</v>
      </c>
      <c r="D33" s="862">
        <f t="shared" si="1"/>
        <v>14461</v>
      </c>
      <c r="E33" s="862">
        <v>0</v>
      </c>
      <c r="F33" s="862">
        <f t="shared" si="2"/>
        <v>9303</v>
      </c>
      <c r="G33" s="862">
        <v>1515</v>
      </c>
      <c r="H33" s="862">
        <v>7788</v>
      </c>
      <c r="I33" s="862">
        <f t="shared" si="3"/>
        <v>5158</v>
      </c>
      <c r="J33" s="862">
        <v>306</v>
      </c>
      <c r="K33" s="862">
        <v>4852</v>
      </c>
      <c r="L33" s="862">
        <v>17702</v>
      </c>
    </row>
    <row r="34" spans="1:12" x14ac:dyDescent="0.25">
      <c r="A34" s="2">
        <v>23</v>
      </c>
      <c r="B34" s="398" t="s">
        <v>60</v>
      </c>
      <c r="C34" s="399" t="s">
        <v>61</v>
      </c>
      <c r="D34" s="862">
        <f t="shared" si="1"/>
        <v>4198</v>
      </c>
      <c r="E34" s="862">
        <v>0</v>
      </c>
      <c r="F34" s="862">
        <f t="shared" si="2"/>
        <v>3043</v>
      </c>
      <c r="G34" s="862">
        <v>332</v>
      </c>
      <c r="H34" s="862">
        <v>2711</v>
      </c>
      <c r="I34" s="862">
        <f t="shared" si="3"/>
        <v>1155</v>
      </c>
      <c r="J34" s="862">
        <v>78</v>
      </c>
      <c r="K34" s="862">
        <v>1077</v>
      </c>
      <c r="L34" s="862">
        <v>2092</v>
      </c>
    </row>
    <row r="35" spans="1:12" x14ac:dyDescent="0.25">
      <c r="A35" s="380">
        <v>24</v>
      </c>
      <c r="B35" s="398" t="s">
        <v>62</v>
      </c>
      <c r="C35" s="399" t="s">
        <v>63</v>
      </c>
      <c r="D35" s="862">
        <f t="shared" si="1"/>
        <v>0</v>
      </c>
      <c r="E35" s="862">
        <v>0</v>
      </c>
      <c r="F35" s="862">
        <f t="shared" si="2"/>
        <v>0</v>
      </c>
      <c r="G35" s="862">
        <v>0</v>
      </c>
      <c r="H35" s="862">
        <v>0</v>
      </c>
      <c r="I35" s="862">
        <f t="shared" si="3"/>
        <v>0</v>
      </c>
      <c r="J35" s="862">
        <v>0</v>
      </c>
      <c r="K35" s="862">
        <v>0</v>
      </c>
      <c r="L35" s="862">
        <v>0</v>
      </c>
    </row>
    <row r="36" spans="1:12" ht="24" x14ac:dyDescent="0.25">
      <c r="A36" s="2">
        <v>25</v>
      </c>
      <c r="B36" s="398" t="s">
        <v>64</v>
      </c>
      <c r="C36" s="399" t="s">
        <v>65</v>
      </c>
      <c r="D36" s="862">
        <f t="shared" si="1"/>
        <v>0</v>
      </c>
      <c r="E36" s="862">
        <v>0</v>
      </c>
      <c r="F36" s="862">
        <f t="shared" si="2"/>
        <v>0</v>
      </c>
      <c r="G36" s="862">
        <v>0</v>
      </c>
      <c r="H36" s="862">
        <v>0</v>
      </c>
      <c r="I36" s="862">
        <f t="shared" si="3"/>
        <v>0</v>
      </c>
      <c r="J36" s="862">
        <v>0</v>
      </c>
      <c r="K36" s="862">
        <v>0</v>
      </c>
      <c r="L36" s="862">
        <v>0</v>
      </c>
    </row>
    <row r="37" spans="1:12" x14ac:dyDescent="0.25">
      <c r="A37" s="380">
        <v>26</v>
      </c>
      <c r="B37" s="395" t="s">
        <v>66</v>
      </c>
      <c r="C37" s="50" t="s">
        <v>67</v>
      </c>
      <c r="D37" s="862">
        <f t="shared" si="1"/>
        <v>58776</v>
      </c>
      <c r="E37" s="862">
        <v>0</v>
      </c>
      <c r="F37" s="862">
        <f t="shared" si="2"/>
        <v>54904</v>
      </c>
      <c r="G37" s="862">
        <v>6718</v>
      </c>
      <c r="H37" s="862">
        <v>48186</v>
      </c>
      <c r="I37" s="862">
        <f t="shared" si="3"/>
        <v>3872</v>
      </c>
      <c r="J37" s="862">
        <v>147</v>
      </c>
      <c r="K37" s="862">
        <v>3725</v>
      </c>
      <c r="L37" s="862">
        <v>43837</v>
      </c>
    </row>
    <row r="38" spans="1:12" x14ac:dyDescent="0.25">
      <c r="A38" s="2">
        <v>27</v>
      </c>
      <c r="B38" s="398" t="s">
        <v>68</v>
      </c>
      <c r="C38" s="399" t="s">
        <v>69</v>
      </c>
      <c r="D38" s="862">
        <f t="shared" si="1"/>
        <v>7824</v>
      </c>
      <c r="E38" s="862">
        <v>0</v>
      </c>
      <c r="F38" s="862">
        <f t="shared" si="2"/>
        <v>4563</v>
      </c>
      <c r="G38" s="862">
        <v>1131</v>
      </c>
      <c r="H38" s="862">
        <v>3432</v>
      </c>
      <c r="I38" s="862">
        <f t="shared" si="3"/>
        <v>3261</v>
      </c>
      <c r="J38" s="862">
        <v>42</v>
      </c>
      <c r="K38" s="862">
        <v>3219</v>
      </c>
      <c r="L38" s="862">
        <v>11602</v>
      </c>
    </row>
    <row r="39" spans="1:12" x14ac:dyDescent="0.25">
      <c r="A39" s="380">
        <v>28</v>
      </c>
      <c r="B39" s="398" t="s">
        <v>70</v>
      </c>
      <c r="C39" s="399" t="s">
        <v>71</v>
      </c>
      <c r="D39" s="862">
        <f t="shared" si="1"/>
        <v>5463</v>
      </c>
      <c r="E39" s="862">
        <v>0</v>
      </c>
      <c r="F39" s="862">
        <f t="shared" si="2"/>
        <v>0</v>
      </c>
      <c r="G39" s="862">
        <v>0</v>
      </c>
      <c r="H39" s="862">
        <v>0</v>
      </c>
      <c r="I39" s="862">
        <f t="shared" si="3"/>
        <v>5463</v>
      </c>
      <c r="J39" s="862">
        <v>0</v>
      </c>
      <c r="K39" s="862">
        <v>5463</v>
      </c>
      <c r="L39" s="862">
        <v>0</v>
      </c>
    </row>
    <row r="40" spans="1:12" x14ac:dyDescent="0.25">
      <c r="A40" s="2">
        <v>29</v>
      </c>
      <c r="B40" s="397" t="s">
        <v>72</v>
      </c>
      <c r="C40" s="50" t="s">
        <v>73</v>
      </c>
      <c r="D40" s="862">
        <f t="shared" si="1"/>
        <v>0</v>
      </c>
      <c r="E40" s="862">
        <v>0</v>
      </c>
      <c r="F40" s="862">
        <f t="shared" si="2"/>
        <v>0</v>
      </c>
      <c r="G40" s="862">
        <v>0</v>
      </c>
      <c r="H40" s="862">
        <v>0</v>
      </c>
      <c r="I40" s="862">
        <f t="shared" si="3"/>
        <v>0</v>
      </c>
      <c r="J40" s="862">
        <v>0</v>
      </c>
      <c r="K40" s="862">
        <v>0</v>
      </c>
      <c r="L40" s="862">
        <v>0</v>
      </c>
    </row>
    <row r="41" spans="1:12" x14ac:dyDescent="0.25">
      <c r="A41" s="380">
        <v>30</v>
      </c>
      <c r="B41" s="395" t="s">
        <v>74</v>
      </c>
      <c r="C41" s="396" t="s">
        <v>357</v>
      </c>
      <c r="D41" s="862">
        <f t="shared" si="1"/>
        <v>0</v>
      </c>
      <c r="E41" s="862">
        <v>0</v>
      </c>
      <c r="F41" s="862">
        <f t="shared" si="2"/>
        <v>0</v>
      </c>
      <c r="G41" s="862">
        <v>0</v>
      </c>
      <c r="H41" s="862">
        <v>0</v>
      </c>
      <c r="I41" s="862">
        <f t="shared" si="3"/>
        <v>0</v>
      </c>
      <c r="J41" s="862">
        <v>0</v>
      </c>
      <c r="K41" s="862">
        <v>0</v>
      </c>
      <c r="L41" s="862">
        <v>0</v>
      </c>
    </row>
    <row r="42" spans="1:12" ht="24" x14ac:dyDescent="0.25">
      <c r="A42" s="2">
        <v>31</v>
      </c>
      <c r="B42" s="398" t="s">
        <v>75</v>
      </c>
      <c r="C42" s="399" t="s">
        <v>76</v>
      </c>
      <c r="D42" s="862">
        <f t="shared" si="1"/>
        <v>1051</v>
      </c>
      <c r="E42" s="862">
        <v>0</v>
      </c>
      <c r="F42" s="862">
        <f t="shared" si="2"/>
        <v>1051</v>
      </c>
      <c r="G42" s="862">
        <v>180</v>
      </c>
      <c r="H42" s="862">
        <v>871</v>
      </c>
      <c r="I42" s="862">
        <f t="shared" si="3"/>
        <v>0</v>
      </c>
      <c r="J42" s="862">
        <v>0</v>
      </c>
      <c r="K42" s="862">
        <v>0</v>
      </c>
      <c r="L42" s="862">
        <v>156</v>
      </c>
    </row>
    <row r="43" spans="1:12" x14ac:dyDescent="0.25">
      <c r="A43" s="380">
        <v>32</v>
      </c>
      <c r="B43" s="397" t="s">
        <v>77</v>
      </c>
      <c r="C43" s="396" t="s">
        <v>78</v>
      </c>
      <c r="D43" s="862">
        <f t="shared" si="1"/>
        <v>21148</v>
      </c>
      <c r="E43" s="862">
        <v>0</v>
      </c>
      <c r="F43" s="862">
        <f t="shared" si="2"/>
        <v>18904</v>
      </c>
      <c r="G43" s="862">
        <v>4877</v>
      </c>
      <c r="H43" s="862">
        <v>14027</v>
      </c>
      <c r="I43" s="862">
        <f t="shared" si="3"/>
        <v>2244</v>
      </c>
      <c r="J43" s="862">
        <v>645</v>
      </c>
      <c r="K43" s="862">
        <v>1599</v>
      </c>
      <c r="L43" s="862">
        <v>18204</v>
      </c>
    </row>
    <row r="44" spans="1:12" x14ac:dyDescent="0.25">
      <c r="A44" s="2">
        <v>33</v>
      </c>
      <c r="B44" s="400" t="s">
        <v>79</v>
      </c>
      <c r="C44" s="50" t="s">
        <v>80</v>
      </c>
      <c r="D44" s="862">
        <f t="shared" si="1"/>
        <v>44023</v>
      </c>
      <c r="E44" s="862">
        <v>0</v>
      </c>
      <c r="F44" s="862">
        <f t="shared" si="2"/>
        <v>33066</v>
      </c>
      <c r="G44" s="862">
        <v>5220</v>
      </c>
      <c r="H44" s="862">
        <v>27846</v>
      </c>
      <c r="I44" s="862">
        <f t="shared" si="3"/>
        <v>10957</v>
      </c>
      <c r="J44" s="862">
        <v>100</v>
      </c>
      <c r="K44" s="862">
        <v>10857</v>
      </c>
      <c r="L44" s="862">
        <v>26101</v>
      </c>
    </row>
    <row r="45" spans="1:12" x14ac:dyDescent="0.25">
      <c r="A45" s="380">
        <v>34</v>
      </c>
      <c r="B45" s="397" t="s">
        <v>81</v>
      </c>
      <c r="C45" s="396" t="s">
        <v>82</v>
      </c>
      <c r="D45" s="862">
        <f t="shared" si="1"/>
        <v>5060</v>
      </c>
      <c r="E45" s="862">
        <v>0</v>
      </c>
      <c r="F45" s="862">
        <f t="shared" si="2"/>
        <v>3948</v>
      </c>
      <c r="G45" s="862">
        <v>511</v>
      </c>
      <c r="H45" s="862">
        <v>3437</v>
      </c>
      <c r="I45" s="862">
        <f t="shared" si="3"/>
        <v>1112</v>
      </c>
      <c r="J45" s="862">
        <v>0</v>
      </c>
      <c r="K45" s="862">
        <v>1112</v>
      </c>
      <c r="L45" s="862">
        <v>4276</v>
      </c>
    </row>
    <row r="46" spans="1:12" x14ac:dyDescent="0.25">
      <c r="A46" s="2">
        <v>35</v>
      </c>
      <c r="B46" s="398" t="s">
        <v>83</v>
      </c>
      <c r="C46" s="399" t="s">
        <v>84</v>
      </c>
      <c r="D46" s="862">
        <f t="shared" si="1"/>
        <v>25961</v>
      </c>
      <c r="E46" s="862">
        <v>0</v>
      </c>
      <c r="F46" s="862">
        <f t="shared" si="2"/>
        <v>20461</v>
      </c>
      <c r="G46" s="862">
        <v>3918</v>
      </c>
      <c r="H46" s="862">
        <v>16543</v>
      </c>
      <c r="I46" s="862">
        <f t="shared" si="3"/>
        <v>5500</v>
      </c>
      <c r="J46" s="862">
        <v>270</v>
      </c>
      <c r="K46" s="862">
        <v>5230</v>
      </c>
      <c r="L46" s="862">
        <v>16198</v>
      </c>
    </row>
    <row r="47" spans="1:12" x14ac:dyDescent="0.25">
      <c r="A47" s="380">
        <v>36</v>
      </c>
      <c r="B47" s="397" t="s">
        <v>85</v>
      </c>
      <c r="C47" s="396" t="s">
        <v>86</v>
      </c>
      <c r="D47" s="862">
        <f t="shared" si="1"/>
        <v>8655</v>
      </c>
      <c r="E47" s="862">
        <v>0</v>
      </c>
      <c r="F47" s="862">
        <f t="shared" si="2"/>
        <v>6040</v>
      </c>
      <c r="G47" s="862">
        <v>911</v>
      </c>
      <c r="H47" s="862">
        <v>5129</v>
      </c>
      <c r="I47" s="862">
        <f t="shared" si="3"/>
        <v>2615</v>
      </c>
      <c r="J47" s="862">
        <v>22</v>
      </c>
      <c r="K47" s="862">
        <v>2593</v>
      </c>
      <c r="L47" s="862">
        <v>6751</v>
      </c>
    </row>
    <row r="48" spans="1:12" x14ac:dyDescent="0.25">
      <c r="A48" s="2">
        <v>37</v>
      </c>
      <c r="B48" s="395" t="s">
        <v>87</v>
      </c>
      <c r="C48" s="396" t="s">
        <v>88</v>
      </c>
      <c r="D48" s="862">
        <f t="shared" si="1"/>
        <v>22051</v>
      </c>
      <c r="E48" s="862">
        <v>0</v>
      </c>
      <c r="F48" s="862">
        <f t="shared" si="2"/>
        <v>13940</v>
      </c>
      <c r="G48" s="862">
        <v>3484</v>
      </c>
      <c r="H48" s="862">
        <v>10456</v>
      </c>
      <c r="I48" s="862">
        <f t="shared" si="3"/>
        <v>8111</v>
      </c>
      <c r="J48" s="862">
        <v>605</v>
      </c>
      <c r="K48" s="862">
        <v>7506</v>
      </c>
      <c r="L48" s="862">
        <v>30682</v>
      </c>
    </row>
    <row r="49" spans="1:12" x14ac:dyDescent="0.25">
      <c r="A49" s="380">
        <v>38</v>
      </c>
      <c r="B49" s="386" t="s">
        <v>89</v>
      </c>
      <c r="C49" s="387" t="s">
        <v>90</v>
      </c>
      <c r="D49" s="862">
        <f t="shared" si="1"/>
        <v>7860</v>
      </c>
      <c r="E49" s="862">
        <v>0</v>
      </c>
      <c r="F49" s="862">
        <f t="shared" si="2"/>
        <v>6147</v>
      </c>
      <c r="G49" s="862">
        <v>1174</v>
      </c>
      <c r="H49" s="862">
        <v>4973</v>
      </c>
      <c r="I49" s="862">
        <f t="shared" si="3"/>
        <v>1713</v>
      </c>
      <c r="J49" s="862">
        <v>144</v>
      </c>
      <c r="K49" s="862">
        <v>1569</v>
      </c>
      <c r="L49" s="862">
        <v>6892</v>
      </c>
    </row>
    <row r="50" spans="1:12" x14ac:dyDescent="0.25">
      <c r="A50" s="2">
        <v>39</v>
      </c>
      <c r="B50" s="395" t="s">
        <v>91</v>
      </c>
      <c r="C50" s="396" t="s">
        <v>92</v>
      </c>
      <c r="D50" s="862">
        <f t="shared" si="1"/>
        <v>5072</v>
      </c>
      <c r="E50" s="862">
        <v>0</v>
      </c>
      <c r="F50" s="862">
        <f t="shared" si="2"/>
        <v>3560</v>
      </c>
      <c r="G50" s="862">
        <v>496</v>
      </c>
      <c r="H50" s="862">
        <v>3064</v>
      </c>
      <c r="I50" s="862">
        <f t="shared" si="3"/>
        <v>1512</v>
      </c>
      <c r="J50" s="862">
        <v>66</v>
      </c>
      <c r="K50" s="862">
        <v>1446</v>
      </c>
      <c r="L50" s="862">
        <v>7075</v>
      </c>
    </row>
    <row r="51" spans="1:12" x14ac:dyDescent="0.25">
      <c r="A51" s="380">
        <v>40</v>
      </c>
      <c r="B51" s="400" t="s">
        <v>93</v>
      </c>
      <c r="C51" s="50" t="s">
        <v>94</v>
      </c>
      <c r="D51" s="862">
        <f t="shared" si="1"/>
        <v>15379</v>
      </c>
      <c r="E51" s="862">
        <v>0</v>
      </c>
      <c r="F51" s="862">
        <f t="shared" si="2"/>
        <v>10503</v>
      </c>
      <c r="G51" s="862">
        <v>1249</v>
      </c>
      <c r="H51" s="862">
        <v>9254</v>
      </c>
      <c r="I51" s="862">
        <f t="shared" si="3"/>
        <v>4876</v>
      </c>
      <c r="J51" s="862">
        <v>0</v>
      </c>
      <c r="K51" s="862">
        <v>4876</v>
      </c>
      <c r="L51" s="862">
        <v>11151</v>
      </c>
    </row>
    <row r="52" spans="1:12" x14ac:dyDescent="0.25">
      <c r="A52" s="2">
        <v>41</v>
      </c>
      <c r="B52" s="398" t="s">
        <v>95</v>
      </c>
      <c r="C52" s="399" t="s">
        <v>96</v>
      </c>
      <c r="D52" s="862">
        <f t="shared" si="1"/>
        <v>4501</v>
      </c>
      <c r="E52" s="862">
        <v>0</v>
      </c>
      <c r="F52" s="862">
        <f t="shared" si="2"/>
        <v>3020</v>
      </c>
      <c r="G52" s="862">
        <v>729</v>
      </c>
      <c r="H52" s="862">
        <v>2291</v>
      </c>
      <c r="I52" s="862">
        <f t="shared" si="3"/>
        <v>1481</v>
      </c>
      <c r="J52" s="862">
        <v>276</v>
      </c>
      <c r="K52" s="862">
        <v>1205</v>
      </c>
      <c r="L52" s="862">
        <v>4778</v>
      </c>
    </row>
    <row r="53" spans="1:12" x14ac:dyDescent="0.25">
      <c r="A53" s="380">
        <v>42</v>
      </c>
      <c r="B53" s="397" t="s">
        <v>97</v>
      </c>
      <c r="C53" s="396" t="s">
        <v>98</v>
      </c>
      <c r="D53" s="862">
        <f t="shared" si="1"/>
        <v>3669</v>
      </c>
      <c r="E53" s="862">
        <v>0</v>
      </c>
      <c r="F53" s="862">
        <f t="shared" si="2"/>
        <v>3669</v>
      </c>
      <c r="G53" s="862">
        <v>978</v>
      </c>
      <c r="H53" s="862">
        <v>2691</v>
      </c>
      <c r="I53" s="862">
        <f t="shared" si="3"/>
        <v>0</v>
      </c>
      <c r="J53" s="862">
        <v>0</v>
      </c>
      <c r="K53" s="862">
        <v>0</v>
      </c>
      <c r="L53" s="862">
        <v>1380</v>
      </c>
    </row>
    <row r="54" spans="1:12" x14ac:dyDescent="0.25">
      <c r="A54" s="2">
        <v>43</v>
      </c>
      <c r="B54" s="398" t="s">
        <v>99</v>
      </c>
      <c r="C54" s="399" t="s">
        <v>100</v>
      </c>
      <c r="D54" s="862">
        <f t="shared" si="1"/>
        <v>26876</v>
      </c>
      <c r="E54" s="862">
        <v>0</v>
      </c>
      <c r="F54" s="862">
        <f t="shared" si="2"/>
        <v>19254</v>
      </c>
      <c r="G54" s="862">
        <v>5778</v>
      </c>
      <c r="H54" s="862">
        <v>13476</v>
      </c>
      <c r="I54" s="862">
        <f t="shared" si="3"/>
        <v>7622</v>
      </c>
      <c r="J54" s="862">
        <v>902</v>
      </c>
      <c r="K54" s="862">
        <v>6720</v>
      </c>
      <c r="L54" s="862">
        <v>30550</v>
      </c>
    </row>
    <row r="55" spans="1:12" x14ac:dyDescent="0.25">
      <c r="A55" s="380">
        <v>44</v>
      </c>
      <c r="B55" s="395" t="s">
        <v>101</v>
      </c>
      <c r="C55" s="396" t="s">
        <v>102</v>
      </c>
      <c r="D55" s="862">
        <f t="shared" si="1"/>
        <v>9160</v>
      </c>
      <c r="E55" s="862">
        <v>0</v>
      </c>
      <c r="F55" s="862">
        <f t="shared" si="2"/>
        <v>6781</v>
      </c>
      <c r="G55" s="862">
        <v>805</v>
      </c>
      <c r="H55" s="862">
        <v>5976</v>
      </c>
      <c r="I55" s="862">
        <f t="shared" si="3"/>
        <v>2379</v>
      </c>
      <c r="J55" s="862">
        <v>700</v>
      </c>
      <c r="K55" s="862">
        <v>1679</v>
      </c>
      <c r="L55" s="862">
        <v>7669</v>
      </c>
    </row>
    <row r="56" spans="1:12" x14ac:dyDescent="0.25">
      <c r="A56" s="2">
        <v>45</v>
      </c>
      <c r="B56" s="395" t="s">
        <v>103</v>
      </c>
      <c r="C56" s="396" t="s">
        <v>104</v>
      </c>
      <c r="D56" s="862">
        <f t="shared" si="1"/>
        <v>13589</v>
      </c>
      <c r="E56" s="862">
        <v>0</v>
      </c>
      <c r="F56" s="862">
        <f t="shared" si="2"/>
        <v>12185</v>
      </c>
      <c r="G56" s="862">
        <v>2420</v>
      </c>
      <c r="H56" s="862">
        <v>9765</v>
      </c>
      <c r="I56" s="862">
        <f t="shared" si="3"/>
        <v>1404</v>
      </c>
      <c r="J56" s="862">
        <v>104</v>
      </c>
      <c r="K56" s="862">
        <v>1300</v>
      </c>
      <c r="L56" s="862">
        <v>11826</v>
      </c>
    </row>
    <row r="57" spans="1:12" x14ac:dyDescent="0.25">
      <c r="A57" s="380">
        <v>46</v>
      </c>
      <c r="B57" s="398" t="s">
        <v>105</v>
      </c>
      <c r="C57" s="399" t="s">
        <v>106</v>
      </c>
      <c r="D57" s="862">
        <f t="shared" si="1"/>
        <v>5263</v>
      </c>
      <c r="E57" s="862">
        <v>0</v>
      </c>
      <c r="F57" s="862">
        <f t="shared" si="2"/>
        <v>4235</v>
      </c>
      <c r="G57" s="862">
        <v>666</v>
      </c>
      <c r="H57" s="862">
        <v>3569</v>
      </c>
      <c r="I57" s="862">
        <f t="shared" si="3"/>
        <v>1028</v>
      </c>
      <c r="J57" s="862">
        <v>204</v>
      </c>
      <c r="K57" s="862">
        <v>824</v>
      </c>
      <c r="L57" s="862">
        <v>6876</v>
      </c>
    </row>
    <row r="58" spans="1:12" x14ac:dyDescent="0.25">
      <c r="A58" s="2">
        <v>47</v>
      </c>
      <c r="B58" s="398" t="s">
        <v>107</v>
      </c>
      <c r="C58" s="399" t="s">
        <v>108</v>
      </c>
      <c r="D58" s="862">
        <f t="shared" si="1"/>
        <v>13597</v>
      </c>
      <c r="E58" s="862">
        <v>0</v>
      </c>
      <c r="F58" s="862">
        <f t="shared" si="2"/>
        <v>12034</v>
      </c>
      <c r="G58" s="862">
        <v>2073</v>
      </c>
      <c r="H58" s="862">
        <v>9961</v>
      </c>
      <c r="I58" s="862">
        <f t="shared" si="3"/>
        <v>1563</v>
      </c>
      <c r="J58" s="862">
        <v>69</v>
      </c>
      <c r="K58" s="862">
        <v>1494</v>
      </c>
      <c r="L58" s="862">
        <v>10643</v>
      </c>
    </row>
    <row r="59" spans="1:12" x14ac:dyDescent="0.25">
      <c r="A59" s="380">
        <v>48</v>
      </c>
      <c r="B59" s="397" t="s">
        <v>109</v>
      </c>
      <c r="C59" s="396" t="s">
        <v>110</v>
      </c>
      <c r="D59" s="862">
        <f t="shared" si="1"/>
        <v>11622</v>
      </c>
      <c r="E59" s="862">
        <v>0</v>
      </c>
      <c r="F59" s="862">
        <f t="shared" si="2"/>
        <v>5728</v>
      </c>
      <c r="G59" s="862">
        <v>1199</v>
      </c>
      <c r="H59" s="862">
        <v>4529</v>
      </c>
      <c r="I59" s="862">
        <f t="shared" si="3"/>
        <v>5894</v>
      </c>
      <c r="J59" s="862">
        <v>0</v>
      </c>
      <c r="K59" s="862">
        <v>5894</v>
      </c>
      <c r="L59" s="862">
        <v>10150</v>
      </c>
    </row>
    <row r="60" spans="1:12" x14ac:dyDescent="0.25">
      <c r="A60" s="2">
        <v>49</v>
      </c>
      <c r="B60" s="398" t="s">
        <v>111</v>
      </c>
      <c r="C60" s="399" t="s">
        <v>112</v>
      </c>
      <c r="D60" s="862">
        <f t="shared" si="1"/>
        <v>6576</v>
      </c>
      <c r="E60" s="862">
        <v>0</v>
      </c>
      <c r="F60" s="862">
        <f t="shared" si="2"/>
        <v>5320</v>
      </c>
      <c r="G60" s="862">
        <v>601</v>
      </c>
      <c r="H60" s="862">
        <v>4719</v>
      </c>
      <c r="I60" s="862">
        <f t="shared" si="3"/>
        <v>1256</v>
      </c>
      <c r="J60" s="862">
        <v>0</v>
      </c>
      <c r="K60" s="862">
        <v>1256</v>
      </c>
      <c r="L60" s="862">
        <v>3976</v>
      </c>
    </row>
    <row r="61" spans="1:12" x14ac:dyDescent="0.25">
      <c r="A61" s="380">
        <v>50</v>
      </c>
      <c r="B61" s="397" t="s">
        <v>113</v>
      </c>
      <c r="C61" s="396" t="s">
        <v>114</v>
      </c>
      <c r="D61" s="862">
        <f t="shared" si="1"/>
        <v>8420</v>
      </c>
      <c r="E61" s="862">
        <v>0</v>
      </c>
      <c r="F61" s="862">
        <f t="shared" si="2"/>
        <v>5881</v>
      </c>
      <c r="G61" s="862">
        <v>1022</v>
      </c>
      <c r="H61" s="862">
        <v>4859</v>
      </c>
      <c r="I61" s="862">
        <f t="shared" si="3"/>
        <v>2539</v>
      </c>
      <c r="J61" s="862">
        <v>346</v>
      </c>
      <c r="K61" s="862">
        <v>2193</v>
      </c>
      <c r="L61" s="862">
        <v>5429</v>
      </c>
    </row>
    <row r="62" spans="1:12" x14ac:dyDescent="0.25">
      <c r="A62" s="2">
        <v>51</v>
      </c>
      <c r="B62" s="398" t="s">
        <v>115</v>
      </c>
      <c r="C62" s="399" t="s">
        <v>116</v>
      </c>
      <c r="D62" s="862">
        <f t="shared" si="1"/>
        <v>16764</v>
      </c>
      <c r="E62" s="862">
        <v>0</v>
      </c>
      <c r="F62" s="862">
        <f t="shared" si="2"/>
        <v>14750</v>
      </c>
      <c r="G62" s="862">
        <v>1186</v>
      </c>
      <c r="H62" s="862">
        <v>13564</v>
      </c>
      <c r="I62" s="862">
        <f t="shared" si="3"/>
        <v>2014</v>
      </c>
      <c r="J62" s="862">
        <v>101</v>
      </c>
      <c r="K62" s="862">
        <v>1913</v>
      </c>
      <c r="L62" s="862">
        <v>12912</v>
      </c>
    </row>
    <row r="63" spans="1:12" x14ac:dyDescent="0.25">
      <c r="A63" s="380">
        <v>52</v>
      </c>
      <c r="B63" s="398" t="s">
        <v>117</v>
      </c>
      <c r="C63" s="399" t="s">
        <v>118</v>
      </c>
      <c r="D63" s="862">
        <f t="shared" si="1"/>
        <v>34555</v>
      </c>
      <c r="E63" s="862">
        <v>0</v>
      </c>
      <c r="F63" s="862">
        <f t="shared" si="2"/>
        <v>26658</v>
      </c>
      <c r="G63" s="862">
        <v>4353</v>
      </c>
      <c r="H63" s="862">
        <v>22305</v>
      </c>
      <c r="I63" s="862">
        <f t="shared" si="3"/>
        <v>7897</v>
      </c>
      <c r="J63" s="862">
        <v>0</v>
      </c>
      <c r="K63" s="862">
        <v>7897</v>
      </c>
      <c r="L63" s="862">
        <v>35668</v>
      </c>
    </row>
    <row r="64" spans="1:12" x14ac:dyDescent="0.25">
      <c r="A64" s="2">
        <v>53</v>
      </c>
      <c r="B64" s="398" t="s">
        <v>119</v>
      </c>
      <c r="C64" s="399" t="s">
        <v>120</v>
      </c>
      <c r="D64" s="862">
        <f t="shared" si="1"/>
        <v>5891</v>
      </c>
      <c r="E64" s="862">
        <v>0</v>
      </c>
      <c r="F64" s="862">
        <f t="shared" si="2"/>
        <v>4902</v>
      </c>
      <c r="G64" s="862">
        <v>636</v>
      </c>
      <c r="H64" s="862">
        <v>4266</v>
      </c>
      <c r="I64" s="862">
        <f t="shared" si="3"/>
        <v>989</v>
      </c>
      <c r="J64" s="862">
        <v>0</v>
      </c>
      <c r="K64" s="862">
        <v>989</v>
      </c>
      <c r="L64" s="862">
        <v>5969</v>
      </c>
    </row>
    <row r="65" spans="1:12" x14ac:dyDescent="0.25">
      <c r="A65" s="380">
        <v>54</v>
      </c>
      <c r="B65" s="398" t="s">
        <v>121</v>
      </c>
      <c r="C65" s="399" t="s">
        <v>122</v>
      </c>
      <c r="D65" s="862">
        <f t="shared" si="1"/>
        <v>0</v>
      </c>
      <c r="E65" s="862">
        <v>0</v>
      </c>
      <c r="F65" s="862">
        <f t="shared" si="2"/>
        <v>0</v>
      </c>
      <c r="G65" s="862">
        <v>0</v>
      </c>
      <c r="H65" s="862">
        <v>0</v>
      </c>
      <c r="I65" s="862">
        <f t="shared" si="3"/>
        <v>0</v>
      </c>
      <c r="J65" s="862">
        <v>0</v>
      </c>
      <c r="K65" s="862">
        <v>0</v>
      </c>
      <c r="L65" s="862">
        <v>0</v>
      </c>
    </row>
    <row r="66" spans="1:12" x14ac:dyDescent="0.25">
      <c r="A66" s="2">
        <v>55</v>
      </c>
      <c r="B66" s="398" t="s">
        <v>123</v>
      </c>
      <c r="C66" s="399" t="s">
        <v>124</v>
      </c>
      <c r="D66" s="862">
        <f t="shared" si="1"/>
        <v>0</v>
      </c>
      <c r="E66" s="862">
        <v>0</v>
      </c>
      <c r="F66" s="862">
        <f t="shared" si="2"/>
        <v>0</v>
      </c>
      <c r="G66" s="862">
        <v>0</v>
      </c>
      <c r="H66" s="862">
        <v>0</v>
      </c>
      <c r="I66" s="862">
        <f t="shared" si="3"/>
        <v>0</v>
      </c>
      <c r="J66" s="862">
        <v>0</v>
      </c>
      <c r="K66" s="862">
        <v>0</v>
      </c>
      <c r="L66" s="862">
        <v>0</v>
      </c>
    </row>
    <row r="67" spans="1:12" ht="24" x14ac:dyDescent="0.25">
      <c r="A67" s="380">
        <v>56</v>
      </c>
      <c r="B67" s="401" t="s">
        <v>125</v>
      </c>
      <c r="C67" s="50" t="s">
        <v>126</v>
      </c>
      <c r="D67" s="862">
        <f t="shared" si="1"/>
        <v>0</v>
      </c>
      <c r="E67" s="862">
        <v>0</v>
      </c>
      <c r="F67" s="862">
        <f t="shared" si="2"/>
        <v>0</v>
      </c>
      <c r="G67" s="862">
        <v>0</v>
      </c>
      <c r="H67" s="862">
        <v>0</v>
      </c>
      <c r="I67" s="862">
        <f t="shared" si="3"/>
        <v>0</v>
      </c>
      <c r="J67" s="862">
        <v>0</v>
      </c>
      <c r="K67" s="862">
        <v>0</v>
      </c>
      <c r="L67" s="862">
        <v>0</v>
      </c>
    </row>
    <row r="68" spans="1:12" ht="24" x14ac:dyDescent="0.25">
      <c r="A68" s="2">
        <v>57</v>
      </c>
      <c r="B68" s="398" t="s">
        <v>127</v>
      </c>
      <c r="C68" s="399" t="s">
        <v>128</v>
      </c>
      <c r="D68" s="862">
        <f t="shared" si="1"/>
        <v>10107</v>
      </c>
      <c r="E68" s="862">
        <v>0</v>
      </c>
      <c r="F68" s="862">
        <f t="shared" si="2"/>
        <v>0</v>
      </c>
      <c r="G68" s="862">
        <v>0</v>
      </c>
      <c r="H68" s="862">
        <v>0</v>
      </c>
      <c r="I68" s="862">
        <f t="shared" si="3"/>
        <v>10107</v>
      </c>
      <c r="J68" s="862">
        <v>360</v>
      </c>
      <c r="K68" s="862">
        <v>9747</v>
      </c>
      <c r="L68" s="862">
        <v>0</v>
      </c>
    </row>
    <row r="69" spans="1:12" ht="24" x14ac:dyDescent="0.25">
      <c r="A69" s="380">
        <v>58</v>
      </c>
      <c r="B69" s="397" t="s">
        <v>129</v>
      </c>
      <c r="C69" s="399" t="s">
        <v>130</v>
      </c>
      <c r="D69" s="862">
        <f t="shared" si="1"/>
        <v>11348</v>
      </c>
      <c r="E69" s="862">
        <v>0</v>
      </c>
      <c r="F69" s="862">
        <f t="shared" si="2"/>
        <v>0</v>
      </c>
      <c r="G69" s="862">
        <v>0</v>
      </c>
      <c r="H69" s="862">
        <v>0</v>
      </c>
      <c r="I69" s="862">
        <f t="shared" si="3"/>
        <v>11348</v>
      </c>
      <c r="J69" s="862">
        <v>516</v>
      </c>
      <c r="K69" s="862">
        <v>10832</v>
      </c>
      <c r="L69" s="862">
        <v>0</v>
      </c>
    </row>
    <row r="70" spans="1:12" ht="24" x14ac:dyDescent="0.25">
      <c r="A70" s="2">
        <v>59</v>
      </c>
      <c r="B70" s="400" t="s">
        <v>131</v>
      </c>
      <c r="C70" s="50" t="s">
        <v>132</v>
      </c>
      <c r="D70" s="862">
        <f t="shared" si="1"/>
        <v>26055</v>
      </c>
      <c r="E70" s="862">
        <v>0</v>
      </c>
      <c r="F70" s="862">
        <f t="shared" si="2"/>
        <v>0</v>
      </c>
      <c r="G70" s="862">
        <v>0</v>
      </c>
      <c r="H70" s="862">
        <v>0</v>
      </c>
      <c r="I70" s="862">
        <f t="shared" si="3"/>
        <v>26055</v>
      </c>
      <c r="J70" s="862">
        <v>0</v>
      </c>
      <c r="K70" s="862">
        <v>26055</v>
      </c>
      <c r="L70" s="862">
        <v>0</v>
      </c>
    </row>
    <row r="71" spans="1:12" ht="24" x14ac:dyDescent="0.25">
      <c r="A71" s="380">
        <v>60</v>
      </c>
      <c r="B71" s="397" t="s">
        <v>133</v>
      </c>
      <c r="C71" s="399" t="s">
        <v>134</v>
      </c>
      <c r="D71" s="862">
        <f t="shared" si="1"/>
        <v>23694</v>
      </c>
      <c r="E71" s="862">
        <v>0</v>
      </c>
      <c r="F71" s="862">
        <f t="shared" si="2"/>
        <v>0</v>
      </c>
      <c r="G71" s="862">
        <v>0</v>
      </c>
      <c r="H71" s="862">
        <v>0</v>
      </c>
      <c r="I71" s="862">
        <f t="shared" si="3"/>
        <v>23694</v>
      </c>
      <c r="J71" s="862">
        <v>0</v>
      </c>
      <c r="K71" s="862">
        <v>23694</v>
      </c>
      <c r="L71" s="862">
        <v>0</v>
      </c>
    </row>
    <row r="72" spans="1:12" ht="24" x14ac:dyDescent="0.25">
      <c r="A72" s="2">
        <v>61</v>
      </c>
      <c r="B72" s="398" t="s">
        <v>135</v>
      </c>
      <c r="C72" s="399" t="s">
        <v>136</v>
      </c>
      <c r="D72" s="862">
        <f t="shared" si="1"/>
        <v>11892</v>
      </c>
      <c r="E72" s="862">
        <v>0</v>
      </c>
      <c r="F72" s="862">
        <f t="shared" si="2"/>
        <v>0</v>
      </c>
      <c r="G72" s="862">
        <v>0</v>
      </c>
      <c r="H72" s="862">
        <v>0</v>
      </c>
      <c r="I72" s="862">
        <f t="shared" si="3"/>
        <v>11892</v>
      </c>
      <c r="J72" s="862">
        <v>1040</v>
      </c>
      <c r="K72" s="862">
        <v>10852</v>
      </c>
      <c r="L72" s="862">
        <v>0</v>
      </c>
    </row>
    <row r="73" spans="1:12" ht="36" x14ac:dyDescent="0.25">
      <c r="A73" s="380">
        <v>62</v>
      </c>
      <c r="B73" s="395" t="s">
        <v>137</v>
      </c>
      <c r="C73" s="399" t="s">
        <v>138</v>
      </c>
      <c r="D73" s="862">
        <f t="shared" si="1"/>
        <v>0</v>
      </c>
      <c r="E73" s="862">
        <v>0</v>
      </c>
      <c r="F73" s="862">
        <f t="shared" si="2"/>
        <v>0</v>
      </c>
      <c r="G73" s="862">
        <v>0</v>
      </c>
      <c r="H73" s="862">
        <v>0</v>
      </c>
      <c r="I73" s="862">
        <f t="shared" si="3"/>
        <v>0</v>
      </c>
      <c r="J73" s="862">
        <v>0</v>
      </c>
      <c r="K73" s="862">
        <v>0</v>
      </c>
      <c r="L73" s="862">
        <v>0</v>
      </c>
    </row>
    <row r="74" spans="1:12" ht="36" x14ac:dyDescent="0.25">
      <c r="A74" s="2">
        <v>63</v>
      </c>
      <c r="B74" s="395" t="s">
        <v>139</v>
      </c>
      <c r="C74" s="399" t="s">
        <v>140</v>
      </c>
      <c r="D74" s="862">
        <f t="shared" si="1"/>
        <v>0</v>
      </c>
      <c r="E74" s="862">
        <v>0</v>
      </c>
      <c r="F74" s="862">
        <f t="shared" si="2"/>
        <v>0</v>
      </c>
      <c r="G74" s="862">
        <v>0</v>
      </c>
      <c r="H74" s="862">
        <v>0</v>
      </c>
      <c r="I74" s="862">
        <f t="shared" si="3"/>
        <v>0</v>
      </c>
      <c r="J74" s="862">
        <v>0</v>
      </c>
      <c r="K74" s="862">
        <v>0</v>
      </c>
      <c r="L74" s="862">
        <v>0</v>
      </c>
    </row>
    <row r="75" spans="1:12" x14ac:dyDescent="0.25">
      <c r="A75" s="380">
        <v>64</v>
      </c>
      <c r="B75" s="397" t="s">
        <v>141</v>
      </c>
      <c r="C75" s="399" t="s">
        <v>142</v>
      </c>
      <c r="D75" s="862">
        <f t="shared" si="1"/>
        <v>22257</v>
      </c>
      <c r="E75" s="862">
        <v>0</v>
      </c>
      <c r="F75" s="862">
        <f t="shared" si="2"/>
        <v>22257</v>
      </c>
      <c r="G75" s="862">
        <v>4760</v>
      </c>
      <c r="H75" s="862">
        <v>17497</v>
      </c>
      <c r="I75" s="862">
        <f t="shared" si="3"/>
        <v>0</v>
      </c>
      <c r="J75" s="862">
        <v>0</v>
      </c>
      <c r="K75" s="862">
        <v>0</v>
      </c>
      <c r="L75" s="862">
        <v>26470</v>
      </c>
    </row>
    <row r="76" spans="1:12" x14ac:dyDescent="0.25">
      <c r="A76" s="2">
        <v>65</v>
      </c>
      <c r="B76" s="397" t="s">
        <v>143</v>
      </c>
      <c r="C76" s="396" t="s">
        <v>144</v>
      </c>
      <c r="D76" s="862">
        <f t="shared" ref="D76:D139" si="4">E76+F76+I76</f>
        <v>41782</v>
      </c>
      <c r="E76" s="862">
        <v>0</v>
      </c>
      <c r="F76" s="862">
        <f t="shared" ref="F76:F139" si="5">G76+H76</f>
        <v>41782</v>
      </c>
      <c r="G76" s="862">
        <v>4652</v>
      </c>
      <c r="H76" s="862">
        <v>37130</v>
      </c>
      <c r="I76" s="862">
        <f t="shared" ref="I76:I139" si="6">J76+K76</f>
        <v>0</v>
      </c>
      <c r="J76" s="862">
        <v>0</v>
      </c>
      <c r="K76" s="862">
        <v>0</v>
      </c>
      <c r="L76" s="862">
        <v>30027</v>
      </c>
    </row>
    <row r="77" spans="1:12" x14ac:dyDescent="0.25">
      <c r="A77" s="380">
        <v>66</v>
      </c>
      <c r="B77" s="397" t="s">
        <v>145</v>
      </c>
      <c r="C77" s="399" t="s">
        <v>146</v>
      </c>
      <c r="D77" s="862">
        <f t="shared" si="4"/>
        <v>60904</v>
      </c>
      <c r="E77" s="862">
        <v>0</v>
      </c>
      <c r="F77" s="862">
        <f t="shared" si="5"/>
        <v>60904</v>
      </c>
      <c r="G77" s="862">
        <v>9311</v>
      </c>
      <c r="H77" s="862">
        <v>51593</v>
      </c>
      <c r="I77" s="862">
        <f t="shared" si="6"/>
        <v>0</v>
      </c>
      <c r="J77" s="862">
        <v>0</v>
      </c>
      <c r="K77" s="862">
        <v>0</v>
      </c>
      <c r="L77" s="862">
        <v>42131</v>
      </c>
    </row>
    <row r="78" spans="1:12" ht="24" x14ac:dyDescent="0.25">
      <c r="A78" s="2">
        <v>67</v>
      </c>
      <c r="B78" s="397" t="s">
        <v>147</v>
      </c>
      <c r="C78" s="399" t="s">
        <v>148</v>
      </c>
      <c r="D78" s="862">
        <f t="shared" si="4"/>
        <v>7</v>
      </c>
      <c r="E78" s="862">
        <v>7</v>
      </c>
      <c r="F78" s="862">
        <f t="shared" si="5"/>
        <v>0</v>
      </c>
      <c r="G78" s="862">
        <v>0</v>
      </c>
      <c r="H78" s="862">
        <v>0</v>
      </c>
      <c r="I78" s="862">
        <f t="shared" si="6"/>
        <v>0</v>
      </c>
      <c r="J78" s="862">
        <v>0</v>
      </c>
      <c r="K78" s="862">
        <v>0</v>
      </c>
      <c r="L78" s="862">
        <v>7</v>
      </c>
    </row>
    <row r="79" spans="1:12" ht="24" x14ac:dyDescent="0.25">
      <c r="A79" s="380">
        <v>68</v>
      </c>
      <c r="B79" s="395" t="s">
        <v>149</v>
      </c>
      <c r="C79" s="399" t="s">
        <v>150</v>
      </c>
      <c r="D79" s="862">
        <f t="shared" si="4"/>
        <v>1</v>
      </c>
      <c r="E79" s="862">
        <v>1</v>
      </c>
      <c r="F79" s="862">
        <f t="shared" si="5"/>
        <v>0</v>
      </c>
      <c r="G79" s="862">
        <v>0</v>
      </c>
      <c r="H79" s="862">
        <v>0</v>
      </c>
      <c r="I79" s="862">
        <f t="shared" si="6"/>
        <v>0</v>
      </c>
      <c r="J79" s="862">
        <v>0</v>
      </c>
      <c r="K79" s="862">
        <v>0</v>
      </c>
      <c r="L79" s="862">
        <v>8</v>
      </c>
    </row>
    <row r="80" spans="1:12" ht="24" x14ac:dyDescent="0.25">
      <c r="A80" s="2">
        <v>69</v>
      </c>
      <c r="B80" s="397" t="s">
        <v>151</v>
      </c>
      <c r="C80" s="399" t="s">
        <v>152</v>
      </c>
      <c r="D80" s="862">
        <f t="shared" si="4"/>
        <v>13</v>
      </c>
      <c r="E80" s="862">
        <v>13</v>
      </c>
      <c r="F80" s="862">
        <f t="shared" si="5"/>
        <v>0</v>
      </c>
      <c r="G80" s="862">
        <v>0</v>
      </c>
      <c r="H80" s="862">
        <v>0</v>
      </c>
      <c r="I80" s="862">
        <f t="shared" si="6"/>
        <v>0</v>
      </c>
      <c r="J80" s="862">
        <v>0</v>
      </c>
      <c r="K80" s="862">
        <v>0</v>
      </c>
      <c r="L80" s="862">
        <v>12</v>
      </c>
    </row>
    <row r="81" spans="1:12" ht="24" x14ac:dyDescent="0.25">
      <c r="A81" s="380">
        <v>70</v>
      </c>
      <c r="B81" s="397" t="s">
        <v>153</v>
      </c>
      <c r="C81" s="399" t="s">
        <v>154</v>
      </c>
      <c r="D81" s="862">
        <f t="shared" si="4"/>
        <v>571</v>
      </c>
      <c r="E81" s="862">
        <v>571</v>
      </c>
      <c r="F81" s="862">
        <f t="shared" si="5"/>
        <v>0</v>
      </c>
      <c r="G81" s="862">
        <v>0</v>
      </c>
      <c r="H81" s="862">
        <v>0</v>
      </c>
      <c r="I81" s="862">
        <f t="shared" si="6"/>
        <v>0</v>
      </c>
      <c r="J81" s="862">
        <v>0</v>
      </c>
      <c r="K81" s="862">
        <v>0</v>
      </c>
      <c r="L81" s="862">
        <v>19</v>
      </c>
    </row>
    <row r="82" spans="1:12" ht="24" x14ac:dyDescent="0.25">
      <c r="A82" s="2">
        <v>71</v>
      </c>
      <c r="B82" s="395" t="s">
        <v>155</v>
      </c>
      <c r="C82" s="399" t="s">
        <v>156</v>
      </c>
      <c r="D82" s="862">
        <f t="shared" si="4"/>
        <v>0</v>
      </c>
      <c r="E82" s="862">
        <v>0</v>
      </c>
      <c r="F82" s="862">
        <f t="shared" si="5"/>
        <v>0</v>
      </c>
      <c r="G82" s="862">
        <v>0</v>
      </c>
      <c r="H82" s="862">
        <v>0</v>
      </c>
      <c r="I82" s="862">
        <f t="shared" si="6"/>
        <v>0</v>
      </c>
      <c r="J82" s="862">
        <v>0</v>
      </c>
      <c r="K82" s="862">
        <v>0</v>
      </c>
      <c r="L82" s="862">
        <v>0</v>
      </c>
    </row>
    <row r="83" spans="1:12" ht="24" x14ac:dyDescent="0.25">
      <c r="A83" s="380">
        <v>72</v>
      </c>
      <c r="B83" s="395" t="s">
        <v>157</v>
      </c>
      <c r="C83" s="399" t="s">
        <v>158</v>
      </c>
      <c r="D83" s="862">
        <f t="shared" si="4"/>
        <v>6</v>
      </c>
      <c r="E83" s="862">
        <v>6</v>
      </c>
      <c r="F83" s="862">
        <f t="shared" si="5"/>
        <v>0</v>
      </c>
      <c r="G83" s="862">
        <v>0</v>
      </c>
      <c r="H83" s="862">
        <v>0</v>
      </c>
      <c r="I83" s="862">
        <f t="shared" si="6"/>
        <v>0</v>
      </c>
      <c r="J83" s="862">
        <v>0</v>
      </c>
      <c r="K83" s="862">
        <v>0</v>
      </c>
      <c r="L83" s="862">
        <v>10</v>
      </c>
    </row>
    <row r="84" spans="1:12" ht="24" x14ac:dyDescent="0.25">
      <c r="A84" s="2">
        <v>73</v>
      </c>
      <c r="B84" s="395" t="s">
        <v>159</v>
      </c>
      <c r="C84" s="399" t="s">
        <v>160</v>
      </c>
      <c r="D84" s="862">
        <f t="shared" si="4"/>
        <v>0</v>
      </c>
      <c r="E84" s="862">
        <v>0</v>
      </c>
      <c r="F84" s="862">
        <f t="shared" si="5"/>
        <v>0</v>
      </c>
      <c r="G84" s="862">
        <v>0</v>
      </c>
      <c r="H84" s="862">
        <v>0</v>
      </c>
      <c r="I84" s="862">
        <f t="shared" si="6"/>
        <v>0</v>
      </c>
      <c r="J84" s="862">
        <v>0</v>
      </c>
      <c r="K84" s="862">
        <v>0</v>
      </c>
      <c r="L84" s="862">
        <v>0</v>
      </c>
    </row>
    <row r="85" spans="1:12" ht="24" x14ac:dyDescent="0.25">
      <c r="A85" s="380">
        <v>74</v>
      </c>
      <c r="B85" s="398" t="s">
        <v>161</v>
      </c>
      <c r="C85" s="399" t="s">
        <v>162</v>
      </c>
      <c r="D85" s="862">
        <f t="shared" si="4"/>
        <v>26956</v>
      </c>
      <c r="E85" s="862">
        <v>0</v>
      </c>
      <c r="F85" s="862">
        <f t="shared" si="5"/>
        <v>24356</v>
      </c>
      <c r="G85" s="862">
        <v>4129</v>
      </c>
      <c r="H85" s="862">
        <v>20227</v>
      </c>
      <c r="I85" s="862">
        <f t="shared" si="6"/>
        <v>2600</v>
      </c>
      <c r="J85" s="862">
        <v>375</v>
      </c>
      <c r="K85" s="862">
        <v>2225</v>
      </c>
      <c r="L85" s="862">
        <v>25904</v>
      </c>
    </row>
    <row r="86" spans="1:12" x14ac:dyDescent="0.25">
      <c r="A86" s="2">
        <v>75</v>
      </c>
      <c r="B86" s="395" t="s">
        <v>163</v>
      </c>
      <c r="C86" s="399" t="s">
        <v>164</v>
      </c>
      <c r="D86" s="862">
        <f t="shared" si="4"/>
        <v>56161</v>
      </c>
      <c r="E86" s="862">
        <v>0</v>
      </c>
      <c r="F86" s="862">
        <f t="shared" si="5"/>
        <v>55661</v>
      </c>
      <c r="G86" s="862">
        <v>9297</v>
      </c>
      <c r="H86" s="862">
        <v>46364</v>
      </c>
      <c r="I86" s="862">
        <f t="shared" si="6"/>
        <v>500</v>
      </c>
      <c r="J86" s="862">
        <v>0</v>
      </c>
      <c r="K86" s="862">
        <v>500</v>
      </c>
      <c r="L86" s="862">
        <v>37113</v>
      </c>
    </row>
    <row r="87" spans="1:12" x14ac:dyDescent="0.25">
      <c r="A87" s="380">
        <v>76</v>
      </c>
      <c r="B87" s="398" t="s">
        <v>165</v>
      </c>
      <c r="C87" s="399" t="s">
        <v>166</v>
      </c>
      <c r="D87" s="862">
        <f t="shared" si="4"/>
        <v>31524</v>
      </c>
      <c r="E87" s="862">
        <v>0</v>
      </c>
      <c r="F87" s="862">
        <f t="shared" si="5"/>
        <v>31524</v>
      </c>
      <c r="G87" s="862">
        <v>5206</v>
      </c>
      <c r="H87" s="862">
        <v>26318</v>
      </c>
      <c r="I87" s="862">
        <f t="shared" si="6"/>
        <v>0</v>
      </c>
      <c r="J87" s="862">
        <v>0</v>
      </c>
      <c r="K87" s="862">
        <v>0</v>
      </c>
      <c r="L87" s="862">
        <v>31971</v>
      </c>
    </row>
    <row r="88" spans="1:12" x14ac:dyDescent="0.25">
      <c r="A88" s="2">
        <v>77</v>
      </c>
      <c r="B88" s="400" t="s">
        <v>167</v>
      </c>
      <c r="C88" s="50" t="s">
        <v>168</v>
      </c>
      <c r="D88" s="862">
        <f t="shared" si="4"/>
        <v>12769</v>
      </c>
      <c r="E88" s="862">
        <v>0</v>
      </c>
      <c r="F88" s="862">
        <f t="shared" si="5"/>
        <v>12769</v>
      </c>
      <c r="G88" s="862">
        <v>3198</v>
      </c>
      <c r="H88" s="862">
        <v>9571</v>
      </c>
      <c r="I88" s="862">
        <f t="shared" si="6"/>
        <v>0</v>
      </c>
      <c r="J88" s="862">
        <v>0</v>
      </c>
      <c r="K88" s="862">
        <v>0</v>
      </c>
      <c r="L88" s="862">
        <v>7895</v>
      </c>
    </row>
    <row r="89" spans="1:12" x14ac:dyDescent="0.25">
      <c r="A89" s="380">
        <v>78</v>
      </c>
      <c r="B89" s="395" t="s">
        <v>169</v>
      </c>
      <c r="C89" s="399" t="s">
        <v>170</v>
      </c>
      <c r="D89" s="862">
        <f t="shared" si="4"/>
        <v>48309</v>
      </c>
      <c r="E89" s="862">
        <v>0</v>
      </c>
      <c r="F89" s="862">
        <f t="shared" si="5"/>
        <v>48309</v>
      </c>
      <c r="G89" s="862">
        <v>8993</v>
      </c>
      <c r="H89" s="862">
        <v>39316</v>
      </c>
      <c r="I89" s="862">
        <f t="shared" si="6"/>
        <v>0</v>
      </c>
      <c r="J89" s="862">
        <v>0</v>
      </c>
      <c r="K89" s="862">
        <v>0</v>
      </c>
      <c r="L89" s="862">
        <v>58440</v>
      </c>
    </row>
    <row r="90" spans="1:12" x14ac:dyDescent="0.25">
      <c r="A90" s="2">
        <v>79</v>
      </c>
      <c r="B90" s="400" t="s">
        <v>171</v>
      </c>
      <c r="C90" s="50" t="s">
        <v>172</v>
      </c>
      <c r="D90" s="862">
        <f t="shared" si="4"/>
        <v>23053</v>
      </c>
      <c r="E90" s="862">
        <v>0</v>
      </c>
      <c r="F90" s="862">
        <f t="shared" si="5"/>
        <v>0</v>
      </c>
      <c r="G90" s="862">
        <v>0</v>
      </c>
      <c r="H90" s="862">
        <v>0</v>
      </c>
      <c r="I90" s="862">
        <f t="shared" si="6"/>
        <v>23053</v>
      </c>
      <c r="J90" s="862">
        <v>1056</v>
      </c>
      <c r="K90" s="862">
        <v>21997</v>
      </c>
      <c r="L90" s="862">
        <v>0</v>
      </c>
    </row>
    <row r="91" spans="1:12" x14ac:dyDescent="0.25">
      <c r="A91" s="380">
        <v>80</v>
      </c>
      <c r="B91" s="395" t="s">
        <v>173</v>
      </c>
      <c r="C91" s="399" t="s">
        <v>174</v>
      </c>
      <c r="D91" s="862">
        <f t="shared" si="4"/>
        <v>41471</v>
      </c>
      <c r="E91" s="862">
        <v>0</v>
      </c>
      <c r="F91" s="862">
        <f t="shared" si="5"/>
        <v>41471</v>
      </c>
      <c r="G91" s="862">
        <v>6878</v>
      </c>
      <c r="H91" s="862">
        <v>34593</v>
      </c>
      <c r="I91" s="862">
        <f t="shared" si="6"/>
        <v>0</v>
      </c>
      <c r="J91" s="862">
        <v>0</v>
      </c>
      <c r="K91" s="862">
        <v>0</v>
      </c>
      <c r="L91" s="862">
        <v>37572</v>
      </c>
    </row>
    <row r="92" spans="1:12" x14ac:dyDescent="0.25">
      <c r="A92" s="2">
        <v>81</v>
      </c>
      <c r="B92" s="400" t="s">
        <v>175</v>
      </c>
      <c r="C92" s="50" t="s">
        <v>749</v>
      </c>
      <c r="D92" s="862">
        <f t="shared" si="4"/>
        <v>0</v>
      </c>
      <c r="E92" s="862">
        <v>0</v>
      </c>
      <c r="F92" s="862">
        <f t="shared" si="5"/>
        <v>0</v>
      </c>
      <c r="G92" s="862">
        <v>0</v>
      </c>
      <c r="H92" s="862">
        <v>0</v>
      </c>
      <c r="I92" s="862">
        <f t="shared" si="6"/>
        <v>0</v>
      </c>
      <c r="J92" s="862">
        <v>0</v>
      </c>
      <c r="K92" s="862">
        <v>0</v>
      </c>
      <c r="L92" s="862">
        <v>0</v>
      </c>
    </row>
    <row r="93" spans="1:12" x14ac:dyDescent="0.25">
      <c r="A93" s="380">
        <v>82</v>
      </c>
      <c r="B93" s="397" t="s">
        <v>177</v>
      </c>
      <c r="C93" s="399" t="s">
        <v>358</v>
      </c>
      <c r="D93" s="862">
        <f t="shared" si="4"/>
        <v>0</v>
      </c>
      <c r="E93" s="862">
        <v>0</v>
      </c>
      <c r="F93" s="862">
        <f t="shared" si="5"/>
        <v>0</v>
      </c>
      <c r="G93" s="862">
        <v>0</v>
      </c>
      <c r="H93" s="862">
        <v>0</v>
      </c>
      <c r="I93" s="862">
        <f t="shared" si="6"/>
        <v>0</v>
      </c>
      <c r="J93" s="862">
        <v>0</v>
      </c>
      <c r="K93" s="862">
        <v>0</v>
      </c>
      <c r="L93" s="862">
        <v>0</v>
      </c>
    </row>
    <row r="94" spans="1:12" ht="55.5" customHeight="1" x14ac:dyDescent="0.25">
      <c r="A94" s="978">
        <v>83</v>
      </c>
      <c r="B94" s="993" t="s">
        <v>178</v>
      </c>
      <c r="C94" s="50" t="s">
        <v>747</v>
      </c>
      <c r="D94" s="862">
        <f t="shared" si="4"/>
        <v>462</v>
      </c>
      <c r="E94" s="862">
        <v>0</v>
      </c>
      <c r="F94" s="862">
        <f t="shared" si="5"/>
        <v>462</v>
      </c>
      <c r="G94" s="862">
        <v>128</v>
      </c>
      <c r="H94" s="862">
        <v>334</v>
      </c>
      <c r="I94" s="862">
        <f t="shared" si="6"/>
        <v>0</v>
      </c>
      <c r="J94" s="862">
        <v>0</v>
      </c>
      <c r="K94" s="862">
        <v>0</v>
      </c>
      <c r="L94" s="862">
        <v>194</v>
      </c>
    </row>
    <row r="95" spans="1:12" ht="24" x14ac:dyDescent="0.25">
      <c r="A95" s="979"/>
      <c r="B95" s="994"/>
      <c r="C95" s="399" t="s">
        <v>180</v>
      </c>
      <c r="D95" s="862">
        <f t="shared" si="4"/>
        <v>0</v>
      </c>
      <c r="E95" s="862">
        <v>0</v>
      </c>
      <c r="F95" s="862">
        <f t="shared" si="5"/>
        <v>0</v>
      </c>
      <c r="G95" s="862">
        <v>0</v>
      </c>
      <c r="H95" s="862">
        <v>0</v>
      </c>
      <c r="I95" s="862">
        <f t="shared" si="6"/>
        <v>0</v>
      </c>
      <c r="J95" s="862">
        <v>0</v>
      </c>
      <c r="K95" s="862">
        <v>0</v>
      </c>
      <c r="L95" s="862">
        <v>0</v>
      </c>
    </row>
    <row r="96" spans="1:12" ht="48" x14ac:dyDescent="0.25">
      <c r="A96" s="980"/>
      <c r="B96" s="995"/>
      <c r="C96" s="170" t="s">
        <v>509</v>
      </c>
      <c r="D96" s="862">
        <f t="shared" si="4"/>
        <v>0</v>
      </c>
      <c r="E96" s="862">
        <v>0</v>
      </c>
      <c r="F96" s="862">
        <f t="shared" si="5"/>
        <v>0</v>
      </c>
      <c r="G96" s="862">
        <v>0</v>
      </c>
      <c r="H96" s="862">
        <v>0</v>
      </c>
      <c r="I96" s="862">
        <f t="shared" si="6"/>
        <v>0</v>
      </c>
      <c r="J96" s="862">
        <v>0</v>
      </c>
      <c r="K96" s="862">
        <v>0</v>
      </c>
      <c r="L96" s="862">
        <v>0</v>
      </c>
    </row>
    <row r="97" spans="1:12" ht="24" x14ac:dyDescent="0.25">
      <c r="A97" s="380">
        <v>84</v>
      </c>
      <c r="B97" s="397" t="s">
        <v>181</v>
      </c>
      <c r="C97" s="396" t="s">
        <v>182</v>
      </c>
      <c r="D97" s="862">
        <f t="shared" si="4"/>
        <v>0</v>
      </c>
      <c r="E97" s="862">
        <v>0</v>
      </c>
      <c r="F97" s="862">
        <f t="shared" si="5"/>
        <v>0</v>
      </c>
      <c r="G97" s="862">
        <v>0</v>
      </c>
      <c r="H97" s="862">
        <v>0</v>
      </c>
      <c r="I97" s="862">
        <f t="shared" si="6"/>
        <v>0</v>
      </c>
      <c r="J97" s="862">
        <v>0</v>
      </c>
      <c r="K97" s="862">
        <v>0</v>
      </c>
      <c r="L97" s="862">
        <v>0</v>
      </c>
    </row>
    <row r="98" spans="1:12" x14ac:dyDescent="0.25">
      <c r="A98" s="380">
        <v>85</v>
      </c>
      <c r="B98" s="397" t="s">
        <v>183</v>
      </c>
      <c r="C98" s="50" t="s">
        <v>184</v>
      </c>
      <c r="D98" s="862">
        <f t="shared" si="4"/>
        <v>1641</v>
      </c>
      <c r="E98" s="862">
        <v>0</v>
      </c>
      <c r="F98" s="862">
        <f t="shared" si="5"/>
        <v>1641</v>
      </c>
      <c r="G98" s="862">
        <v>0</v>
      </c>
      <c r="H98" s="862">
        <v>1641</v>
      </c>
      <c r="I98" s="862">
        <f t="shared" si="6"/>
        <v>0</v>
      </c>
      <c r="J98" s="862">
        <v>0</v>
      </c>
      <c r="K98" s="862">
        <v>0</v>
      </c>
      <c r="L98" s="862">
        <v>2169</v>
      </c>
    </row>
    <row r="99" spans="1:12" x14ac:dyDescent="0.25">
      <c r="A99" s="380">
        <v>86</v>
      </c>
      <c r="B99" s="398" t="s">
        <v>185</v>
      </c>
      <c r="C99" s="399" t="s">
        <v>186</v>
      </c>
      <c r="D99" s="862">
        <f t="shared" si="4"/>
        <v>7284</v>
      </c>
      <c r="E99" s="862">
        <v>0</v>
      </c>
      <c r="F99" s="862">
        <f t="shared" si="5"/>
        <v>7284</v>
      </c>
      <c r="G99" s="862">
        <v>902</v>
      </c>
      <c r="H99" s="862">
        <v>6382</v>
      </c>
      <c r="I99" s="862">
        <f t="shared" si="6"/>
        <v>0</v>
      </c>
      <c r="J99" s="862">
        <v>0</v>
      </c>
      <c r="K99" s="862">
        <v>0</v>
      </c>
      <c r="L99" s="862">
        <v>6690</v>
      </c>
    </row>
    <row r="100" spans="1:12" x14ac:dyDescent="0.25">
      <c r="A100" s="380">
        <v>87</v>
      </c>
      <c r="B100" s="397" t="s">
        <v>187</v>
      </c>
      <c r="C100" s="396" t="s">
        <v>188</v>
      </c>
      <c r="D100" s="862">
        <f t="shared" si="4"/>
        <v>5969</v>
      </c>
      <c r="E100" s="862">
        <v>0</v>
      </c>
      <c r="F100" s="862">
        <f t="shared" si="5"/>
        <v>5004</v>
      </c>
      <c r="G100" s="862">
        <v>733</v>
      </c>
      <c r="H100" s="862">
        <v>4271</v>
      </c>
      <c r="I100" s="862">
        <f t="shared" si="6"/>
        <v>965</v>
      </c>
      <c r="J100" s="862">
        <v>82</v>
      </c>
      <c r="K100" s="862">
        <v>883</v>
      </c>
      <c r="L100" s="862">
        <v>4580</v>
      </c>
    </row>
    <row r="101" spans="1:12" x14ac:dyDescent="0.25">
      <c r="A101" s="380">
        <v>88</v>
      </c>
      <c r="B101" s="398" t="s">
        <v>189</v>
      </c>
      <c r="C101" s="399" t="s">
        <v>190</v>
      </c>
      <c r="D101" s="862">
        <f t="shared" si="4"/>
        <v>5380</v>
      </c>
      <c r="E101" s="862">
        <v>0</v>
      </c>
      <c r="F101" s="862">
        <f t="shared" si="5"/>
        <v>4342</v>
      </c>
      <c r="G101" s="862">
        <v>557</v>
      </c>
      <c r="H101" s="862">
        <v>3785</v>
      </c>
      <c r="I101" s="862">
        <f t="shared" si="6"/>
        <v>1038</v>
      </c>
      <c r="J101" s="862">
        <v>26</v>
      </c>
      <c r="K101" s="862">
        <v>1012</v>
      </c>
      <c r="L101" s="862">
        <v>3583</v>
      </c>
    </row>
    <row r="102" spans="1:12" x14ac:dyDescent="0.25">
      <c r="A102" s="380">
        <v>89</v>
      </c>
      <c r="B102" s="398" t="s">
        <v>191</v>
      </c>
      <c r="C102" s="399" t="s">
        <v>192</v>
      </c>
      <c r="D102" s="862">
        <f t="shared" si="4"/>
        <v>13686</v>
      </c>
      <c r="E102" s="862">
        <v>0</v>
      </c>
      <c r="F102" s="862">
        <f t="shared" si="5"/>
        <v>9904</v>
      </c>
      <c r="G102" s="862">
        <v>2115</v>
      </c>
      <c r="H102" s="862">
        <v>7789</v>
      </c>
      <c r="I102" s="862">
        <f t="shared" si="6"/>
        <v>3782</v>
      </c>
      <c r="J102" s="862">
        <v>0</v>
      </c>
      <c r="K102" s="862">
        <v>3782</v>
      </c>
      <c r="L102" s="862">
        <v>13140</v>
      </c>
    </row>
    <row r="103" spans="1:12" x14ac:dyDescent="0.25">
      <c r="A103" s="380">
        <v>90</v>
      </c>
      <c r="B103" s="397" t="s">
        <v>193</v>
      </c>
      <c r="C103" s="50" t="s">
        <v>194</v>
      </c>
      <c r="D103" s="862">
        <f t="shared" si="4"/>
        <v>6381</v>
      </c>
      <c r="E103" s="862">
        <v>0</v>
      </c>
      <c r="F103" s="862">
        <f t="shared" si="5"/>
        <v>5242</v>
      </c>
      <c r="G103" s="862">
        <v>827</v>
      </c>
      <c r="H103" s="862">
        <v>4415</v>
      </c>
      <c r="I103" s="862">
        <f t="shared" si="6"/>
        <v>1139</v>
      </c>
      <c r="J103" s="862">
        <v>244</v>
      </c>
      <c r="K103" s="862">
        <v>895</v>
      </c>
      <c r="L103" s="862">
        <v>5264</v>
      </c>
    </row>
    <row r="104" spans="1:12" x14ac:dyDescent="0.25">
      <c r="A104" s="380">
        <v>91</v>
      </c>
      <c r="B104" s="397" t="s">
        <v>195</v>
      </c>
      <c r="C104" s="396" t="s">
        <v>196</v>
      </c>
      <c r="D104" s="862">
        <f t="shared" si="4"/>
        <v>13895</v>
      </c>
      <c r="E104" s="862">
        <v>0</v>
      </c>
      <c r="F104" s="862">
        <f t="shared" si="5"/>
        <v>9975</v>
      </c>
      <c r="G104" s="862">
        <v>2684</v>
      </c>
      <c r="H104" s="862">
        <v>7291</v>
      </c>
      <c r="I104" s="862">
        <f t="shared" si="6"/>
        <v>3920</v>
      </c>
      <c r="J104" s="862">
        <v>582</v>
      </c>
      <c r="K104" s="862">
        <v>3338</v>
      </c>
      <c r="L104" s="862">
        <v>10485</v>
      </c>
    </row>
    <row r="105" spans="1:12" x14ac:dyDescent="0.25">
      <c r="A105" s="380">
        <v>92</v>
      </c>
      <c r="B105" s="395" t="s">
        <v>197</v>
      </c>
      <c r="C105" s="396" t="s">
        <v>198</v>
      </c>
      <c r="D105" s="862">
        <f t="shared" si="4"/>
        <v>12466</v>
      </c>
      <c r="E105" s="862">
        <v>0</v>
      </c>
      <c r="F105" s="862">
        <f t="shared" si="5"/>
        <v>9894</v>
      </c>
      <c r="G105" s="862">
        <v>1212</v>
      </c>
      <c r="H105" s="862">
        <v>8682</v>
      </c>
      <c r="I105" s="862">
        <f t="shared" si="6"/>
        <v>2572</v>
      </c>
      <c r="J105" s="862">
        <v>0</v>
      </c>
      <c r="K105" s="862">
        <v>2572</v>
      </c>
      <c r="L105" s="862">
        <v>9656</v>
      </c>
    </row>
    <row r="106" spans="1:12" x14ac:dyDescent="0.25">
      <c r="A106" s="380">
        <v>93</v>
      </c>
      <c r="B106" s="395" t="s">
        <v>199</v>
      </c>
      <c r="C106" s="396" t="s">
        <v>200</v>
      </c>
      <c r="D106" s="862">
        <f t="shared" si="4"/>
        <v>9902</v>
      </c>
      <c r="E106" s="862">
        <v>0</v>
      </c>
      <c r="F106" s="862">
        <f t="shared" si="5"/>
        <v>7448</v>
      </c>
      <c r="G106" s="862">
        <v>1433</v>
      </c>
      <c r="H106" s="862">
        <v>6015</v>
      </c>
      <c r="I106" s="862">
        <f t="shared" si="6"/>
        <v>2454</v>
      </c>
      <c r="J106" s="862">
        <v>220</v>
      </c>
      <c r="K106" s="862">
        <v>2234</v>
      </c>
      <c r="L106" s="862">
        <v>8391</v>
      </c>
    </row>
    <row r="107" spans="1:12" x14ac:dyDescent="0.25">
      <c r="A107" s="380">
        <v>94</v>
      </c>
      <c r="B107" s="398" t="s">
        <v>201</v>
      </c>
      <c r="C107" s="399" t="s">
        <v>202</v>
      </c>
      <c r="D107" s="862">
        <f t="shared" si="4"/>
        <v>3637</v>
      </c>
      <c r="E107" s="862">
        <v>0</v>
      </c>
      <c r="F107" s="862">
        <f t="shared" si="5"/>
        <v>2976</v>
      </c>
      <c r="G107" s="862">
        <v>607</v>
      </c>
      <c r="H107" s="862">
        <v>2369</v>
      </c>
      <c r="I107" s="862">
        <f t="shared" si="6"/>
        <v>661</v>
      </c>
      <c r="J107" s="862">
        <v>160</v>
      </c>
      <c r="K107" s="862">
        <v>501</v>
      </c>
      <c r="L107" s="862">
        <v>4993</v>
      </c>
    </row>
    <row r="108" spans="1:12" x14ac:dyDescent="0.25">
      <c r="A108" s="380">
        <v>95</v>
      </c>
      <c r="B108" s="400" t="s">
        <v>203</v>
      </c>
      <c r="C108" s="50" t="s">
        <v>204</v>
      </c>
      <c r="D108" s="862">
        <f t="shared" si="4"/>
        <v>11149</v>
      </c>
      <c r="E108" s="862">
        <v>0</v>
      </c>
      <c r="F108" s="862">
        <f t="shared" si="5"/>
        <v>8311</v>
      </c>
      <c r="G108" s="862">
        <v>954</v>
      </c>
      <c r="H108" s="862">
        <v>7357</v>
      </c>
      <c r="I108" s="862">
        <f t="shared" si="6"/>
        <v>2838</v>
      </c>
      <c r="J108" s="862">
        <v>336</v>
      </c>
      <c r="K108" s="862">
        <v>2502</v>
      </c>
      <c r="L108" s="862">
        <v>7220</v>
      </c>
    </row>
    <row r="109" spans="1:12" x14ac:dyDescent="0.25">
      <c r="A109" s="380">
        <v>96</v>
      </c>
      <c r="B109" s="395" t="s">
        <v>205</v>
      </c>
      <c r="C109" s="396" t="s">
        <v>206</v>
      </c>
      <c r="D109" s="862">
        <f t="shared" si="4"/>
        <v>6982</v>
      </c>
      <c r="E109" s="862">
        <v>0</v>
      </c>
      <c r="F109" s="862">
        <f t="shared" si="5"/>
        <v>5696</v>
      </c>
      <c r="G109" s="862">
        <v>1356</v>
      </c>
      <c r="H109" s="862">
        <v>4340</v>
      </c>
      <c r="I109" s="862">
        <f t="shared" si="6"/>
        <v>1286</v>
      </c>
      <c r="J109" s="862">
        <v>164</v>
      </c>
      <c r="K109" s="862">
        <v>1122</v>
      </c>
      <c r="L109" s="862">
        <v>6929</v>
      </c>
    </row>
    <row r="110" spans="1:12" x14ac:dyDescent="0.25">
      <c r="A110" s="380">
        <v>97</v>
      </c>
      <c r="B110" s="397" t="s">
        <v>207</v>
      </c>
      <c r="C110" s="396" t="s">
        <v>208</v>
      </c>
      <c r="D110" s="862">
        <f t="shared" si="4"/>
        <v>7166</v>
      </c>
      <c r="E110" s="862">
        <v>0</v>
      </c>
      <c r="F110" s="862">
        <f t="shared" si="5"/>
        <v>4956</v>
      </c>
      <c r="G110" s="862">
        <v>1115</v>
      </c>
      <c r="H110" s="862">
        <v>3841</v>
      </c>
      <c r="I110" s="862">
        <f t="shared" si="6"/>
        <v>2210</v>
      </c>
      <c r="J110" s="862">
        <v>50</v>
      </c>
      <c r="K110" s="862">
        <v>2160</v>
      </c>
      <c r="L110" s="862">
        <v>6409</v>
      </c>
    </row>
    <row r="111" spans="1:12" x14ac:dyDescent="0.25">
      <c r="A111" s="380">
        <v>98</v>
      </c>
      <c r="B111" s="398" t="s">
        <v>209</v>
      </c>
      <c r="C111" s="399" t="s">
        <v>210</v>
      </c>
      <c r="D111" s="862">
        <f t="shared" si="4"/>
        <v>5488</v>
      </c>
      <c r="E111" s="862">
        <v>0</v>
      </c>
      <c r="F111" s="862">
        <f t="shared" si="5"/>
        <v>4537</v>
      </c>
      <c r="G111" s="862">
        <v>612</v>
      </c>
      <c r="H111" s="862">
        <v>3925</v>
      </c>
      <c r="I111" s="862">
        <f t="shared" si="6"/>
        <v>951</v>
      </c>
      <c r="J111" s="862">
        <v>16</v>
      </c>
      <c r="K111" s="862">
        <v>935</v>
      </c>
      <c r="L111" s="862">
        <v>4346</v>
      </c>
    </row>
    <row r="112" spans="1:12" x14ac:dyDescent="0.25">
      <c r="A112" s="380">
        <v>99</v>
      </c>
      <c r="B112" s="398" t="s">
        <v>211</v>
      </c>
      <c r="C112" s="399" t="s">
        <v>212</v>
      </c>
      <c r="D112" s="862">
        <f t="shared" si="4"/>
        <v>9878</v>
      </c>
      <c r="E112" s="862">
        <v>0</v>
      </c>
      <c r="F112" s="862">
        <f t="shared" si="5"/>
        <v>8227</v>
      </c>
      <c r="G112" s="862">
        <v>1472</v>
      </c>
      <c r="H112" s="862">
        <v>6755</v>
      </c>
      <c r="I112" s="862">
        <f t="shared" si="6"/>
        <v>1651</v>
      </c>
      <c r="J112" s="862">
        <v>0</v>
      </c>
      <c r="K112" s="862">
        <v>1651</v>
      </c>
      <c r="L112" s="862">
        <v>8378</v>
      </c>
    </row>
    <row r="113" spans="1:12" x14ac:dyDescent="0.25">
      <c r="A113" s="380">
        <v>100</v>
      </c>
      <c r="B113" s="395" t="s">
        <v>213</v>
      </c>
      <c r="C113" s="396" t="s">
        <v>214</v>
      </c>
      <c r="D113" s="862">
        <f t="shared" si="4"/>
        <v>18093</v>
      </c>
      <c r="E113" s="862">
        <v>0</v>
      </c>
      <c r="F113" s="862">
        <f t="shared" si="5"/>
        <v>11583</v>
      </c>
      <c r="G113" s="862">
        <v>1731</v>
      </c>
      <c r="H113" s="862">
        <v>9852</v>
      </c>
      <c r="I113" s="862">
        <f t="shared" si="6"/>
        <v>6510</v>
      </c>
      <c r="J113" s="862">
        <v>179</v>
      </c>
      <c r="K113" s="862">
        <v>6331</v>
      </c>
      <c r="L113" s="862">
        <v>12853</v>
      </c>
    </row>
    <row r="114" spans="1:12" x14ac:dyDescent="0.25">
      <c r="A114" s="380">
        <v>101</v>
      </c>
      <c r="B114" s="397" t="s">
        <v>215</v>
      </c>
      <c r="C114" s="396" t="s">
        <v>216</v>
      </c>
      <c r="D114" s="862">
        <f t="shared" si="4"/>
        <v>7195</v>
      </c>
      <c r="E114" s="862">
        <v>0</v>
      </c>
      <c r="F114" s="862">
        <f t="shared" si="5"/>
        <v>5301</v>
      </c>
      <c r="G114" s="862">
        <v>1439</v>
      </c>
      <c r="H114" s="862">
        <v>3862</v>
      </c>
      <c r="I114" s="862">
        <f t="shared" si="6"/>
        <v>1894</v>
      </c>
      <c r="J114" s="862">
        <v>186</v>
      </c>
      <c r="K114" s="862">
        <v>1708</v>
      </c>
      <c r="L114" s="862">
        <v>7049</v>
      </c>
    </row>
    <row r="115" spans="1:12" x14ac:dyDescent="0.25">
      <c r="A115" s="380">
        <v>102</v>
      </c>
      <c r="B115" s="395" t="s">
        <v>217</v>
      </c>
      <c r="C115" s="399" t="s">
        <v>218</v>
      </c>
      <c r="D115" s="862">
        <f t="shared" si="4"/>
        <v>28</v>
      </c>
      <c r="E115" s="862">
        <v>28</v>
      </c>
      <c r="F115" s="862">
        <f t="shared" si="5"/>
        <v>0</v>
      </c>
      <c r="G115" s="862">
        <v>0</v>
      </c>
      <c r="H115" s="862">
        <v>0</v>
      </c>
      <c r="I115" s="862">
        <f t="shared" si="6"/>
        <v>0</v>
      </c>
      <c r="J115" s="862">
        <v>0</v>
      </c>
      <c r="K115" s="862">
        <v>0</v>
      </c>
      <c r="L115" s="862">
        <v>0</v>
      </c>
    </row>
    <row r="116" spans="1:12" x14ac:dyDescent="0.25">
      <c r="A116" s="380">
        <v>103</v>
      </c>
      <c r="B116" s="395" t="s">
        <v>219</v>
      </c>
      <c r="C116" s="396" t="s">
        <v>220</v>
      </c>
      <c r="D116" s="862">
        <f t="shared" si="4"/>
        <v>0</v>
      </c>
      <c r="E116" s="862">
        <v>0</v>
      </c>
      <c r="F116" s="862">
        <f t="shared" si="5"/>
        <v>0</v>
      </c>
      <c r="G116" s="862">
        <v>0</v>
      </c>
      <c r="H116" s="862">
        <v>0</v>
      </c>
      <c r="I116" s="862">
        <f t="shared" si="6"/>
        <v>0</v>
      </c>
      <c r="J116" s="862">
        <v>0</v>
      </c>
      <c r="K116" s="862">
        <v>0</v>
      </c>
      <c r="L116" s="862">
        <v>0</v>
      </c>
    </row>
    <row r="117" spans="1:12" x14ac:dyDescent="0.25">
      <c r="A117" s="380">
        <v>104</v>
      </c>
      <c r="B117" s="398" t="s">
        <v>221</v>
      </c>
      <c r="C117" s="399" t="s">
        <v>222</v>
      </c>
      <c r="D117" s="862">
        <f t="shared" si="4"/>
        <v>0</v>
      </c>
      <c r="E117" s="862">
        <v>0</v>
      </c>
      <c r="F117" s="862">
        <f t="shared" si="5"/>
        <v>0</v>
      </c>
      <c r="G117" s="862">
        <v>0</v>
      </c>
      <c r="H117" s="862">
        <v>0</v>
      </c>
      <c r="I117" s="862">
        <f t="shared" si="6"/>
        <v>0</v>
      </c>
      <c r="J117" s="862">
        <v>0</v>
      </c>
      <c r="K117" s="862">
        <v>0</v>
      </c>
      <c r="L117" s="862">
        <v>0</v>
      </c>
    </row>
    <row r="118" spans="1:12" x14ac:dyDescent="0.25">
      <c r="A118" s="380">
        <v>105</v>
      </c>
      <c r="B118" s="398" t="s">
        <v>223</v>
      </c>
      <c r="C118" s="399" t="s">
        <v>224</v>
      </c>
      <c r="D118" s="862">
        <f t="shared" si="4"/>
        <v>0</v>
      </c>
      <c r="E118" s="862">
        <v>0</v>
      </c>
      <c r="F118" s="862">
        <f t="shared" si="5"/>
        <v>0</v>
      </c>
      <c r="G118" s="862">
        <v>0</v>
      </c>
      <c r="H118" s="862">
        <v>0</v>
      </c>
      <c r="I118" s="862">
        <f t="shared" si="6"/>
        <v>0</v>
      </c>
      <c r="J118" s="862">
        <v>0</v>
      </c>
      <c r="K118" s="862">
        <v>0</v>
      </c>
      <c r="L118" s="862">
        <v>0</v>
      </c>
    </row>
    <row r="119" spans="1:12" x14ac:dyDescent="0.25">
      <c r="A119" s="380">
        <v>106</v>
      </c>
      <c r="B119" s="398" t="s">
        <v>225</v>
      </c>
      <c r="C119" s="399" t="s">
        <v>226</v>
      </c>
      <c r="D119" s="862">
        <f t="shared" si="4"/>
        <v>0</v>
      </c>
      <c r="E119" s="862">
        <v>0</v>
      </c>
      <c r="F119" s="862">
        <f t="shared" si="5"/>
        <v>0</v>
      </c>
      <c r="G119" s="862">
        <v>0</v>
      </c>
      <c r="H119" s="862">
        <v>0</v>
      </c>
      <c r="I119" s="862">
        <f t="shared" si="6"/>
        <v>0</v>
      </c>
      <c r="J119" s="862">
        <v>0</v>
      </c>
      <c r="K119" s="862">
        <v>0</v>
      </c>
      <c r="L119" s="862">
        <v>0</v>
      </c>
    </row>
    <row r="120" spans="1:12" ht="24" x14ac:dyDescent="0.25">
      <c r="A120" s="380">
        <v>107</v>
      </c>
      <c r="B120" s="398" t="s">
        <v>227</v>
      </c>
      <c r="C120" s="399" t="s">
        <v>228</v>
      </c>
      <c r="D120" s="862">
        <f t="shared" si="4"/>
        <v>0</v>
      </c>
      <c r="E120" s="862">
        <v>0</v>
      </c>
      <c r="F120" s="862">
        <f t="shared" si="5"/>
        <v>0</v>
      </c>
      <c r="G120" s="862">
        <v>0</v>
      </c>
      <c r="H120" s="862">
        <v>0</v>
      </c>
      <c r="I120" s="862">
        <f t="shared" si="6"/>
        <v>0</v>
      </c>
      <c r="J120" s="862">
        <v>0</v>
      </c>
      <c r="K120" s="862">
        <v>0</v>
      </c>
      <c r="L120" s="862">
        <v>0</v>
      </c>
    </row>
    <row r="121" spans="1:12" x14ac:dyDescent="0.25">
      <c r="A121" s="380">
        <v>108</v>
      </c>
      <c r="B121" s="398" t="s">
        <v>229</v>
      </c>
      <c r="C121" s="399" t="s">
        <v>230</v>
      </c>
      <c r="D121" s="862">
        <f t="shared" si="4"/>
        <v>0</v>
      </c>
      <c r="E121" s="862">
        <v>0</v>
      </c>
      <c r="F121" s="862">
        <f t="shared" si="5"/>
        <v>0</v>
      </c>
      <c r="G121" s="862">
        <v>0</v>
      </c>
      <c r="H121" s="862">
        <v>0</v>
      </c>
      <c r="I121" s="862">
        <f t="shared" si="6"/>
        <v>0</v>
      </c>
      <c r="J121" s="862">
        <v>0</v>
      </c>
      <c r="K121" s="862">
        <v>0</v>
      </c>
      <c r="L121" s="862">
        <v>0</v>
      </c>
    </row>
    <row r="122" spans="1:12" x14ac:dyDescent="0.25">
      <c r="A122" s="380">
        <v>109</v>
      </c>
      <c r="B122" s="398" t="s">
        <v>231</v>
      </c>
      <c r="C122" s="399" t="s">
        <v>232</v>
      </c>
      <c r="D122" s="862">
        <f t="shared" si="4"/>
        <v>8</v>
      </c>
      <c r="E122" s="862">
        <v>8</v>
      </c>
      <c r="F122" s="862">
        <f t="shared" si="5"/>
        <v>0</v>
      </c>
      <c r="G122" s="862">
        <v>0</v>
      </c>
      <c r="H122" s="862">
        <v>0</v>
      </c>
      <c r="I122" s="862">
        <f t="shared" si="6"/>
        <v>0</v>
      </c>
      <c r="J122" s="862">
        <v>0</v>
      </c>
      <c r="K122" s="862">
        <v>0</v>
      </c>
      <c r="L122" s="862">
        <v>0</v>
      </c>
    </row>
    <row r="123" spans="1:12" x14ac:dyDescent="0.25">
      <c r="A123" s="380">
        <v>110</v>
      </c>
      <c r="B123" s="388" t="s">
        <v>233</v>
      </c>
      <c r="C123" s="389" t="s">
        <v>234</v>
      </c>
      <c r="D123" s="862">
        <f t="shared" si="4"/>
        <v>0</v>
      </c>
      <c r="E123" s="862">
        <v>0</v>
      </c>
      <c r="F123" s="862">
        <f t="shared" si="5"/>
        <v>0</v>
      </c>
      <c r="G123" s="862">
        <v>0</v>
      </c>
      <c r="H123" s="862">
        <v>0</v>
      </c>
      <c r="I123" s="862">
        <f t="shared" si="6"/>
        <v>0</v>
      </c>
      <c r="J123" s="862">
        <v>0</v>
      </c>
      <c r="K123" s="862">
        <v>0</v>
      </c>
      <c r="L123" s="862">
        <v>0</v>
      </c>
    </row>
    <row r="124" spans="1:12" x14ac:dyDescent="0.25">
      <c r="A124" s="380">
        <v>111</v>
      </c>
      <c r="B124" s="388" t="s">
        <v>235</v>
      </c>
      <c r="C124" s="389" t="s">
        <v>236</v>
      </c>
      <c r="D124" s="862">
        <f t="shared" si="4"/>
        <v>0</v>
      </c>
      <c r="E124" s="862">
        <v>0</v>
      </c>
      <c r="F124" s="862">
        <f t="shared" si="5"/>
        <v>0</v>
      </c>
      <c r="G124" s="862">
        <v>0</v>
      </c>
      <c r="H124" s="862">
        <v>0</v>
      </c>
      <c r="I124" s="862">
        <f t="shared" si="6"/>
        <v>0</v>
      </c>
      <c r="J124" s="862">
        <v>0</v>
      </c>
      <c r="K124" s="862">
        <v>0</v>
      </c>
      <c r="L124" s="862">
        <v>0</v>
      </c>
    </row>
    <row r="125" spans="1:12" x14ac:dyDescent="0.25">
      <c r="A125" s="380">
        <v>112</v>
      </c>
      <c r="B125" s="397" t="s">
        <v>237</v>
      </c>
      <c r="C125" s="396" t="s">
        <v>238</v>
      </c>
      <c r="D125" s="862">
        <f t="shared" si="4"/>
        <v>0</v>
      </c>
      <c r="E125" s="862">
        <v>0</v>
      </c>
      <c r="F125" s="862">
        <f t="shared" si="5"/>
        <v>0</v>
      </c>
      <c r="G125" s="862">
        <v>0</v>
      </c>
      <c r="H125" s="862">
        <v>0</v>
      </c>
      <c r="I125" s="862">
        <f t="shared" si="6"/>
        <v>0</v>
      </c>
      <c r="J125" s="862">
        <v>0</v>
      </c>
      <c r="K125" s="862">
        <v>0</v>
      </c>
      <c r="L125" s="862">
        <v>0</v>
      </c>
    </row>
    <row r="126" spans="1:12" x14ac:dyDescent="0.25">
      <c r="A126" s="380">
        <v>113</v>
      </c>
      <c r="B126" s="398" t="s">
        <v>239</v>
      </c>
      <c r="C126" s="399" t="s">
        <v>240</v>
      </c>
      <c r="D126" s="862">
        <f t="shared" si="4"/>
        <v>0</v>
      </c>
      <c r="E126" s="862">
        <v>0</v>
      </c>
      <c r="F126" s="862">
        <f t="shared" si="5"/>
        <v>0</v>
      </c>
      <c r="G126" s="862">
        <v>0</v>
      </c>
      <c r="H126" s="862">
        <v>0</v>
      </c>
      <c r="I126" s="862">
        <f t="shared" si="6"/>
        <v>0</v>
      </c>
      <c r="J126" s="862">
        <v>0</v>
      </c>
      <c r="K126" s="862">
        <v>0</v>
      </c>
      <c r="L126" s="862">
        <v>0</v>
      </c>
    </row>
    <row r="127" spans="1:12" ht="24" x14ac:dyDescent="0.25">
      <c r="A127" s="380">
        <v>114</v>
      </c>
      <c r="B127" s="395" t="s">
        <v>241</v>
      </c>
      <c r="C127" s="402" t="s">
        <v>242</v>
      </c>
      <c r="D127" s="862">
        <f t="shared" si="4"/>
        <v>0</v>
      </c>
      <c r="E127" s="862">
        <v>0</v>
      </c>
      <c r="F127" s="862">
        <f t="shared" si="5"/>
        <v>0</v>
      </c>
      <c r="G127" s="862">
        <v>0</v>
      </c>
      <c r="H127" s="862">
        <v>0</v>
      </c>
      <c r="I127" s="862">
        <f t="shared" si="6"/>
        <v>0</v>
      </c>
      <c r="J127" s="862">
        <v>0</v>
      </c>
      <c r="K127" s="862">
        <v>0</v>
      </c>
      <c r="L127" s="862">
        <v>0</v>
      </c>
    </row>
    <row r="128" spans="1:12" x14ac:dyDescent="0.25">
      <c r="A128" s="380">
        <v>115</v>
      </c>
      <c r="B128" s="398" t="s">
        <v>243</v>
      </c>
      <c r="C128" s="50" t="s">
        <v>385</v>
      </c>
      <c r="D128" s="862">
        <f t="shared" si="4"/>
        <v>0</v>
      </c>
      <c r="E128" s="862">
        <v>0</v>
      </c>
      <c r="F128" s="862">
        <f t="shared" si="5"/>
        <v>0</v>
      </c>
      <c r="G128" s="862">
        <v>0</v>
      </c>
      <c r="H128" s="862">
        <v>0</v>
      </c>
      <c r="I128" s="862">
        <f t="shared" si="6"/>
        <v>0</v>
      </c>
      <c r="J128" s="862">
        <v>0</v>
      </c>
      <c r="K128" s="862">
        <v>0</v>
      </c>
      <c r="L128" s="862">
        <v>0</v>
      </c>
    </row>
    <row r="129" spans="1:12" x14ac:dyDescent="0.25">
      <c r="A129" s="380">
        <v>116</v>
      </c>
      <c r="B129" s="397" t="s">
        <v>244</v>
      </c>
      <c r="C129" s="399" t="s">
        <v>245</v>
      </c>
      <c r="D129" s="862">
        <f t="shared" si="4"/>
        <v>0</v>
      </c>
      <c r="E129" s="862">
        <v>0</v>
      </c>
      <c r="F129" s="862">
        <f t="shared" si="5"/>
        <v>0</v>
      </c>
      <c r="G129" s="862">
        <v>0</v>
      </c>
      <c r="H129" s="862">
        <v>0</v>
      </c>
      <c r="I129" s="862">
        <f t="shared" si="6"/>
        <v>0</v>
      </c>
      <c r="J129" s="862">
        <v>0</v>
      </c>
      <c r="K129" s="862">
        <v>0</v>
      </c>
      <c r="L129" s="862">
        <v>0</v>
      </c>
    </row>
    <row r="130" spans="1:12" x14ac:dyDescent="0.25">
      <c r="A130" s="380">
        <v>117</v>
      </c>
      <c r="B130" s="397" t="s">
        <v>246</v>
      </c>
      <c r="C130" s="399" t="s">
        <v>247</v>
      </c>
      <c r="D130" s="862">
        <f t="shared" si="4"/>
        <v>0</v>
      </c>
      <c r="E130" s="862">
        <v>0</v>
      </c>
      <c r="F130" s="862">
        <f t="shared" si="5"/>
        <v>0</v>
      </c>
      <c r="G130" s="862">
        <v>0</v>
      </c>
      <c r="H130" s="862">
        <v>0</v>
      </c>
      <c r="I130" s="862">
        <f t="shared" si="6"/>
        <v>0</v>
      </c>
      <c r="J130" s="862">
        <v>0</v>
      </c>
      <c r="K130" s="862">
        <v>0</v>
      </c>
      <c r="L130" s="862">
        <v>0</v>
      </c>
    </row>
    <row r="131" spans="1:12" x14ac:dyDescent="0.25">
      <c r="A131" s="380">
        <v>118</v>
      </c>
      <c r="B131" s="397" t="s">
        <v>248</v>
      </c>
      <c r="C131" s="399" t="s">
        <v>249</v>
      </c>
      <c r="D131" s="862">
        <f t="shared" si="4"/>
        <v>0</v>
      </c>
      <c r="E131" s="862">
        <v>0</v>
      </c>
      <c r="F131" s="862">
        <f t="shared" si="5"/>
        <v>0</v>
      </c>
      <c r="G131" s="862">
        <v>0</v>
      </c>
      <c r="H131" s="862">
        <v>0</v>
      </c>
      <c r="I131" s="862">
        <f t="shared" si="6"/>
        <v>0</v>
      </c>
      <c r="J131" s="862">
        <v>0</v>
      </c>
      <c r="K131" s="862">
        <v>0</v>
      </c>
      <c r="L131" s="862">
        <v>0</v>
      </c>
    </row>
    <row r="132" spans="1:12" x14ac:dyDescent="0.25">
      <c r="A132" s="380">
        <v>119</v>
      </c>
      <c r="B132" s="395" t="s">
        <v>250</v>
      </c>
      <c r="C132" s="396" t="s">
        <v>251</v>
      </c>
      <c r="D132" s="862">
        <f t="shared" si="4"/>
        <v>8</v>
      </c>
      <c r="E132" s="862">
        <v>8</v>
      </c>
      <c r="F132" s="862">
        <f t="shared" si="5"/>
        <v>0</v>
      </c>
      <c r="G132" s="862">
        <v>0</v>
      </c>
      <c r="H132" s="862">
        <v>0</v>
      </c>
      <c r="I132" s="862">
        <f t="shared" si="6"/>
        <v>0</v>
      </c>
      <c r="J132" s="862">
        <v>0</v>
      </c>
      <c r="K132" s="862">
        <v>0</v>
      </c>
      <c r="L132" s="862">
        <v>0</v>
      </c>
    </row>
    <row r="133" spans="1:12" x14ac:dyDescent="0.25">
      <c r="A133" s="380">
        <v>120</v>
      </c>
      <c r="B133" s="397" t="s">
        <v>252</v>
      </c>
      <c r="C133" s="396" t="s">
        <v>253</v>
      </c>
      <c r="D133" s="862">
        <f t="shared" si="4"/>
        <v>0</v>
      </c>
      <c r="E133" s="862">
        <v>0</v>
      </c>
      <c r="F133" s="862">
        <f t="shared" si="5"/>
        <v>0</v>
      </c>
      <c r="G133" s="862">
        <v>0</v>
      </c>
      <c r="H133" s="862">
        <v>0</v>
      </c>
      <c r="I133" s="862">
        <f t="shared" si="6"/>
        <v>0</v>
      </c>
      <c r="J133" s="862">
        <v>0</v>
      </c>
      <c r="K133" s="862">
        <v>0</v>
      </c>
      <c r="L133" s="862">
        <v>0</v>
      </c>
    </row>
    <row r="134" spans="1:12" x14ac:dyDescent="0.25">
      <c r="A134" s="380">
        <v>121</v>
      </c>
      <c r="B134" s="398" t="s">
        <v>254</v>
      </c>
      <c r="C134" s="399" t="s">
        <v>255</v>
      </c>
      <c r="D134" s="862">
        <f t="shared" si="4"/>
        <v>12</v>
      </c>
      <c r="E134" s="862">
        <v>12</v>
      </c>
      <c r="F134" s="862">
        <f t="shared" si="5"/>
        <v>0</v>
      </c>
      <c r="G134" s="862">
        <v>0</v>
      </c>
      <c r="H134" s="862">
        <v>0</v>
      </c>
      <c r="I134" s="862">
        <f t="shared" si="6"/>
        <v>0</v>
      </c>
      <c r="J134" s="862">
        <v>0</v>
      </c>
      <c r="K134" s="862">
        <v>0</v>
      </c>
      <c r="L134" s="862">
        <v>0</v>
      </c>
    </row>
    <row r="135" spans="1:12" x14ac:dyDescent="0.25">
      <c r="A135" s="380">
        <v>122</v>
      </c>
      <c r="B135" s="398" t="s">
        <v>256</v>
      </c>
      <c r="C135" s="399" t="s">
        <v>257</v>
      </c>
      <c r="D135" s="862">
        <f t="shared" si="4"/>
        <v>0</v>
      </c>
      <c r="E135" s="862">
        <v>0</v>
      </c>
      <c r="F135" s="862">
        <f t="shared" si="5"/>
        <v>0</v>
      </c>
      <c r="G135" s="862">
        <v>0</v>
      </c>
      <c r="H135" s="862">
        <v>0</v>
      </c>
      <c r="I135" s="862">
        <f t="shared" si="6"/>
        <v>0</v>
      </c>
      <c r="J135" s="862">
        <v>0</v>
      </c>
      <c r="K135" s="862">
        <v>0</v>
      </c>
      <c r="L135" s="862">
        <v>0</v>
      </c>
    </row>
    <row r="136" spans="1:12" x14ac:dyDescent="0.25">
      <c r="A136" s="380">
        <v>123</v>
      </c>
      <c r="B136" s="398" t="s">
        <v>258</v>
      </c>
      <c r="C136" s="399" t="s">
        <v>259</v>
      </c>
      <c r="D136" s="862">
        <f t="shared" si="4"/>
        <v>0</v>
      </c>
      <c r="E136" s="862">
        <v>0</v>
      </c>
      <c r="F136" s="862">
        <f t="shared" si="5"/>
        <v>0</v>
      </c>
      <c r="G136" s="862">
        <v>0</v>
      </c>
      <c r="H136" s="862">
        <v>0</v>
      </c>
      <c r="I136" s="862">
        <f t="shared" si="6"/>
        <v>0</v>
      </c>
      <c r="J136" s="862">
        <v>0</v>
      </c>
      <c r="K136" s="862">
        <v>0</v>
      </c>
      <c r="L136" s="862">
        <v>0</v>
      </c>
    </row>
    <row r="137" spans="1:12" x14ac:dyDescent="0.25">
      <c r="A137" s="380">
        <v>124</v>
      </c>
      <c r="B137" s="398" t="s">
        <v>260</v>
      </c>
      <c r="C137" s="399" t="s">
        <v>261</v>
      </c>
      <c r="D137" s="862">
        <f t="shared" si="4"/>
        <v>0</v>
      </c>
      <c r="E137" s="862">
        <v>0</v>
      </c>
      <c r="F137" s="862">
        <f t="shared" si="5"/>
        <v>0</v>
      </c>
      <c r="G137" s="862">
        <v>0</v>
      </c>
      <c r="H137" s="862">
        <v>0</v>
      </c>
      <c r="I137" s="862">
        <f t="shared" si="6"/>
        <v>0</v>
      </c>
      <c r="J137" s="862">
        <v>0</v>
      </c>
      <c r="K137" s="862">
        <v>0</v>
      </c>
      <c r="L137" s="862">
        <v>0</v>
      </c>
    </row>
    <row r="138" spans="1:12" x14ac:dyDescent="0.25">
      <c r="A138" s="380">
        <v>125</v>
      </c>
      <c r="B138" s="398" t="s">
        <v>262</v>
      </c>
      <c r="C138" s="399" t="s">
        <v>263</v>
      </c>
      <c r="D138" s="862">
        <f t="shared" si="4"/>
        <v>0</v>
      </c>
      <c r="E138" s="862">
        <v>0</v>
      </c>
      <c r="F138" s="862">
        <f t="shared" si="5"/>
        <v>0</v>
      </c>
      <c r="G138" s="862">
        <v>0</v>
      </c>
      <c r="H138" s="862">
        <v>0</v>
      </c>
      <c r="I138" s="862">
        <f t="shared" si="6"/>
        <v>0</v>
      </c>
      <c r="J138" s="862">
        <v>0</v>
      </c>
      <c r="K138" s="862">
        <v>0</v>
      </c>
      <c r="L138" s="862">
        <v>0</v>
      </c>
    </row>
    <row r="139" spans="1:12" x14ac:dyDescent="0.25">
      <c r="A139" s="380">
        <v>126</v>
      </c>
      <c r="B139" s="395" t="s">
        <v>264</v>
      </c>
      <c r="C139" s="396" t="s">
        <v>265</v>
      </c>
      <c r="D139" s="862">
        <f t="shared" si="4"/>
        <v>0</v>
      </c>
      <c r="E139" s="862">
        <v>0</v>
      </c>
      <c r="F139" s="862">
        <f t="shared" si="5"/>
        <v>0</v>
      </c>
      <c r="G139" s="862">
        <v>0</v>
      </c>
      <c r="H139" s="862">
        <v>0</v>
      </c>
      <c r="I139" s="862">
        <f t="shared" si="6"/>
        <v>0</v>
      </c>
      <c r="J139" s="862">
        <v>0</v>
      </c>
      <c r="K139" s="862">
        <v>0</v>
      </c>
      <c r="L139" s="862">
        <v>0</v>
      </c>
    </row>
    <row r="140" spans="1:12" x14ac:dyDescent="0.25">
      <c r="A140" s="380">
        <v>127</v>
      </c>
      <c r="B140" s="395" t="s">
        <v>266</v>
      </c>
      <c r="C140" s="399" t="s">
        <v>267</v>
      </c>
      <c r="D140" s="862">
        <f t="shared" ref="D140:D153" si="7">E140+F140+I140</f>
        <v>0</v>
      </c>
      <c r="E140" s="862">
        <v>0</v>
      </c>
      <c r="F140" s="862">
        <f t="shared" ref="F140:F153" si="8">G140+H140</f>
        <v>0</v>
      </c>
      <c r="G140" s="862">
        <v>0</v>
      </c>
      <c r="H140" s="862">
        <v>0</v>
      </c>
      <c r="I140" s="862">
        <f t="shared" ref="I140:I153" si="9">J140+K140</f>
        <v>0</v>
      </c>
      <c r="J140" s="862">
        <v>0</v>
      </c>
      <c r="K140" s="862">
        <v>0</v>
      </c>
      <c r="L140" s="862">
        <v>0</v>
      </c>
    </row>
    <row r="141" spans="1:12" x14ac:dyDescent="0.25">
      <c r="A141" s="380">
        <v>128</v>
      </c>
      <c r="B141" s="400" t="s">
        <v>268</v>
      </c>
      <c r="C141" s="50" t="s">
        <v>269</v>
      </c>
      <c r="D141" s="862">
        <f t="shared" si="7"/>
        <v>0</v>
      </c>
      <c r="E141" s="862">
        <v>0</v>
      </c>
      <c r="F141" s="862">
        <f t="shared" si="8"/>
        <v>0</v>
      </c>
      <c r="G141" s="862">
        <v>0</v>
      </c>
      <c r="H141" s="862">
        <v>0</v>
      </c>
      <c r="I141" s="862">
        <f t="shared" si="9"/>
        <v>0</v>
      </c>
      <c r="J141" s="862">
        <v>0</v>
      </c>
      <c r="K141" s="862">
        <v>0</v>
      </c>
      <c r="L141" s="862">
        <v>0</v>
      </c>
    </row>
    <row r="142" spans="1:12" x14ac:dyDescent="0.25">
      <c r="A142" s="380">
        <v>129</v>
      </c>
      <c r="B142" s="398" t="s">
        <v>270</v>
      </c>
      <c r="C142" s="399" t="s">
        <v>271</v>
      </c>
      <c r="D142" s="862">
        <f t="shared" si="7"/>
        <v>0</v>
      </c>
      <c r="E142" s="862">
        <v>0</v>
      </c>
      <c r="F142" s="862">
        <f t="shared" si="8"/>
        <v>0</v>
      </c>
      <c r="G142" s="862">
        <v>0</v>
      </c>
      <c r="H142" s="862">
        <v>0</v>
      </c>
      <c r="I142" s="862">
        <f t="shared" si="9"/>
        <v>0</v>
      </c>
      <c r="J142" s="862">
        <v>0</v>
      </c>
      <c r="K142" s="862">
        <v>0</v>
      </c>
      <c r="L142" s="862">
        <v>0</v>
      </c>
    </row>
    <row r="143" spans="1:12" x14ac:dyDescent="0.25">
      <c r="A143" s="380">
        <v>130</v>
      </c>
      <c r="B143" s="398" t="s">
        <v>272</v>
      </c>
      <c r="C143" s="399" t="s">
        <v>273</v>
      </c>
      <c r="D143" s="862">
        <f t="shared" si="7"/>
        <v>0</v>
      </c>
      <c r="E143" s="862">
        <v>0</v>
      </c>
      <c r="F143" s="862">
        <f t="shared" si="8"/>
        <v>0</v>
      </c>
      <c r="G143" s="862">
        <v>0</v>
      </c>
      <c r="H143" s="862">
        <v>0</v>
      </c>
      <c r="I143" s="862">
        <f t="shared" si="9"/>
        <v>0</v>
      </c>
      <c r="J143" s="862">
        <v>0</v>
      </c>
      <c r="K143" s="862">
        <v>0</v>
      </c>
      <c r="L143" s="862">
        <v>0</v>
      </c>
    </row>
    <row r="144" spans="1:12" x14ac:dyDescent="0.25">
      <c r="A144" s="380">
        <v>131</v>
      </c>
      <c r="B144" s="398" t="s">
        <v>274</v>
      </c>
      <c r="C144" s="399" t="s">
        <v>275</v>
      </c>
      <c r="D144" s="862">
        <f t="shared" si="7"/>
        <v>0</v>
      </c>
      <c r="E144" s="862">
        <v>0</v>
      </c>
      <c r="F144" s="862">
        <f t="shared" si="8"/>
        <v>0</v>
      </c>
      <c r="G144" s="862">
        <v>0</v>
      </c>
      <c r="H144" s="862">
        <v>0</v>
      </c>
      <c r="I144" s="862">
        <f t="shared" si="9"/>
        <v>0</v>
      </c>
      <c r="J144" s="862">
        <v>0</v>
      </c>
      <c r="K144" s="862">
        <v>0</v>
      </c>
      <c r="L144" s="862">
        <v>0</v>
      </c>
    </row>
    <row r="145" spans="1:12" x14ac:dyDescent="0.25">
      <c r="A145" s="380">
        <v>132</v>
      </c>
      <c r="B145" s="400" t="s">
        <v>276</v>
      </c>
      <c r="C145" s="50" t="s">
        <v>277</v>
      </c>
      <c r="D145" s="862">
        <f t="shared" si="7"/>
        <v>25255</v>
      </c>
      <c r="E145" s="862">
        <v>0</v>
      </c>
      <c r="F145" s="862">
        <f t="shared" si="8"/>
        <v>25255</v>
      </c>
      <c r="G145" s="862">
        <v>2924</v>
      </c>
      <c r="H145" s="862">
        <v>22331</v>
      </c>
      <c r="I145" s="862">
        <f t="shared" si="9"/>
        <v>0</v>
      </c>
      <c r="J145" s="862">
        <v>0</v>
      </c>
      <c r="K145" s="862">
        <v>0</v>
      </c>
      <c r="L145" s="862">
        <v>20130</v>
      </c>
    </row>
    <row r="146" spans="1:12" x14ac:dyDescent="0.25">
      <c r="A146" s="380">
        <v>133</v>
      </c>
      <c r="B146" s="397" t="s">
        <v>278</v>
      </c>
      <c r="C146" s="50" t="s">
        <v>279</v>
      </c>
      <c r="D146" s="862">
        <f t="shared" si="7"/>
        <v>40291</v>
      </c>
      <c r="E146" s="862">
        <v>0</v>
      </c>
      <c r="F146" s="862">
        <f t="shared" si="8"/>
        <v>34132</v>
      </c>
      <c r="G146" s="862">
        <v>7855</v>
      </c>
      <c r="H146" s="862">
        <v>26277</v>
      </c>
      <c r="I146" s="862">
        <f t="shared" si="9"/>
        <v>6159</v>
      </c>
      <c r="J146" s="862">
        <v>967</v>
      </c>
      <c r="K146" s="862">
        <v>5192</v>
      </c>
      <c r="L146" s="862">
        <v>26910</v>
      </c>
    </row>
    <row r="147" spans="1:12" x14ac:dyDescent="0.25">
      <c r="A147" s="380">
        <v>134</v>
      </c>
      <c r="B147" s="398" t="s">
        <v>280</v>
      </c>
      <c r="C147" s="399" t="s">
        <v>281</v>
      </c>
      <c r="D147" s="862">
        <f t="shared" si="7"/>
        <v>0</v>
      </c>
      <c r="E147" s="862">
        <v>0</v>
      </c>
      <c r="F147" s="862">
        <f t="shared" si="8"/>
        <v>0</v>
      </c>
      <c r="G147" s="862">
        <v>0</v>
      </c>
      <c r="H147" s="862">
        <v>0</v>
      </c>
      <c r="I147" s="862">
        <f t="shared" si="9"/>
        <v>0</v>
      </c>
      <c r="J147" s="862">
        <v>0</v>
      </c>
      <c r="K147" s="862">
        <v>0</v>
      </c>
      <c r="L147" s="862">
        <v>0</v>
      </c>
    </row>
    <row r="148" spans="1:12" x14ac:dyDescent="0.25">
      <c r="A148" s="380">
        <v>135</v>
      </c>
      <c r="B148" s="395" t="s">
        <v>282</v>
      </c>
      <c r="C148" s="396" t="s">
        <v>283</v>
      </c>
      <c r="D148" s="862">
        <f t="shared" si="7"/>
        <v>0</v>
      </c>
      <c r="E148" s="862">
        <v>0</v>
      </c>
      <c r="F148" s="862">
        <f t="shared" si="8"/>
        <v>0</v>
      </c>
      <c r="G148" s="862">
        <v>0</v>
      </c>
      <c r="H148" s="862">
        <v>0</v>
      </c>
      <c r="I148" s="862">
        <f t="shared" si="9"/>
        <v>0</v>
      </c>
      <c r="J148" s="862">
        <v>0</v>
      </c>
      <c r="K148" s="862">
        <v>0</v>
      </c>
      <c r="L148" s="862">
        <v>0</v>
      </c>
    </row>
    <row r="149" spans="1:12" ht="23.25" customHeight="1" x14ac:dyDescent="0.25">
      <c r="A149" s="380">
        <v>136</v>
      </c>
      <c r="B149" s="403" t="s">
        <v>284</v>
      </c>
      <c r="C149" s="404" t="s">
        <v>285</v>
      </c>
      <c r="D149" s="862">
        <f t="shared" si="7"/>
        <v>0</v>
      </c>
      <c r="E149" s="862">
        <v>0</v>
      </c>
      <c r="F149" s="862">
        <f t="shared" si="8"/>
        <v>0</v>
      </c>
      <c r="G149" s="862">
        <v>0</v>
      </c>
      <c r="H149" s="862">
        <v>0</v>
      </c>
      <c r="I149" s="862">
        <f t="shared" si="9"/>
        <v>0</v>
      </c>
      <c r="J149" s="862">
        <v>0</v>
      </c>
      <c r="K149" s="862">
        <v>0</v>
      </c>
      <c r="L149" s="862">
        <v>0</v>
      </c>
    </row>
    <row r="150" spans="1:12" x14ac:dyDescent="0.25">
      <c r="A150" s="380">
        <v>137</v>
      </c>
      <c r="B150" s="58" t="s">
        <v>387</v>
      </c>
      <c r="C150" s="391" t="s">
        <v>388</v>
      </c>
      <c r="D150" s="862">
        <f t="shared" si="7"/>
        <v>0</v>
      </c>
      <c r="E150" s="862">
        <v>0</v>
      </c>
      <c r="F150" s="862">
        <f t="shared" si="8"/>
        <v>0</v>
      </c>
      <c r="G150" s="862">
        <v>0</v>
      </c>
      <c r="H150" s="862">
        <v>0</v>
      </c>
      <c r="I150" s="862">
        <f t="shared" si="9"/>
        <v>0</v>
      </c>
      <c r="J150" s="862">
        <v>0</v>
      </c>
      <c r="K150" s="862">
        <v>0</v>
      </c>
      <c r="L150" s="862">
        <v>0</v>
      </c>
    </row>
    <row r="151" spans="1:12" x14ac:dyDescent="0.25">
      <c r="A151" s="380">
        <v>138</v>
      </c>
      <c r="B151" s="59" t="s">
        <v>389</v>
      </c>
      <c r="C151" s="392" t="s">
        <v>390</v>
      </c>
      <c r="D151" s="862">
        <f t="shared" si="7"/>
        <v>0</v>
      </c>
      <c r="E151" s="862">
        <v>0</v>
      </c>
      <c r="F151" s="862">
        <f t="shared" si="8"/>
        <v>0</v>
      </c>
      <c r="G151" s="862">
        <v>0</v>
      </c>
      <c r="H151" s="862">
        <v>0</v>
      </c>
      <c r="I151" s="862">
        <f t="shared" si="9"/>
        <v>0</v>
      </c>
      <c r="J151" s="862">
        <v>0</v>
      </c>
      <c r="K151" s="862">
        <v>0</v>
      </c>
      <c r="L151" s="862">
        <v>0</v>
      </c>
    </row>
    <row r="152" spans="1:12" x14ac:dyDescent="0.25">
      <c r="A152" s="380">
        <v>139</v>
      </c>
      <c r="B152" s="60" t="s">
        <v>391</v>
      </c>
      <c r="C152" s="393" t="s">
        <v>392</v>
      </c>
      <c r="D152" s="862">
        <f t="shared" si="7"/>
        <v>0</v>
      </c>
      <c r="E152" s="862">
        <v>0</v>
      </c>
      <c r="F152" s="862">
        <f t="shared" si="8"/>
        <v>0</v>
      </c>
      <c r="G152" s="862">
        <v>0</v>
      </c>
      <c r="H152" s="862">
        <v>0</v>
      </c>
      <c r="I152" s="862">
        <f t="shared" si="9"/>
        <v>0</v>
      </c>
      <c r="J152" s="862">
        <v>0</v>
      </c>
      <c r="K152" s="862">
        <v>0</v>
      </c>
      <c r="L152" s="862">
        <v>0</v>
      </c>
    </row>
    <row r="153" spans="1:12" x14ac:dyDescent="0.25">
      <c r="A153" s="380">
        <v>140</v>
      </c>
      <c r="B153" s="380" t="s">
        <v>393</v>
      </c>
      <c r="C153" s="394" t="s">
        <v>394</v>
      </c>
      <c r="D153" s="862">
        <f t="shared" si="7"/>
        <v>0</v>
      </c>
      <c r="E153" s="862">
        <v>0</v>
      </c>
      <c r="F153" s="862">
        <f t="shared" si="8"/>
        <v>0</v>
      </c>
      <c r="G153" s="862">
        <v>0</v>
      </c>
      <c r="H153" s="862">
        <v>0</v>
      </c>
      <c r="I153" s="862">
        <f t="shared" si="9"/>
        <v>0</v>
      </c>
      <c r="J153" s="862">
        <v>0</v>
      </c>
      <c r="K153" s="862">
        <v>0</v>
      </c>
      <c r="L153" s="862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8"/>
  <sheetViews>
    <sheetView workbookViewId="0">
      <pane xSplit="1" ySplit="10" topLeftCell="B130" activePane="bottomRight" state="frozen"/>
      <selection pane="topRight" activeCell="D1" sqref="D1"/>
      <selection pane="bottomLeft" activeCell="A11" sqref="A11"/>
      <selection pane="bottomRight" activeCell="C158" sqref="C158"/>
    </sheetView>
  </sheetViews>
  <sheetFormatPr defaultRowHeight="12" x14ac:dyDescent="0.2"/>
  <cols>
    <col min="1" max="1" width="6.140625" style="842" customWidth="1"/>
    <col min="2" max="2" width="9.140625" style="842"/>
    <col min="3" max="3" width="33.140625" style="842" customWidth="1"/>
    <col min="4" max="4" width="13.140625" style="842" customWidth="1"/>
    <col min="5" max="5" width="15.28515625" style="842" customWidth="1"/>
    <col min="6" max="6" width="23.7109375" style="842" customWidth="1"/>
    <col min="7" max="7" width="15.42578125" style="842" customWidth="1"/>
    <col min="8" max="8" width="13.42578125" style="842" customWidth="1"/>
    <col min="9" max="9" width="11.42578125" style="842" customWidth="1"/>
    <col min="10" max="10" width="13.5703125" style="842" customWidth="1"/>
    <col min="11" max="11" width="10.5703125" style="842" customWidth="1"/>
    <col min="12" max="12" width="12.140625" style="842" customWidth="1"/>
    <col min="13" max="13" width="15.7109375" style="842" customWidth="1"/>
    <col min="14" max="14" width="24.140625" style="842" customWidth="1"/>
    <col min="15" max="16384" width="9.140625" style="842"/>
  </cols>
  <sheetData>
    <row r="1" spans="1:16" ht="15.75" x14ac:dyDescent="0.2">
      <c r="B1" s="997" t="s">
        <v>354</v>
      </c>
      <c r="C1" s="997"/>
      <c r="D1" s="997"/>
      <c r="E1" s="998"/>
      <c r="F1" s="998"/>
      <c r="G1" s="998"/>
      <c r="H1" s="998"/>
      <c r="I1" s="998"/>
      <c r="J1" s="998"/>
      <c r="K1" s="998"/>
      <c r="L1" s="998"/>
      <c r="M1" s="998"/>
      <c r="N1" s="998"/>
    </row>
    <row r="2" spans="1:16" ht="12" customHeight="1" x14ac:dyDescent="0.2">
      <c r="A2" s="999" t="s">
        <v>0</v>
      </c>
      <c r="B2" s="1000" t="s">
        <v>1</v>
      </c>
      <c r="C2" s="999" t="s">
        <v>2</v>
      </c>
      <c r="D2" s="1003" t="s">
        <v>339</v>
      </c>
      <c r="E2" s="1003"/>
      <c r="F2" s="1003"/>
      <c r="G2" s="1003"/>
      <c r="H2" s="1003"/>
      <c r="I2" s="1003"/>
      <c r="J2" s="1003"/>
      <c r="K2" s="1003"/>
      <c r="L2" s="1003"/>
      <c r="M2" s="1003"/>
      <c r="N2" s="1003"/>
    </row>
    <row r="3" spans="1:16" ht="12" customHeight="1" x14ac:dyDescent="0.2">
      <c r="A3" s="999"/>
      <c r="B3" s="1001"/>
      <c r="C3" s="999"/>
      <c r="D3" s="1004" t="s">
        <v>3</v>
      </c>
      <c r="E3" s="1003" t="s">
        <v>4</v>
      </c>
      <c r="F3" s="1003"/>
      <c r="G3" s="1003"/>
      <c r="H3" s="1003"/>
      <c r="I3" s="1003"/>
      <c r="J3" s="1003"/>
      <c r="K3" s="1003"/>
      <c r="L3" s="1003"/>
      <c r="M3" s="1003"/>
      <c r="N3" s="1003"/>
    </row>
    <row r="4" spans="1:16" ht="28.5" customHeight="1" x14ac:dyDescent="0.2">
      <c r="A4" s="999"/>
      <c r="B4" s="1001"/>
      <c r="C4" s="999"/>
      <c r="D4" s="1004"/>
      <c r="E4" s="1006" t="s">
        <v>340</v>
      </c>
      <c r="F4" s="1006"/>
      <c r="G4" s="1007" t="s">
        <v>341</v>
      </c>
      <c r="H4" s="1008"/>
      <c r="I4" s="1006" t="s">
        <v>342</v>
      </c>
      <c r="J4" s="1006"/>
      <c r="K4" s="1009" t="s">
        <v>343</v>
      </c>
      <c r="L4" s="1007"/>
      <c r="M4" s="1007"/>
      <c r="N4" s="1008"/>
    </row>
    <row r="5" spans="1:16" ht="12.75" customHeight="1" x14ac:dyDescent="0.2">
      <c r="A5" s="999"/>
      <c r="B5" s="1001"/>
      <c r="C5" s="999"/>
      <c r="D5" s="1004"/>
      <c r="E5" s="1010" t="s">
        <v>297</v>
      </c>
      <c r="F5" s="1012" t="s">
        <v>344</v>
      </c>
      <c r="G5" s="1014" t="s">
        <v>345</v>
      </c>
      <c r="H5" s="1010" t="s">
        <v>346</v>
      </c>
      <c r="I5" s="999" t="s">
        <v>347</v>
      </c>
      <c r="J5" s="1006" t="s">
        <v>348</v>
      </c>
      <c r="K5" s="1006" t="s">
        <v>297</v>
      </c>
      <c r="L5" s="1014" t="s">
        <v>349</v>
      </c>
      <c r="M5" s="1014" t="s">
        <v>350</v>
      </c>
      <c r="N5" s="1015" t="s">
        <v>351</v>
      </c>
    </row>
    <row r="6" spans="1:16" ht="36.75" customHeight="1" x14ac:dyDescent="0.2">
      <c r="A6" s="999"/>
      <c r="B6" s="1002"/>
      <c r="C6" s="999"/>
      <c r="D6" s="1005"/>
      <c r="E6" s="1011"/>
      <c r="F6" s="1013"/>
      <c r="G6" s="1005"/>
      <c r="H6" s="1011"/>
      <c r="I6" s="999"/>
      <c r="J6" s="1006"/>
      <c r="K6" s="1006"/>
      <c r="L6" s="1005"/>
      <c r="M6" s="1005"/>
      <c r="N6" s="1016"/>
      <c r="P6" s="843"/>
    </row>
    <row r="7" spans="1:16" s="847" customFormat="1" ht="11.25" x14ac:dyDescent="0.2">
      <c r="A7" s="844">
        <v>1</v>
      </c>
      <c r="B7" s="844">
        <v>2</v>
      </c>
      <c r="C7" s="844">
        <v>3</v>
      </c>
      <c r="D7" s="845">
        <v>4</v>
      </c>
      <c r="E7" s="846">
        <v>5</v>
      </c>
      <c r="F7" s="846">
        <v>6</v>
      </c>
      <c r="G7" s="846">
        <v>7</v>
      </c>
      <c r="H7" s="846">
        <v>8</v>
      </c>
      <c r="I7" s="846">
        <v>9</v>
      </c>
      <c r="J7" s="846">
        <v>10</v>
      </c>
      <c r="K7" s="846">
        <v>11</v>
      </c>
      <c r="L7" s="846">
        <v>12</v>
      </c>
      <c r="M7" s="846">
        <v>13</v>
      </c>
      <c r="N7" s="846">
        <v>14</v>
      </c>
    </row>
    <row r="8" spans="1:16" s="847" customFormat="1" x14ac:dyDescent="0.2">
      <c r="A8" s="971" t="s">
        <v>6</v>
      </c>
      <c r="B8" s="971"/>
      <c r="C8" s="971"/>
      <c r="D8" s="848">
        <f>E8+G8+H8+I8+J8+K8</f>
        <v>3669792</v>
      </c>
      <c r="E8" s="848">
        <f t="shared" ref="E8:N8" si="0">E9+E10</f>
        <v>212704</v>
      </c>
      <c r="F8" s="848">
        <f t="shared" si="0"/>
        <v>130</v>
      </c>
      <c r="G8" s="848">
        <f t="shared" si="0"/>
        <v>761387</v>
      </c>
      <c r="H8" s="848">
        <f t="shared" si="0"/>
        <v>1790151</v>
      </c>
      <c r="I8" s="848">
        <f t="shared" si="0"/>
        <v>38426</v>
      </c>
      <c r="J8" s="848">
        <f t="shared" si="0"/>
        <v>16743</v>
      </c>
      <c r="K8" s="848">
        <f t="shared" si="0"/>
        <v>850381</v>
      </c>
      <c r="L8" s="848">
        <f t="shared" si="0"/>
        <v>13988</v>
      </c>
      <c r="M8" s="848">
        <f t="shared" si="0"/>
        <v>836393</v>
      </c>
      <c r="N8" s="848">
        <f t="shared" si="0"/>
        <v>300</v>
      </c>
    </row>
    <row r="9" spans="1:16" s="847" customFormat="1" ht="12" customHeight="1" x14ac:dyDescent="0.2">
      <c r="A9" s="975" t="s">
        <v>14</v>
      </c>
      <c r="B9" s="976"/>
      <c r="C9" s="977"/>
      <c r="D9" s="846">
        <f t="shared" ref="D9:D72" si="1">E9+G9+H9+I9+J9+K9</f>
        <v>153114</v>
      </c>
      <c r="E9" s="846">
        <v>3871</v>
      </c>
      <c r="F9" s="846">
        <v>0</v>
      </c>
      <c r="G9" s="846">
        <v>149243</v>
      </c>
      <c r="H9" s="846">
        <v>0</v>
      </c>
      <c r="I9" s="846">
        <v>0</v>
      </c>
      <c r="J9" s="846">
        <v>0</v>
      </c>
      <c r="K9" s="846">
        <f t="shared" ref="K9" si="2">L9+M9</f>
        <v>0</v>
      </c>
      <c r="L9" s="846">
        <v>0</v>
      </c>
      <c r="M9" s="846">
        <v>0</v>
      </c>
      <c r="N9" s="846">
        <v>0</v>
      </c>
    </row>
    <row r="10" spans="1:16" s="847" customFormat="1" ht="12" customHeight="1" x14ac:dyDescent="0.2">
      <c r="A10" s="975" t="s">
        <v>15</v>
      </c>
      <c r="B10" s="976"/>
      <c r="C10" s="977"/>
      <c r="D10" s="848">
        <f t="shared" si="1"/>
        <v>3516678</v>
      </c>
      <c r="E10" s="848">
        <f t="shared" ref="E10:J10" si="3">SUM(E11:E148)</f>
        <v>208833</v>
      </c>
      <c r="F10" s="848">
        <f t="shared" si="3"/>
        <v>130</v>
      </c>
      <c r="G10" s="848">
        <f t="shared" si="3"/>
        <v>612144</v>
      </c>
      <c r="H10" s="848">
        <f t="shared" si="3"/>
        <v>1790151</v>
      </c>
      <c r="I10" s="848">
        <f t="shared" si="3"/>
        <v>38426</v>
      </c>
      <c r="J10" s="848">
        <f t="shared" si="3"/>
        <v>16743</v>
      </c>
      <c r="K10" s="848">
        <f>L10+M10</f>
        <v>850381</v>
      </c>
      <c r="L10" s="848">
        <f>SUM(L11:L148)</f>
        <v>13988</v>
      </c>
      <c r="M10" s="848">
        <f>SUM(M11:M148)</f>
        <v>836393</v>
      </c>
      <c r="N10" s="848">
        <f>SUM(N11:N148)</f>
        <v>300</v>
      </c>
    </row>
    <row r="11" spans="1:16" x14ac:dyDescent="0.2">
      <c r="A11" s="380">
        <v>1</v>
      </c>
      <c r="B11" s="395" t="s">
        <v>16</v>
      </c>
      <c r="C11" s="396" t="s">
        <v>17</v>
      </c>
      <c r="D11" s="846">
        <f>E11+G11+H11+I11+J11+K11</f>
        <v>13010</v>
      </c>
      <c r="E11" s="849">
        <v>0</v>
      </c>
      <c r="F11" s="849">
        <v>0</v>
      </c>
      <c r="G11" s="849">
        <v>4597</v>
      </c>
      <c r="H11" s="849">
        <v>8413</v>
      </c>
      <c r="I11" s="849">
        <v>0</v>
      </c>
      <c r="J11" s="849">
        <v>0</v>
      </c>
      <c r="K11" s="846">
        <f>L11+M11</f>
        <v>0</v>
      </c>
      <c r="L11" s="849">
        <v>0</v>
      </c>
      <c r="M11" s="849">
        <v>0</v>
      </c>
      <c r="N11" s="849">
        <v>0</v>
      </c>
    </row>
    <row r="12" spans="1:16" x14ac:dyDescent="0.2">
      <c r="A12" s="380">
        <v>2</v>
      </c>
      <c r="B12" s="397" t="s">
        <v>18</v>
      </c>
      <c r="C12" s="396" t="s">
        <v>19</v>
      </c>
      <c r="D12" s="846">
        <f t="shared" si="1"/>
        <v>17345</v>
      </c>
      <c r="E12" s="849">
        <v>0</v>
      </c>
      <c r="F12" s="849">
        <v>0</v>
      </c>
      <c r="G12" s="849">
        <v>1379</v>
      </c>
      <c r="H12" s="849">
        <v>14502</v>
      </c>
      <c r="I12" s="849">
        <v>1025</v>
      </c>
      <c r="J12" s="849">
        <v>439</v>
      </c>
      <c r="K12" s="846">
        <f t="shared" ref="K12:K77" si="4">L12+M12</f>
        <v>0</v>
      </c>
      <c r="L12" s="849">
        <v>0</v>
      </c>
      <c r="M12" s="849">
        <v>0</v>
      </c>
      <c r="N12" s="849">
        <v>0</v>
      </c>
    </row>
    <row r="13" spans="1:16" x14ac:dyDescent="0.2">
      <c r="A13" s="380">
        <v>3</v>
      </c>
      <c r="B13" s="398" t="s">
        <v>20</v>
      </c>
      <c r="C13" s="399" t="s">
        <v>21</v>
      </c>
      <c r="D13" s="846">
        <f t="shared" si="1"/>
        <v>30185</v>
      </c>
      <c r="E13" s="849">
        <v>0</v>
      </c>
      <c r="F13" s="849">
        <v>0</v>
      </c>
      <c r="G13" s="849">
        <v>4908</v>
      </c>
      <c r="H13" s="849">
        <v>23659</v>
      </c>
      <c r="I13" s="849">
        <v>1025</v>
      </c>
      <c r="J13" s="849">
        <v>439</v>
      </c>
      <c r="K13" s="846">
        <f t="shared" si="4"/>
        <v>154</v>
      </c>
      <c r="L13" s="849">
        <v>0</v>
      </c>
      <c r="M13" s="849">
        <v>154</v>
      </c>
      <c r="N13" s="849">
        <v>0</v>
      </c>
    </row>
    <row r="14" spans="1:16" x14ac:dyDescent="0.2">
      <c r="A14" s="380">
        <v>4</v>
      </c>
      <c r="B14" s="395" t="s">
        <v>22</v>
      </c>
      <c r="C14" s="396" t="s">
        <v>23</v>
      </c>
      <c r="D14" s="846">
        <f t="shared" si="1"/>
        <v>17791</v>
      </c>
      <c r="E14" s="849">
        <v>0</v>
      </c>
      <c r="F14" s="849">
        <v>0</v>
      </c>
      <c r="G14" s="849">
        <v>2914</v>
      </c>
      <c r="H14" s="849">
        <v>14877</v>
      </c>
      <c r="I14" s="849">
        <v>0</v>
      </c>
      <c r="J14" s="849">
        <v>0</v>
      </c>
      <c r="K14" s="846">
        <f t="shared" si="4"/>
        <v>0</v>
      </c>
      <c r="L14" s="849">
        <v>0</v>
      </c>
      <c r="M14" s="849">
        <v>0</v>
      </c>
      <c r="N14" s="849">
        <v>0</v>
      </c>
    </row>
    <row r="15" spans="1:16" x14ac:dyDescent="0.2">
      <c r="A15" s="380">
        <v>5</v>
      </c>
      <c r="B15" s="395" t="s">
        <v>24</v>
      </c>
      <c r="C15" s="396" t="s">
        <v>25</v>
      </c>
      <c r="D15" s="846">
        <f t="shared" si="1"/>
        <v>12711</v>
      </c>
      <c r="E15" s="849">
        <v>0</v>
      </c>
      <c r="F15" s="849">
        <v>0</v>
      </c>
      <c r="G15" s="849">
        <v>5490</v>
      </c>
      <c r="H15" s="849">
        <v>7221</v>
      </c>
      <c r="I15" s="849">
        <v>0</v>
      </c>
      <c r="J15" s="849">
        <v>0</v>
      </c>
      <c r="K15" s="846">
        <f t="shared" si="4"/>
        <v>0</v>
      </c>
      <c r="L15" s="849">
        <v>0</v>
      </c>
      <c r="M15" s="849">
        <v>0</v>
      </c>
      <c r="N15" s="849">
        <v>0</v>
      </c>
    </row>
    <row r="16" spans="1:16" x14ac:dyDescent="0.2">
      <c r="A16" s="380">
        <v>6</v>
      </c>
      <c r="B16" s="398" t="s">
        <v>26</v>
      </c>
      <c r="C16" s="399" t="s">
        <v>27</v>
      </c>
      <c r="D16" s="846">
        <f t="shared" si="1"/>
        <v>108096</v>
      </c>
      <c r="E16" s="849">
        <v>0</v>
      </c>
      <c r="F16" s="849">
        <v>0</v>
      </c>
      <c r="G16" s="849">
        <v>26349</v>
      </c>
      <c r="H16" s="849">
        <v>80104</v>
      </c>
      <c r="I16" s="849">
        <v>1025</v>
      </c>
      <c r="J16" s="849">
        <v>439</v>
      </c>
      <c r="K16" s="846">
        <f t="shared" si="4"/>
        <v>179</v>
      </c>
      <c r="L16" s="849">
        <v>0</v>
      </c>
      <c r="M16" s="849">
        <v>179</v>
      </c>
      <c r="N16" s="849">
        <v>0</v>
      </c>
    </row>
    <row r="17" spans="1:14" x14ac:dyDescent="0.2">
      <c r="A17" s="380">
        <v>7</v>
      </c>
      <c r="B17" s="400" t="s">
        <v>28</v>
      </c>
      <c r="C17" s="50" t="s">
        <v>29</v>
      </c>
      <c r="D17" s="846">
        <f t="shared" si="1"/>
        <v>26934</v>
      </c>
      <c r="E17" s="849">
        <v>0</v>
      </c>
      <c r="F17" s="849">
        <v>0</v>
      </c>
      <c r="G17" s="849">
        <v>10188</v>
      </c>
      <c r="H17" s="849">
        <v>15005</v>
      </c>
      <c r="I17" s="849">
        <v>1025</v>
      </c>
      <c r="J17" s="849">
        <v>439</v>
      </c>
      <c r="K17" s="846">
        <f t="shared" si="4"/>
        <v>277</v>
      </c>
      <c r="L17" s="849">
        <v>0</v>
      </c>
      <c r="M17" s="849">
        <v>277</v>
      </c>
      <c r="N17" s="849">
        <v>0</v>
      </c>
    </row>
    <row r="18" spans="1:14" x14ac:dyDescent="0.2">
      <c r="A18" s="380">
        <v>8</v>
      </c>
      <c r="B18" s="398" t="s">
        <v>30</v>
      </c>
      <c r="C18" s="399" t="s">
        <v>31</v>
      </c>
      <c r="D18" s="846">
        <f t="shared" si="1"/>
        <v>16021</v>
      </c>
      <c r="E18" s="849">
        <v>0</v>
      </c>
      <c r="F18" s="849">
        <v>0</v>
      </c>
      <c r="G18" s="849">
        <v>5001</v>
      </c>
      <c r="H18" s="849">
        <v>11020</v>
      </c>
      <c r="I18" s="849">
        <v>0</v>
      </c>
      <c r="J18" s="849">
        <v>0</v>
      </c>
      <c r="K18" s="846">
        <f t="shared" si="4"/>
        <v>0</v>
      </c>
      <c r="L18" s="849">
        <v>0</v>
      </c>
      <c r="M18" s="849">
        <v>0</v>
      </c>
      <c r="N18" s="849">
        <v>0</v>
      </c>
    </row>
    <row r="19" spans="1:14" x14ac:dyDescent="0.2">
      <c r="A19" s="380">
        <v>9</v>
      </c>
      <c r="B19" s="398" t="s">
        <v>32</v>
      </c>
      <c r="C19" s="399" t="s">
        <v>33</v>
      </c>
      <c r="D19" s="846">
        <f t="shared" si="1"/>
        <v>15202</v>
      </c>
      <c r="E19" s="849">
        <v>0</v>
      </c>
      <c r="F19" s="849">
        <v>0</v>
      </c>
      <c r="G19" s="849">
        <v>6431</v>
      </c>
      <c r="H19" s="849">
        <v>7307</v>
      </c>
      <c r="I19" s="849">
        <v>1025</v>
      </c>
      <c r="J19" s="849">
        <v>439</v>
      </c>
      <c r="K19" s="846">
        <f t="shared" si="4"/>
        <v>0</v>
      </c>
      <c r="L19" s="849">
        <v>0</v>
      </c>
      <c r="M19" s="849">
        <v>0</v>
      </c>
      <c r="N19" s="849">
        <v>0</v>
      </c>
    </row>
    <row r="20" spans="1:14" x14ac:dyDescent="0.2">
      <c r="A20" s="380">
        <v>10</v>
      </c>
      <c r="B20" s="398" t="s">
        <v>34</v>
      </c>
      <c r="C20" s="399" t="s">
        <v>35</v>
      </c>
      <c r="D20" s="846">
        <f t="shared" si="1"/>
        <v>16996</v>
      </c>
      <c r="E20" s="849">
        <v>0</v>
      </c>
      <c r="F20" s="849">
        <v>0</v>
      </c>
      <c r="G20" s="849">
        <v>5950</v>
      </c>
      <c r="H20" s="849">
        <v>11046</v>
      </c>
      <c r="I20" s="849">
        <v>0</v>
      </c>
      <c r="J20" s="849">
        <v>0</v>
      </c>
      <c r="K20" s="846">
        <f t="shared" si="4"/>
        <v>0</v>
      </c>
      <c r="L20" s="849">
        <v>0</v>
      </c>
      <c r="M20" s="849">
        <v>0</v>
      </c>
      <c r="N20" s="849">
        <v>0</v>
      </c>
    </row>
    <row r="21" spans="1:14" x14ac:dyDescent="0.2">
      <c r="A21" s="380">
        <v>11</v>
      </c>
      <c r="B21" s="398" t="s">
        <v>36</v>
      </c>
      <c r="C21" s="399" t="s">
        <v>37</v>
      </c>
      <c r="D21" s="846">
        <f t="shared" si="1"/>
        <v>8170</v>
      </c>
      <c r="E21" s="849">
        <v>0</v>
      </c>
      <c r="F21" s="849">
        <v>0</v>
      </c>
      <c r="G21" s="849">
        <v>2583</v>
      </c>
      <c r="H21" s="849">
        <v>5587</v>
      </c>
      <c r="I21" s="849">
        <v>0</v>
      </c>
      <c r="J21" s="849">
        <v>0</v>
      </c>
      <c r="K21" s="846">
        <f t="shared" si="4"/>
        <v>0</v>
      </c>
      <c r="L21" s="849">
        <v>0</v>
      </c>
      <c r="M21" s="849">
        <v>0</v>
      </c>
      <c r="N21" s="849">
        <v>0</v>
      </c>
    </row>
    <row r="22" spans="1:14" x14ac:dyDescent="0.2">
      <c r="A22" s="380">
        <v>12</v>
      </c>
      <c r="B22" s="398" t="s">
        <v>38</v>
      </c>
      <c r="C22" s="399" t="s">
        <v>39</v>
      </c>
      <c r="D22" s="846">
        <f t="shared" si="1"/>
        <v>27732</v>
      </c>
      <c r="E22" s="849">
        <v>0</v>
      </c>
      <c r="F22" s="849">
        <v>0</v>
      </c>
      <c r="G22" s="849">
        <v>2889</v>
      </c>
      <c r="H22" s="849">
        <v>23379</v>
      </c>
      <c r="I22" s="849">
        <v>1025</v>
      </c>
      <c r="J22" s="849">
        <v>439</v>
      </c>
      <c r="K22" s="846">
        <f t="shared" si="4"/>
        <v>0</v>
      </c>
      <c r="L22" s="849">
        <v>0</v>
      </c>
      <c r="M22" s="849">
        <v>0</v>
      </c>
      <c r="N22" s="849">
        <v>0</v>
      </c>
    </row>
    <row r="23" spans="1:14" x14ac:dyDescent="0.2">
      <c r="A23" s="2">
        <v>13</v>
      </c>
      <c r="B23" s="398" t="s">
        <v>40</v>
      </c>
      <c r="C23" s="399" t="s">
        <v>41</v>
      </c>
      <c r="D23" s="846">
        <f t="shared" si="1"/>
        <v>0</v>
      </c>
      <c r="E23" s="849">
        <v>0</v>
      </c>
      <c r="F23" s="849">
        <v>0</v>
      </c>
      <c r="G23" s="849">
        <v>0</v>
      </c>
      <c r="H23" s="849">
        <v>0</v>
      </c>
      <c r="I23" s="849">
        <v>0</v>
      </c>
      <c r="J23" s="849">
        <v>0</v>
      </c>
      <c r="K23" s="846">
        <f t="shared" si="4"/>
        <v>0</v>
      </c>
      <c r="L23" s="849">
        <v>0</v>
      </c>
      <c r="M23" s="849">
        <v>0</v>
      </c>
      <c r="N23" s="849">
        <v>0</v>
      </c>
    </row>
    <row r="24" spans="1:14" x14ac:dyDescent="0.2">
      <c r="A24" s="380">
        <v>14</v>
      </c>
      <c r="B24" s="395" t="s">
        <v>42</v>
      </c>
      <c r="C24" s="399" t="s">
        <v>43</v>
      </c>
      <c r="D24" s="846">
        <f t="shared" si="1"/>
        <v>0</v>
      </c>
      <c r="E24" s="849">
        <v>0</v>
      </c>
      <c r="F24" s="849">
        <v>0</v>
      </c>
      <c r="G24" s="849">
        <v>0</v>
      </c>
      <c r="H24" s="849">
        <v>0</v>
      </c>
      <c r="I24" s="849">
        <v>0</v>
      </c>
      <c r="J24" s="849">
        <v>0</v>
      </c>
      <c r="K24" s="846">
        <f t="shared" si="4"/>
        <v>0</v>
      </c>
      <c r="L24" s="849">
        <v>0</v>
      </c>
      <c r="M24" s="849">
        <v>0</v>
      </c>
      <c r="N24" s="849">
        <v>0</v>
      </c>
    </row>
    <row r="25" spans="1:14" x14ac:dyDescent="0.2">
      <c r="A25" s="2">
        <v>15</v>
      </c>
      <c r="B25" s="398" t="s">
        <v>44</v>
      </c>
      <c r="C25" s="399" t="s">
        <v>45</v>
      </c>
      <c r="D25" s="846">
        <f t="shared" si="1"/>
        <v>14284</v>
      </c>
      <c r="E25" s="849">
        <v>0</v>
      </c>
      <c r="F25" s="849">
        <v>0</v>
      </c>
      <c r="G25" s="849">
        <v>1234</v>
      </c>
      <c r="H25" s="849">
        <v>13050</v>
      </c>
      <c r="I25" s="849">
        <v>0</v>
      </c>
      <c r="J25" s="849">
        <v>0</v>
      </c>
      <c r="K25" s="846">
        <f t="shared" si="4"/>
        <v>0</v>
      </c>
      <c r="L25" s="849">
        <v>0</v>
      </c>
      <c r="M25" s="849">
        <v>0</v>
      </c>
      <c r="N25" s="849">
        <v>0</v>
      </c>
    </row>
    <row r="26" spans="1:14" x14ac:dyDescent="0.2">
      <c r="A26" s="380">
        <v>16</v>
      </c>
      <c r="B26" s="398" t="s">
        <v>46</v>
      </c>
      <c r="C26" s="399" t="s">
        <v>47</v>
      </c>
      <c r="D26" s="846">
        <f t="shared" si="1"/>
        <v>29235</v>
      </c>
      <c r="E26" s="849">
        <v>0</v>
      </c>
      <c r="F26" s="849">
        <v>0</v>
      </c>
      <c r="G26" s="849">
        <v>8985</v>
      </c>
      <c r="H26" s="849">
        <v>18786</v>
      </c>
      <c r="I26" s="849">
        <v>1025</v>
      </c>
      <c r="J26" s="849">
        <v>439</v>
      </c>
      <c r="K26" s="846">
        <f t="shared" si="4"/>
        <v>0</v>
      </c>
      <c r="L26" s="849">
        <v>0</v>
      </c>
      <c r="M26" s="849">
        <v>0</v>
      </c>
      <c r="N26" s="849">
        <v>0</v>
      </c>
    </row>
    <row r="27" spans="1:14" x14ac:dyDescent="0.2">
      <c r="A27" s="2">
        <v>17</v>
      </c>
      <c r="B27" s="398" t="s">
        <v>48</v>
      </c>
      <c r="C27" s="399" t="s">
        <v>49</v>
      </c>
      <c r="D27" s="846">
        <f t="shared" si="1"/>
        <v>37131</v>
      </c>
      <c r="E27" s="849">
        <v>0</v>
      </c>
      <c r="F27" s="849">
        <v>0</v>
      </c>
      <c r="G27" s="849">
        <v>7125</v>
      </c>
      <c r="H27" s="849">
        <v>30006</v>
      </c>
      <c r="I27" s="849">
        <v>0</v>
      </c>
      <c r="J27" s="849">
        <v>0</v>
      </c>
      <c r="K27" s="846">
        <f t="shared" si="4"/>
        <v>0</v>
      </c>
      <c r="L27" s="849">
        <v>0</v>
      </c>
      <c r="M27" s="849">
        <v>0</v>
      </c>
      <c r="N27" s="849">
        <v>0</v>
      </c>
    </row>
    <row r="28" spans="1:14" x14ac:dyDescent="0.2">
      <c r="A28" s="380">
        <v>18</v>
      </c>
      <c r="B28" s="398" t="s">
        <v>50</v>
      </c>
      <c r="C28" s="399" t="s">
        <v>51</v>
      </c>
      <c r="D28" s="846">
        <f t="shared" si="1"/>
        <v>42838</v>
      </c>
      <c r="E28" s="849">
        <v>0</v>
      </c>
      <c r="F28" s="849">
        <v>0</v>
      </c>
      <c r="G28" s="849">
        <v>14845</v>
      </c>
      <c r="H28" s="849">
        <v>26257</v>
      </c>
      <c r="I28" s="849">
        <v>1025</v>
      </c>
      <c r="J28" s="849">
        <v>439</v>
      </c>
      <c r="K28" s="846">
        <f t="shared" si="4"/>
        <v>272</v>
      </c>
      <c r="L28" s="849">
        <v>0</v>
      </c>
      <c r="M28" s="849">
        <v>272</v>
      </c>
      <c r="N28" s="849">
        <v>0</v>
      </c>
    </row>
    <row r="29" spans="1:14" x14ac:dyDescent="0.2">
      <c r="A29" s="2">
        <v>19</v>
      </c>
      <c r="B29" s="395" t="s">
        <v>52</v>
      </c>
      <c r="C29" s="396" t="s">
        <v>53</v>
      </c>
      <c r="D29" s="846">
        <f t="shared" si="1"/>
        <v>13370</v>
      </c>
      <c r="E29" s="849">
        <v>0</v>
      </c>
      <c r="F29" s="849">
        <v>0</v>
      </c>
      <c r="G29" s="849">
        <v>2301</v>
      </c>
      <c r="H29" s="849">
        <v>11069</v>
      </c>
      <c r="I29" s="849">
        <v>0</v>
      </c>
      <c r="J29" s="849">
        <v>0</v>
      </c>
      <c r="K29" s="846">
        <f t="shared" si="4"/>
        <v>0</v>
      </c>
      <c r="L29" s="849">
        <v>0</v>
      </c>
      <c r="M29" s="849">
        <v>0</v>
      </c>
      <c r="N29" s="849">
        <v>0</v>
      </c>
    </row>
    <row r="30" spans="1:14" x14ac:dyDescent="0.2">
      <c r="A30" s="380">
        <v>20</v>
      </c>
      <c r="B30" s="395" t="s">
        <v>54</v>
      </c>
      <c r="C30" s="396" t="s">
        <v>55</v>
      </c>
      <c r="D30" s="846">
        <f t="shared" si="1"/>
        <v>7451</v>
      </c>
      <c r="E30" s="849">
        <v>0</v>
      </c>
      <c r="F30" s="849">
        <v>0</v>
      </c>
      <c r="G30" s="849">
        <v>1152</v>
      </c>
      <c r="H30" s="849">
        <v>6299</v>
      </c>
      <c r="I30" s="849">
        <v>0</v>
      </c>
      <c r="J30" s="849">
        <v>0</v>
      </c>
      <c r="K30" s="846">
        <f t="shared" si="4"/>
        <v>0</v>
      </c>
      <c r="L30" s="849">
        <v>0</v>
      </c>
      <c r="M30" s="849">
        <v>0</v>
      </c>
      <c r="N30" s="849">
        <v>0</v>
      </c>
    </row>
    <row r="31" spans="1:14" x14ac:dyDescent="0.2">
      <c r="A31" s="2">
        <v>21</v>
      </c>
      <c r="B31" s="395" t="s">
        <v>56</v>
      </c>
      <c r="C31" s="396" t="s">
        <v>57</v>
      </c>
      <c r="D31" s="846">
        <f t="shared" si="1"/>
        <v>43741</v>
      </c>
      <c r="E31" s="849">
        <v>0</v>
      </c>
      <c r="F31" s="849">
        <v>0</v>
      </c>
      <c r="G31" s="849">
        <v>11544</v>
      </c>
      <c r="H31" s="849">
        <v>30733</v>
      </c>
      <c r="I31" s="849">
        <v>1025</v>
      </c>
      <c r="J31" s="849">
        <v>439</v>
      </c>
      <c r="K31" s="846">
        <f t="shared" si="4"/>
        <v>0</v>
      </c>
      <c r="L31" s="849">
        <v>0</v>
      </c>
      <c r="M31" s="849">
        <v>0</v>
      </c>
      <c r="N31" s="849">
        <v>0</v>
      </c>
    </row>
    <row r="32" spans="1:14" x14ac:dyDescent="0.2">
      <c r="A32" s="380">
        <v>22</v>
      </c>
      <c r="B32" s="395" t="s">
        <v>58</v>
      </c>
      <c r="C32" s="396" t="s">
        <v>59</v>
      </c>
      <c r="D32" s="846">
        <f t="shared" si="1"/>
        <v>50455</v>
      </c>
      <c r="E32" s="849">
        <v>0</v>
      </c>
      <c r="F32" s="849">
        <v>0</v>
      </c>
      <c r="G32" s="849">
        <v>10511</v>
      </c>
      <c r="H32" s="849">
        <v>37855</v>
      </c>
      <c r="I32" s="849">
        <v>1025</v>
      </c>
      <c r="J32" s="849">
        <v>439</v>
      </c>
      <c r="K32" s="846">
        <f t="shared" si="4"/>
        <v>625</v>
      </c>
      <c r="L32" s="849">
        <v>0</v>
      </c>
      <c r="M32" s="849">
        <v>625</v>
      </c>
      <c r="N32" s="849">
        <v>0</v>
      </c>
    </row>
    <row r="33" spans="1:14" x14ac:dyDescent="0.2">
      <c r="A33" s="2">
        <v>23</v>
      </c>
      <c r="B33" s="398" t="s">
        <v>60</v>
      </c>
      <c r="C33" s="399" t="s">
        <v>61</v>
      </c>
      <c r="D33" s="846">
        <f t="shared" si="1"/>
        <v>14829</v>
      </c>
      <c r="E33" s="849">
        <v>0</v>
      </c>
      <c r="F33" s="849">
        <v>0</v>
      </c>
      <c r="G33" s="849">
        <v>8028</v>
      </c>
      <c r="H33" s="849">
        <v>6801</v>
      </c>
      <c r="I33" s="849">
        <v>0</v>
      </c>
      <c r="J33" s="849">
        <v>0</v>
      </c>
      <c r="K33" s="846">
        <f t="shared" si="4"/>
        <v>0</v>
      </c>
      <c r="L33" s="849">
        <v>0</v>
      </c>
      <c r="M33" s="849">
        <v>0</v>
      </c>
      <c r="N33" s="849">
        <v>0</v>
      </c>
    </row>
    <row r="34" spans="1:14" x14ac:dyDescent="0.2">
      <c r="A34" s="380">
        <v>24</v>
      </c>
      <c r="B34" s="398" t="s">
        <v>62</v>
      </c>
      <c r="C34" s="399" t="s">
        <v>63</v>
      </c>
      <c r="D34" s="846">
        <f t="shared" si="1"/>
        <v>0</v>
      </c>
      <c r="E34" s="849">
        <v>0</v>
      </c>
      <c r="F34" s="849">
        <v>0</v>
      </c>
      <c r="G34" s="849">
        <v>0</v>
      </c>
      <c r="H34" s="849">
        <v>0</v>
      </c>
      <c r="I34" s="849">
        <v>0</v>
      </c>
      <c r="J34" s="849">
        <v>0</v>
      </c>
      <c r="K34" s="846">
        <f t="shared" si="4"/>
        <v>0</v>
      </c>
      <c r="L34" s="849">
        <v>0</v>
      </c>
      <c r="M34" s="849">
        <v>0</v>
      </c>
      <c r="N34" s="849">
        <v>0</v>
      </c>
    </row>
    <row r="35" spans="1:14" ht="24" x14ac:dyDescent="0.2">
      <c r="A35" s="2">
        <v>25</v>
      </c>
      <c r="B35" s="398" t="s">
        <v>64</v>
      </c>
      <c r="C35" s="399" t="s">
        <v>65</v>
      </c>
      <c r="D35" s="846">
        <f t="shared" si="1"/>
        <v>0</v>
      </c>
      <c r="E35" s="849">
        <v>0</v>
      </c>
      <c r="F35" s="849">
        <v>0</v>
      </c>
      <c r="G35" s="849">
        <v>0</v>
      </c>
      <c r="H35" s="849">
        <v>0</v>
      </c>
      <c r="I35" s="849">
        <v>0</v>
      </c>
      <c r="J35" s="849">
        <v>0</v>
      </c>
      <c r="K35" s="846">
        <f t="shared" si="4"/>
        <v>0</v>
      </c>
      <c r="L35" s="849">
        <v>0</v>
      </c>
      <c r="M35" s="849">
        <v>0</v>
      </c>
      <c r="N35" s="849">
        <v>0</v>
      </c>
    </row>
    <row r="36" spans="1:14" x14ac:dyDescent="0.2">
      <c r="A36" s="380">
        <v>26</v>
      </c>
      <c r="B36" s="395" t="s">
        <v>66</v>
      </c>
      <c r="C36" s="50" t="s">
        <v>67</v>
      </c>
      <c r="D36" s="846">
        <f t="shared" si="1"/>
        <v>74156</v>
      </c>
      <c r="E36" s="849">
        <v>0</v>
      </c>
      <c r="F36" s="849">
        <v>0</v>
      </c>
      <c r="G36" s="849">
        <v>40240</v>
      </c>
      <c r="H36" s="849">
        <v>29486</v>
      </c>
      <c r="I36" s="849">
        <v>2386</v>
      </c>
      <c r="J36" s="849">
        <v>1100</v>
      </c>
      <c r="K36" s="846">
        <f t="shared" si="4"/>
        <v>944</v>
      </c>
      <c r="L36" s="849">
        <v>0</v>
      </c>
      <c r="M36" s="849">
        <v>944</v>
      </c>
      <c r="N36" s="849">
        <v>0</v>
      </c>
    </row>
    <row r="37" spans="1:14" x14ac:dyDescent="0.2">
      <c r="A37" s="2">
        <v>27</v>
      </c>
      <c r="B37" s="398" t="s">
        <v>68</v>
      </c>
      <c r="C37" s="399" t="s">
        <v>69</v>
      </c>
      <c r="D37" s="846">
        <f t="shared" si="1"/>
        <v>27262</v>
      </c>
      <c r="E37" s="849">
        <v>0</v>
      </c>
      <c r="F37" s="849">
        <v>0</v>
      </c>
      <c r="G37" s="849">
        <v>12849</v>
      </c>
      <c r="H37" s="849">
        <v>11858</v>
      </c>
      <c r="I37" s="849">
        <v>689</v>
      </c>
      <c r="J37" s="849">
        <v>217</v>
      </c>
      <c r="K37" s="846">
        <f t="shared" si="4"/>
        <v>1649</v>
      </c>
      <c r="L37" s="849">
        <v>0</v>
      </c>
      <c r="M37" s="849">
        <v>1649</v>
      </c>
      <c r="N37" s="849">
        <v>0</v>
      </c>
    </row>
    <row r="38" spans="1:14" x14ac:dyDescent="0.2">
      <c r="A38" s="380">
        <v>28</v>
      </c>
      <c r="B38" s="398" t="s">
        <v>70</v>
      </c>
      <c r="C38" s="399" t="s">
        <v>71</v>
      </c>
      <c r="D38" s="846">
        <f t="shared" si="1"/>
        <v>43113</v>
      </c>
      <c r="E38" s="849">
        <v>0</v>
      </c>
      <c r="F38" s="849">
        <v>0</v>
      </c>
      <c r="G38" s="849">
        <v>2180</v>
      </c>
      <c r="H38" s="849">
        <v>38490</v>
      </c>
      <c r="I38" s="849">
        <v>0</v>
      </c>
      <c r="J38" s="849">
        <v>0</v>
      </c>
      <c r="K38" s="846">
        <f t="shared" si="4"/>
        <v>2443</v>
      </c>
      <c r="L38" s="849">
        <v>0</v>
      </c>
      <c r="M38" s="849">
        <v>2443</v>
      </c>
      <c r="N38" s="849">
        <v>0</v>
      </c>
    </row>
    <row r="39" spans="1:14" x14ac:dyDescent="0.2">
      <c r="A39" s="2">
        <v>29</v>
      </c>
      <c r="B39" s="397" t="s">
        <v>72</v>
      </c>
      <c r="C39" s="50" t="s">
        <v>73</v>
      </c>
      <c r="D39" s="846">
        <f t="shared" si="1"/>
        <v>10270</v>
      </c>
      <c r="E39" s="849">
        <v>10270</v>
      </c>
      <c r="F39" s="849">
        <v>0</v>
      </c>
      <c r="G39" s="849">
        <v>0</v>
      </c>
      <c r="H39" s="849">
        <v>0</v>
      </c>
      <c r="I39" s="849">
        <v>0</v>
      </c>
      <c r="J39" s="849">
        <v>0</v>
      </c>
      <c r="K39" s="846">
        <f t="shared" si="4"/>
        <v>0</v>
      </c>
      <c r="L39" s="849">
        <v>0</v>
      </c>
      <c r="M39" s="849">
        <v>0</v>
      </c>
      <c r="N39" s="849">
        <v>0</v>
      </c>
    </row>
    <row r="40" spans="1:14" x14ac:dyDescent="0.2">
      <c r="A40" s="380">
        <v>30</v>
      </c>
      <c r="B40" s="395" t="s">
        <v>74</v>
      </c>
      <c r="C40" s="396" t="s">
        <v>357</v>
      </c>
      <c r="D40" s="846">
        <f t="shared" si="1"/>
        <v>0</v>
      </c>
      <c r="E40" s="849">
        <v>0</v>
      </c>
      <c r="F40" s="849">
        <v>0</v>
      </c>
      <c r="G40" s="849">
        <v>0</v>
      </c>
      <c r="H40" s="849">
        <v>0</v>
      </c>
      <c r="I40" s="849">
        <v>0</v>
      </c>
      <c r="J40" s="849">
        <v>0</v>
      </c>
      <c r="K40" s="846">
        <f t="shared" si="4"/>
        <v>0</v>
      </c>
      <c r="L40" s="849">
        <v>0</v>
      </c>
      <c r="M40" s="849">
        <v>0</v>
      </c>
      <c r="N40" s="849">
        <v>0</v>
      </c>
    </row>
    <row r="41" spans="1:14" x14ac:dyDescent="0.2">
      <c r="A41" s="2">
        <v>31</v>
      </c>
      <c r="B41" s="398" t="s">
        <v>75</v>
      </c>
      <c r="C41" s="399" t="s">
        <v>76</v>
      </c>
      <c r="D41" s="846">
        <f t="shared" si="1"/>
        <v>5666</v>
      </c>
      <c r="E41" s="849">
        <v>0</v>
      </c>
      <c r="F41" s="849">
        <v>0</v>
      </c>
      <c r="G41" s="849">
        <v>500</v>
      </c>
      <c r="H41" s="849">
        <v>5166</v>
      </c>
      <c r="I41" s="849">
        <v>0</v>
      </c>
      <c r="J41" s="849">
        <v>0</v>
      </c>
      <c r="K41" s="846">
        <f t="shared" si="4"/>
        <v>0</v>
      </c>
      <c r="L41" s="849">
        <v>0</v>
      </c>
      <c r="M41" s="849">
        <v>0</v>
      </c>
      <c r="N41" s="849">
        <v>0</v>
      </c>
    </row>
    <row r="42" spans="1:14" x14ac:dyDescent="0.2">
      <c r="A42" s="380">
        <v>32</v>
      </c>
      <c r="B42" s="397" t="s">
        <v>77</v>
      </c>
      <c r="C42" s="396" t="s">
        <v>78</v>
      </c>
      <c r="D42" s="846">
        <f t="shared" si="1"/>
        <v>48445</v>
      </c>
      <c r="E42" s="849">
        <v>0</v>
      </c>
      <c r="F42" s="849">
        <v>0</v>
      </c>
      <c r="G42" s="849">
        <v>17483</v>
      </c>
      <c r="H42" s="849">
        <v>28550</v>
      </c>
      <c r="I42" s="849">
        <v>1025</v>
      </c>
      <c r="J42" s="849">
        <v>439</v>
      </c>
      <c r="K42" s="846">
        <f t="shared" si="4"/>
        <v>948</v>
      </c>
      <c r="L42" s="849">
        <v>0</v>
      </c>
      <c r="M42" s="849">
        <v>948</v>
      </c>
      <c r="N42" s="849">
        <v>0</v>
      </c>
    </row>
    <row r="43" spans="1:14" x14ac:dyDescent="0.2">
      <c r="A43" s="2">
        <v>33</v>
      </c>
      <c r="B43" s="400" t="s">
        <v>79</v>
      </c>
      <c r="C43" s="50" t="s">
        <v>80</v>
      </c>
      <c r="D43" s="846">
        <f t="shared" si="1"/>
        <v>78215</v>
      </c>
      <c r="E43" s="849">
        <v>0</v>
      </c>
      <c r="F43" s="849">
        <v>0</v>
      </c>
      <c r="G43" s="849">
        <v>21949</v>
      </c>
      <c r="H43" s="849">
        <v>54505</v>
      </c>
      <c r="I43" s="849">
        <v>1025</v>
      </c>
      <c r="J43" s="849">
        <v>439</v>
      </c>
      <c r="K43" s="846">
        <f t="shared" si="4"/>
        <v>297</v>
      </c>
      <c r="L43" s="849">
        <v>0</v>
      </c>
      <c r="M43" s="849">
        <v>297</v>
      </c>
      <c r="N43" s="849">
        <v>0</v>
      </c>
    </row>
    <row r="44" spans="1:14" x14ac:dyDescent="0.2">
      <c r="A44" s="380">
        <v>34</v>
      </c>
      <c r="B44" s="397" t="s">
        <v>81</v>
      </c>
      <c r="C44" s="396" t="s">
        <v>82</v>
      </c>
      <c r="D44" s="846">
        <f t="shared" si="1"/>
        <v>12837</v>
      </c>
      <c r="E44" s="849">
        <v>0</v>
      </c>
      <c r="F44" s="849">
        <v>0</v>
      </c>
      <c r="G44" s="849">
        <v>1629</v>
      </c>
      <c r="H44" s="849">
        <v>11208</v>
      </c>
      <c r="I44" s="849">
        <v>0</v>
      </c>
      <c r="J44" s="849">
        <v>0</v>
      </c>
      <c r="K44" s="846">
        <f t="shared" si="4"/>
        <v>0</v>
      </c>
      <c r="L44" s="849">
        <v>0</v>
      </c>
      <c r="M44" s="849">
        <v>0</v>
      </c>
      <c r="N44" s="849">
        <v>0</v>
      </c>
    </row>
    <row r="45" spans="1:14" x14ac:dyDescent="0.2">
      <c r="A45" s="2">
        <v>35</v>
      </c>
      <c r="B45" s="398" t="s">
        <v>83</v>
      </c>
      <c r="C45" s="399" t="s">
        <v>84</v>
      </c>
      <c r="D45" s="846">
        <f t="shared" si="1"/>
        <v>40347</v>
      </c>
      <c r="E45" s="849">
        <v>0</v>
      </c>
      <c r="F45" s="849">
        <v>0</v>
      </c>
      <c r="G45" s="849">
        <v>14413</v>
      </c>
      <c r="H45" s="849">
        <v>25934</v>
      </c>
      <c r="I45" s="849">
        <v>0</v>
      </c>
      <c r="J45" s="849">
        <v>0</v>
      </c>
      <c r="K45" s="846">
        <f t="shared" si="4"/>
        <v>0</v>
      </c>
      <c r="L45" s="849">
        <v>0</v>
      </c>
      <c r="M45" s="849">
        <v>0</v>
      </c>
      <c r="N45" s="849">
        <v>0</v>
      </c>
    </row>
    <row r="46" spans="1:14" x14ac:dyDescent="0.2">
      <c r="A46" s="380">
        <v>36</v>
      </c>
      <c r="B46" s="397" t="s">
        <v>85</v>
      </c>
      <c r="C46" s="396" t="s">
        <v>86</v>
      </c>
      <c r="D46" s="846">
        <f t="shared" si="1"/>
        <v>23286</v>
      </c>
      <c r="E46" s="849">
        <v>0</v>
      </c>
      <c r="F46" s="849">
        <v>0</v>
      </c>
      <c r="G46" s="849">
        <v>3269</v>
      </c>
      <c r="H46" s="849">
        <v>20017</v>
      </c>
      <c r="I46" s="849">
        <v>0</v>
      </c>
      <c r="J46" s="849">
        <v>0</v>
      </c>
      <c r="K46" s="846">
        <f t="shared" si="4"/>
        <v>0</v>
      </c>
      <c r="L46" s="849">
        <v>0</v>
      </c>
      <c r="M46" s="849">
        <v>0</v>
      </c>
      <c r="N46" s="849">
        <v>0</v>
      </c>
    </row>
    <row r="47" spans="1:14" x14ac:dyDescent="0.2">
      <c r="A47" s="2">
        <v>37</v>
      </c>
      <c r="B47" s="395" t="s">
        <v>87</v>
      </c>
      <c r="C47" s="396" t="s">
        <v>88</v>
      </c>
      <c r="D47" s="846">
        <f t="shared" si="1"/>
        <v>65782</v>
      </c>
      <c r="E47" s="849">
        <v>0</v>
      </c>
      <c r="F47" s="849">
        <v>0</v>
      </c>
      <c r="G47" s="849">
        <v>12286</v>
      </c>
      <c r="H47" s="849">
        <v>52032</v>
      </c>
      <c r="I47" s="849">
        <v>1025</v>
      </c>
      <c r="J47" s="849">
        <v>439</v>
      </c>
      <c r="K47" s="846">
        <f t="shared" si="4"/>
        <v>0</v>
      </c>
      <c r="L47" s="849">
        <v>0</v>
      </c>
      <c r="M47" s="849">
        <v>0</v>
      </c>
      <c r="N47" s="849">
        <v>0</v>
      </c>
    </row>
    <row r="48" spans="1:14" x14ac:dyDescent="0.2">
      <c r="A48" s="380">
        <v>38</v>
      </c>
      <c r="B48" s="386" t="s">
        <v>89</v>
      </c>
      <c r="C48" s="387" t="s">
        <v>90</v>
      </c>
      <c r="D48" s="846">
        <f t="shared" si="1"/>
        <v>11721</v>
      </c>
      <c r="E48" s="849">
        <v>0</v>
      </c>
      <c r="F48" s="849">
        <v>0</v>
      </c>
      <c r="G48" s="849">
        <v>4353</v>
      </c>
      <c r="H48" s="849">
        <v>7368</v>
      </c>
      <c r="I48" s="849">
        <v>0</v>
      </c>
      <c r="J48" s="849">
        <v>0</v>
      </c>
      <c r="K48" s="846">
        <f t="shared" si="4"/>
        <v>0</v>
      </c>
      <c r="L48" s="849">
        <v>0</v>
      </c>
      <c r="M48" s="849">
        <v>0</v>
      </c>
      <c r="N48" s="849">
        <v>0</v>
      </c>
    </row>
    <row r="49" spans="1:14" x14ac:dyDescent="0.2">
      <c r="A49" s="2">
        <v>39</v>
      </c>
      <c r="B49" s="395" t="s">
        <v>91</v>
      </c>
      <c r="C49" s="396" t="s">
        <v>92</v>
      </c>
      <c r="D49" s="846">
        <f t="shared" si="1"/>
        <v>9052</v>
      </c>
      <c r="E49" s="849">
        <v>0</v>
      </c>
      <c r="F49" s="849">
        <v>0</v>
      </c>
      <c r="G49" s="849">
        <v>924</v>
      </c>
      <c r="H49" s="849">
        <v>8128</v>
      </c>
      <c r="I49" s="849">
        <v>0</v>
      </c>
      <c r="J49" s="849">
        <v>0</v>
      </c>
      <c r="K49" s="846">
        <f t="shared" si="4"/>
        <v>0</v>
      </c>
      <c r="L49" s="849">
        <v>0</v>
      </c>
      <c r="M49" s="849">
        <v>0</v>
      </c>
      <c r="N49" s="849">
        <v>0</v>
      </c>
    </row>
    <row r="50" spans="1:14" x14ac:dyDescent="0.2">
      <c r="A50" s="380">
        <v>40</v>
      </c>
      <c r="B50" s="400" t="s">
        <v>93</v>
      </c>
      <c r="C50" s="50" t="s">
        <v>94</v>
      </c>
      <c r="D50" s="846">
        <f t="shared" si="1"/>
        <v>17613</v>
      </c>
      <c r="E50" s="849">
        <v>0</v>
      </c>
      <c r="F50" s="849">
        <v>0</v>
      </c>
      <c r="G50" s="849">
        <v>1963</v>
      </c>
      <c r="H50" s="849">
        <v>15650</v>
      </c>
      <c r="I50" s="849">
        <v>0</v>
      </c>
      <c r="J50" s="849">
        <v>0</v>
      </c>
      <c r="K50" s="846">
        <f t="shared" si="4"/>
        <v>0</v>
      </c>
      <c r="L50" s="849">
        <v>0</v>
      </c>
      <c r="M50" s="849">
        <v>0</v>
      </c>
      <c r="N50" s="849">
        <v>0</v>
      </c>
    </row>
    <row r="51" spans="1:14" x14ac:dyDescent="0.2">
      <c r="A51" s="2">
        <v>41</v>
      </c>
      <c r="B51" s="398" t="s">
        <v>95</v>
      </c>
      <c r="C51" s="399" t="s">
        <v>96</v>
      </c>
      <c r="D51" s="846">
        <f t="shared" si="1"/>
        <v>7628</v>
      </c>
      <c r="E51" s="849">
        <v>0</v>
      </c>
      <c r="F51" s="849">
        <v>0</v>
      </c>
      <c r="G51" s="849">
        <v>1576</v>
      </c>
      <c r="H51" s="849">
        <v>6052</v>
      </c>
      <c r="I51" s="849">
        <v>0</v>
      </c>
      <c r="J51" s="849">
        <v>0</v>
      </c>
      <c r="K51" s="846">
        <f t="shared" si="4"/>
        <v>0</v>
      </c>
      <c r="L51" s="849">
        <v>0</v>
      </c>
      <c r="M51" s="849">
        <v>0</v>
      </c>
      <c r="N51" s="849">
        <v>0</v>
      </c>
    </row>
    <row r="52" spans="1:14" x14ac:dyDescent="0.2">
      <c r="A52" s="380">
        <v>42</v>
      </c>
      <c r="B52" s="397" t="s">
        <v>97</v>
      </c>
      <c r="C52" s="396" t="s">
        <v>98</v>
      </c>
      <c r="D52" s="846">
        <f t="shared" si="1"/>
        <v>9262</v>
      </c>
      <c r="E52" s="849">
        <v>0</v>
      </c>
      <c r="F52" s="849">
        <v>0</v>
      </c>
      <c r="G52" s="849">
        <v>222</v>
      </c>
      <c r="H52" s="849">
        <v>9040</v>
      </c>
      <c r="I52" s="849">
        <v>0</v>
      </c>
      <c r="J52" s="849">
        <v>0</v>
      </c>
      <c r="K52" s="846">
        <f t="shared" si="4"/>
        <v>0</v>
      </c>
      <c r="L52" s="849">
        <v>0</v>
      </c>
      <c r="M52" s="849">
        <v>0</v>
      </c>
      <c r="N52" s="849">
        <v>0</v>
      </c>
    </row>
    <row r="53" spans="1:14" x14ac:dyDescent="0.2">
      <c r="A53" s="2">
        <v>43</v>
      </c>
      <c r="B53" s="398" t="s">
        <v>99</v>
      </c>
      <c r="C53" s="399" t="s">
        <v>100</v>
      </c>
      <c r="D53" s="846">
        <f t="shared" si="1"/>
        <v>70724</v>
      </c>
      <c r="E53" s="849">
        <v>0</v>
      </c>
      <c r="F53" s="849">
        <v>0</v>
      </c>
      <c r="G53" s="849">
        <v>9828</v>
      </c>
      <c r="H53" s="849">
        <v>57448</v>
      </c>
      <c r="I53" s="849">
        <v>1025</v>
      </c>
      <c r="J53" s="849">
        <v>439</v>
      </c>
      <c r="K53" s="846">
        <f t="shared" si="4"/>
        <v>1984</v>
      </c>
      <c r="L53" s="849">
        <v>0</v>
      </c>
      <c r="M53" s="849">
        <v>1984</v>
      </c>
      <c r="N53" s="849">
        <v>0</v>
      </c>
    </row>
    <row r="54" spans="1:14" x14ac:dyDescent="0.2">
      <c r="A54" s="380">
        <v>44</v>
      </c>
      <c r="B54" s="395" t="s">
        <v>101</v>
      </c>
      <c r="C54" s="396" t="s">
        <v>102</v>
      </c>
      <c r="D54" s="846">
        <f t="shared" si="1"/>
        <v>16456</v>
      </c>
      <c r="E54" s="849">
        <v>0</v>
      </c>
      <c r="F54" s="849">
        <v>0</v>
      </c>
      <c r="G54" s="849">
        <v>1413</v>
      </c>
      <c r="H54" s="849">
        <v>15043</v>
      </c>
      <c r="I54" s="849">
        <v>0</v>
      </c>
      <c r="J54" s="849">
        <v>0</v>
      </c>
      <c r="K54" s="846">
        <f t="shared" si="4"/>
        <v>0</v>
      </c>
      <c r="L54" s="849">
        <v>0</v>
      </c>
      <c r="M54" s="849">
        <v>0</v>
      </c>
      <c r="N54" s="849">
        <v>0</v>
      </c>
    </row>
    <row r="55" spans="1:14" x14ac:dyDescent="0.2">
      <c r="A55" s="2">
        <v>45</v>
      </c>
      <c r="B55" s="395" t="s">
        <v>103</v>
      </c>
      <c r="C55" s="396" t="s">
        <v>104</v>
      </c>
      <c r="D55" s="846">
        <f t="shared" si="1"/>
        <v>71509</v>
      </c>
      <c r="E55" s="849">
        <v>0</v>
      </c>
      <c r="F55" s="849">
        <v>0</v>
      </c>
      <c r="G55" s="849">
        <v>13818</v>
      </c>
      <c r="H55" s="849">
        <v>56183</v>
      </c>
      <c r="I55" s="849">
        <v>1025</v>
      </c>
      <c r="J55" s="849">
        <v>439</v>
      </c>
      <c r="K55" s="846">
        <f t="shared" si="4"/>
        <v>44</v>
      </c>
      <c r="L55" s="849">
        <v>0</v>
      </c>
      <c r="M55" s="849">
        <v>44</v>
      </c>
      <c r="N55" s="849">
        <v>0</v>
      </c>
    </row>
    <row r="56" spans="1:14" x14ac:dyDescent="0.2">
      <c r="A56" s="380">
        <v>46</v>
      </c>
      <c r="B56" s="398" t="s">
        <v>105</v>
      </c>
      <c r="C56" s="399" t="s">
        <v>106</v>
      </c>
      <c r="D56" s="846">
        <f t="shared" si="1"/>
        <v>11768</v>
      </c>
      <c r="E56" s="849">
        <v>0</v>
      </c>
      <c r="F56" s="849">
        <v>0</v>
      </c>
      <c r="G56" s="849">
        <v>1684</v>
      </c>
      <c r="H56" s="849">
        <v>10084</v>
      </c>
      <c r="I56" s="849">
        <v>0</v>
      </c>
      <c r="J56" s="849">
        <v>0</v>
      </c>
      <c r="K56" s="846">
        <f t="shared" si="4"/>
        <v>0</v>
      </c>
      <c r="L56" s="849">
        <v>0</v>
      </c>
      <c r="M56" s="849">
        <v>0</v>
      </c>
      <c r="N56" s="849">
        <v>0</v>
      </c>
    </row>
    <row r="57" spans="1:14" x14ac:dyDescent="0.2">
      <c r="A57" s="2">
        <v>47</v>
      </c>
      <c r="B57" s="398" t="s">
        <v>107</v>
      </c>
      <c r="C57" s="399" t="s">
        <v>108</v>
      </c>
      <c r="D57" s="846">
        <f t="shared" si="1"/>
        <v>14490</v>
      </c>
      <c r="E57" s="849">
        <v>0</v>
      </c>
      <c r="F57" s="849">
        <v>0</v>
      </c>
      <c r="G57" s="849">
        <v>7037</v>
      </c>
      <c r="H57" s="849">
        <v>7453</v>
      </c>
      <c r="I57" s="849">
        <v>0</v>
      </c>
      <c r="J57" s="849">
        <v>0</v>
      </c>
      <c r="K57" s="846">
        <f t="shared" si="4"/>
        <v>0</v>
      </c>
      <c r="L57" s="849">
        <v>0</v>
      </c>
      <c r="M57" s="849">
        <v>0</v>
      </c>
      <c r="N57" s="849">
        <v>0</v>
      </c>
    </row>
    <row r="58" spans="1:14" x14ac:dyDescent="0.2">
      <c r="A58" s="380">
        <v>48</v>
      </c>
      <c r="B58" s="397" t="s">
        <v>109</v>
      </c>
      <c r="C58" s="396" t="s">
        <v>110</v>
      </c>
      <c r="D58" s="846">
        <f t="shared" si="1"/>
        <v>36780</v>
      </c>
      <c r="E58" s="849">
        <v>0</v>
      </c>
      <c r="F58" s="849">
        <v>0</v>
      </c>
      <c r="G58" s="849">
        <v>6242</v>
      </c>
      <c r="H58" s="849">
        <v>29074</v>
      </c>
      <c r="I58" s="849">
        <v>1025</v>
      </c>
      <c r="J58" s="849">
        <v>439</v>
      </c>
      <c r="K58" s="846">
        <f t="shared" si="4"/>
        <v>0</v>
      </c>
      <c r="L58" s="849">
        <v>0</v>
      </c>
      <c r="M58" s="849">
        <v>0</v>
      </c>
      <c r="N58" s="849">
        <v>0</v>
      </c>
    </row>
    <row r="59" spans="1:14" x14ac:dyDescent="0.2">
      <c r="A59" s="2">
        <v>49</v>
      </c>
      <c r="B59" s="398" t="s">
        <v>111</v>
      </c>
      <c r="C59" s="399" t="s">
        <v>112</v>
      </c>
      <c r="D59" s="846">
        <f t="shared" si="1"/>
        <v>4066</v>
      </c>
      <c r="E59" s="849">
        <v>0</v>
      </c>
      <c r="F59" s="849">
        <v>0</v>
      </c>
      <c r="G59" s="849">
        <v>809</v>
      </c>
      <c r="H59" s="849">
        <v>3257</v>
      </c>
      <c r="I59" s="849">
        <v>0</v>
      </c>
      <c r="J59" s="849">
        <v>0</v>
      </c>
      <c r="K59" s="846">
        <f t="shared" si="4"/>
        <v>0</v>
      </c>
      <c r="L59" s="849">
        <v>0</v>
      </c>
      <c r="M59" s="849">
        <v>0</v>
      </c>
      <c r="N59" s="849">
        <v>0</v>
      </c>
    </row>
    <row r="60" spans="1:14" x14ac:dyDescent="0.2">
      <c r="A60" s="380">
        <v>50</v>
      </c>
      <c r="B60" s="397" t="s">
        <v>113</v>
      </c>
      <c r="C60" s="396" t="s">
        <v>114</v>
      </c>
      <c r="D60" s="846">
        <f t="shared" si="1"/>
        <v>15900</v>
      </c>
      <c r="E60" s="849">
        <v>0</v>
      </c>
      <c r="F60" s="849">
        <v>0</v>
      </c>
      <c r="G60" s="849">
        <v>2138</v>
      </c>
      <c r="H60" s="849">
        <v>12298</v>
      </c>
      <c r="I60" s="849">
        <v>1025</v>
      </c>
      <c r="J60" s="849">
        <v>439</v>
      </c>
      <c r="K60" s="846">
        <f t="shared" si="4"/>
        <v>0</v>
      </c>
      <c r="L60" s="849">
        <v>0</v>
      </c>
      <c r="M60" s="849">
        <v>0</v>
      </c>
      <c r="N60" s="849">
        <v>0</v>
      </c>
    </row>
    <row r="61" spans="1:14" x14ac:dyDescent="0.2">
      <c r="A61" s="2">
        <v>51</v>
      </c>
      <c r="B61" s="398" t="s">
        <v>115</v>
      </c>
      <c r="C61" s="399" t="s">
        <v>116</v>
      </c>
      <c r="D61" s="846">
        <f t="shared" si="1"/>
        <v>16099</v>
      </c>
      <c r="E61" s="849">
        <v>0</v>
      </c>
      <c r="F61" s="849">
        <v>0</v>
      </c>
      <c r="G61" s="849">
        <v>2344</v>
      </c>
      <c r="H61" s="849">
        <v>13755</v>
      </c>
      <c r="I61" s="849">
        <v>0</v>
      </c>
      <c r="J61" s="849">
        <v>0</v>
      </c>
      <c r="K61" s="846">
        <f t="shared" si="4"/>
        <v>0</v>
      </c>
      <c r="L61" s="849">
        <v>0</v>
      </c>
      <c r="M61" s="849">
        <v>0</v>
      </c>
      <c r="N61" s="849">
        <v>0</v>
      </c>
    </row>
    <row r="62" spans="1:14" x14ac:dyDescent="0.2">
      <c r="A62" s="380">
        <v>52</v>
      </c>
      <c r="B62" s="398" t="s">
        <v>117</v>
      </c>
      <c r="C62" s="399" t="s">
        <v>118</v>
      </c>
      <c r="D62" s="846">
        <f t="shared" si="1"/>
        <v>99832</v>
      </c>
      <c r="E62" s="849">
        <v>0</v>
      </c>
      <c r="F62" s="849">
        <v>0</v>
      </c>
      <c r="G62" s="849">
        <v>25213</v>
      </c>
      <c r="H62" s="849">
        <v>72259</v>
      </c>
      <c r="I62" s="849">
        <v>1025</v>
      </c>
      <c r="J62" s="849">
        <v>439</v>
      </c>
      <c r="K62" s="846">
        <f t="shared" si="4"/>
        <v>896</v>
      </c>
      <c r="L62" s="849">
        <v>0</v>
      </c>
      <c r="M62" s="849">
        <v>896</v>
      </c>
      <c r="N62" s="849">
        <v>0</v>
      </c>
    </row>
    <row r="63" spans="1:14" x14ac:dyDescent="0.2">
      <c r="A63" s="2">
        <v>53</v>
      </c>
      <c r="B63" s="398" t="s">
        <v>119</v>
      </c>
      <c r="C63" s="399" t="s">
        <v>120</v>
      </c>
      <c r="D63" s="846">
        <f t="shared" si="1"/>
        <v>7472</v>
      </c>
      <c r="E63" s="849">
        <v>0</v>
      </c>
      <c r="F63" s="849">
        <v>0</v>
      </c>
      <c r="G63" s="849">
        <v>2882</v>
      </c>
      <c r="H63" s="849">
        <v>4590</v>
      </c>
      <c r="I63" s="849">
        <v>0</v>
      </c>
      <c r="J63" s="849">
        <v>0</v>
      </c>
      <c r="K63" s="846">
        <f t="shared" si="4"/>
        <v>0</v>
      </c>
      <c r="L63" s="849">
        <v>0</v>
      </c>
      <c r="M63" s="849">
        <v>0</v>
      </c>
      <c r="N63" s="849">
        <v>0</v>
      </c>
    </row>
    <row r="64" spans="1:14" x14ac:dyDescent="0.2">
      <c r="A64" s="380">
        <v>54</v>
      </c>
      <c r="B64" s="398" t="s">
        <v>121</v>
      </c>
      <c r="C64" s="399" t="s">
        <v>122</v>
      </c>
      <c r="D64" s="846">
        <f t="shared" si="1"/>
        <v>0</v>
      </c>
      <c r="E64" s="849">
        <v>0</v>
      </c>
      <c r="F64" s="849">
        <v>0</v>
      </c>
      <c r="G64" s="849">
        <v>0</v>
      </c>
      <c r="H64" s="849">
        <v>0</v>
      </c>
      <c r="I64" s="849">
        <v>0</v>
      </c>
      <c r="J64" s="849">
        <v>0</v>
      </c>
      <c r="K64" s="846">
        <f t="shared" si="4"/>
        <v>0</v>
      </c>
      <c r="L64" s="849">
        <v>0</v>
      </c>
      <c r="M64" s="849">
        <v>0</v>
      </c>
      <c r="N64" s="849">
        <v>0</v>
      </c>
    </row>
    <row r="65" spans="1:14" x14ac:dyDescent="0.2">
      <c r="A65" s="2">
        <v>55</v>
      </c>
      <c r="B65" s="398" t="s">
        <v>123</v>
      </c>
      <c r="C65" s="399" t="s">
        <v>124</v>
      </c>
      <c r="D65" s="846">
        <f t="shared" si="1"/>
        <v>0</v>
      </c>
      <c r="E65" s="849">
        <v>0</v>
      </c>
      <c r="F65" s="849">
        <v>0</v>
      </c>
      <c r="G65" s="849">
        <v>0</v>
      </c>
      <c r="H65" s="849">
        <v>0</v>
      </c>
      <c r="I65" s="849">
        <v>0</v>
      </c>
      <c r="J65" s="849">
        <v>0</v>
      </c>
      <c r="K65" s="846">
        <f t="shared" si="4"/>
        <v>0</v>
      </c>
      <c r="L65" s="849">
        <v>0</v>
      </c>
      <c r="M65" s="849">
        <v>0</v>
      </c>
      <c r="N65" s="849">
        <v>0</v>
      </c>
    </row>
    <row r="66" spans="1:14" x14ac:dyDescent="0.2">
      <c r="A66" s="380">
        <v>56</v>
      </c>
      <c r="B66" s="401" t="s">
        <v>125</v>
      </c>
      <c r="C66" s="50" t="s">
        <v>126</v>
      </c>
      <c r="D66" s="846">
        <f t="shared" si="1"/>
        <v>0</v>
      </c>
      <c r="E66" s="849">
        <v>0</v>
      </c>
      <c r="F66" s="849">
        <v>0</v>
      </c>
      <c r="G66" s="849">
        <v>0</v>
      </c>
      <c r="H66" s="849">
        <v>0</v>
      </c>
      <c r="I66" s="849">
        <v>0</v>
      </c>
      <c r="J66" s="849">
        <v>0</v>
      </c>
      <c r="K66" s="846">
        <f t="shared" si="4"/>
        <v>0</v>
      </c>
      <c r="L66" s="849">
        <v>0</v>
      </c>
      <c r="M66" s="849">
        <v>0</v>
      </c>
      <c r="N66" s="849">
        <v>0</v>
      </c>
    </row>
    <row r="67" spans="1:14" x14ac:dyDescent="0.2">
      <c r="A67" s="2">
        <v>57</v>
      </c>
      <c r="B67" s="398" t="s">
        <v>127</v>
      </c>
      <c r="C67" s="399" t="s">
        <v>128</v>
      </c>
      <c r="D67" s="846">
        <f t="shared" si="1"/>
        <v>61210</v>
      </c>
      <c r="E67" s="849">
        <v>0</v>
      </c>
      <c r="F67" s="849">
        <v>0</v>
      </c>
      <c r="G67" s="849">
        <v>3000</v>
      </c>
      <c r="H67" s="849">
        <v>56425</v>
      </c>
      <c r="I67" s="849">
        <v>0</v>
      </c>
      <c r="J67" s="849">
        <v>0</v>
      </c>
      <c r="K67" s="846">
        <f t="shared" si="4"/>
        <v>1785</v>
      </c>
      <c r="L67" s="849">
        <v>0</v>
      </c>
      <c r="M67" s="849">
        <v>1785</v>
      </c>
      <c r="N67" s="849">
        <v>0</v>
      </c>
    </row>
    <row r="68" spans="1:14" x14ac:dyDescent="0.2">
      <c r="A68" s="380">
        <v>58</v>
      </c>
      <c r="B68" s="397" t="s">
        <v>129</v>
      </c>
      <c r="C68" s="399" t="s">
        <v>130</v>
      </c>
      <c r="D68" s="846">
        <f t="shared" si="1"/>
        <v>54395</v>
      </c>
      <c r="E68" s="849">
        <v>0</v>
      </c>
      <c r="F68" s="849">
        <v>0</v>
      </c>
      <c r="G68" s="849">
        <v>1360</v>
      </c>
      <c r="H68" s="849">
        <v>53035</v>
      </c>
      <c r="I68" s="849">
        <v>0</v>
      </c>
      <c r="J68" s="849">
        <v>0</v>
      </c>
      <c r="K68" s="846">
        <f t="shared" si="4"/>
        <v>0</v>
      </c>
      <c r="L68" s="849">
        <v>0</v>
      </c>
      <c r="M68" s="849">
        <v>0</v>
      </c>
      <c r="N68" s="849">
        <v>0</v>
      </c>
    </row>
    <row r="69" spans="1:14" x14ac:dyDescent="0.2">
      <c r="A69" s="2">
        <v>59</v>
      </c>
      <c r="B69" s="400" t="s">
        <v>131</v>
      </c>
      <c r="C69" s="50" t="s">
        <v>132</v>
      </c>
      <c r="D69" s="846">
        <f t="shared" si="1"/>
        <v>71864</v>
      </c>
      <c r="E69" s="849">
        <v>0</v>
      </c>
      <c r="F69" s="849">
        <v>0</v>
      </c>
      <c r="G69" s="849">
        <v>8400</v>
      </c>
      <c r="H69" s="849">
        <v>63464</v>
      </c>
      <c r="I69" s="849">
        <v>0</v>
      </c>
      <c r="J69" s="849">
        <v>0</v>
      </c>
      <c r="K69" s="846">
        <f t="shared" si="4"/>
        <v>0</v>
      </c>
      <c r="L69" s="849">
        <v>0</v>
      </c>
      <c r="M69" s="849">
        <v>0</v>
      </c>
      <c r="N69" s="849">
        <v>0</v>
      </c>
    </row>
    <row r="70" spans="1:14" x14ac:dyDescent="0.2">
      <c r="A70" s="380">
        <v>60</v>
      </c>
      <c r="B70" s="397" t="s">
        <v>133</v>
      </c>
      <c r="C70" s="399" t="s">
        <v>134</v>
      </c>
      <c r="D70" s="846">
        <f t="shared" si="1"/>
        <v>77238</v>
      </c>
      <c r="E70" s="849">
        <v>0</v>
      </c>
      <c r="F70" s="849">
        <v>0</v>
      </c>
      <c r="G70" s="849">
        <v>11227</v>
      </c>
      <c r="H70" s="849">
        <v>66011</v>
      </c>
      <c r="I70" s="849">
        <v>0</v>
      </c>
      <c r="J70" s="849">
        <v>0</v>
      </c>
      <c r="K70" s="846">
        <f t="shared" si="4"/>
        <v>0</v>
      </c>
      <c r="L70" s="849">
        <v>0</v>
      </c>
      <c r="M70" s="849">
        <v>0</v>
      </c>
      <c r="N70" s="849">
        <v>0</v>
      </c>
    </row>
    <row r="71" spans="1:14" ht="24" x14ac:dyDescent="0.2">
      <c r="A71" s="2">
        <v>61</v>
      </c>
      <c r="B71" s="398" t="s">
        <v>135</v>
      </c>
      <c r="C71" s="399" t="s">
        <v>136</v>
      </c>
      <c r="D71" s="846">
        <f t="shared" si="1"/>
        <v>43629</v>
      </c>
      <c r="E71" s="849">
        <v>0</v>
      </c>
      <c r="F71" s="849">
        <v>0</v>
      </c>
      <c r="G71" s="849">
        <v>3877</v>
      </c>
      <c r="H71" s="849">
        <v>39752</v>
      </c>
      <c r="I71" s="849">
        <v>0</v>
      </c>
      <c r="J71" s="849">
        <v>0</v>
      </c>
      <c r="K71" s="846">
        <f t="shared" si="4"/>
        <v>0</v>
      </c>
      <c r="L71" s="849">
        <v>0</v>
      </c>
      <c r="M71" s="849">
        <v>0</v>
      </c>
      <c r="N71" s="849">
        <v>0</v>
      </c>
    </row>
    <row r="72" spans="1:14" ht="24" x14ac:dyDescent="0.2">
      <c r="A72" s="380">
        <v>62</v>
      </c>
      <c r="B72" s="395" t="s">
        <v>137</v>
      </c>
      <c r="C72" s="399" t="s">
        <v>138</v>
      </c>
      <c r="D72" s="846">
        <f t="shared" si="1"/>
        <v>35736</v>
      </c>
      <c r="E72" s="849">
        <v>35736</v>
      </c>
      <c r="F72" s="849">
        <v>0</v>
      </c>
      <c r="G72" s="849">
        <v>0</v>
      </c>
      <c r="H72" s="849">
        <v>0</v>
      </c>
      <c r="I72" s="849">
        <v>0</v>
      </c>
      <c r="J72" s="849">
        <v>0</v>
      </c>
      <c r="K72" s="846">
        <f t="shared" si="4"/>
        <v>0</v>
      </c>
      <c r="L72" s="849">
        <v>0</v>
      </c>
      <c r="M72" s="849">
        <v>0</v>
      </c>
      <c r="N72" s="849">
        <v>0</v>
      </c>
    </row>
    <row r="73" spans="1:14" ht="24" x14ac:dyDescent="0.2">
      <c r="A73" s="2">
        <v>63</v>
      </c>
      <c r="B73" s="395" t="s">
        <v>139</v>
      </c>
      <c r="C73" s="399" t="s">
        <v>140</v>
      </c>
      <c r="D73" s="846">
        <f t="shared" ref="D73:D136" si="5">E73+G73+H73+I73+J73+K73</f>
        <v>15383</v>
      </c>
      <c r="E73" s="849">
        <v>15383</v>
      </c>
      <c r="F73" s="849">
        <v>0</v>
      </c>
      <c r="G73" s="849">
        <v>0</v>
      </c>
      <c r="H73" s="849">
        <v>0</v>
      </c>
      <c r="I73" s="849">
        <v>0</v>
      </c>
      <c r="J73" s="849">
        <v>0</v>
      </c>
      <c r="K73" s="846">
        <f t="shared" si="4"/>
        <v>0</v>
      </c>
      <c r="L73" s="849">
        <v>0</v>
      </c>
      <c r="M73" s="849">
        <v>0</v>
      </c>
      <c r="N73" s="849">
        <v>0</v>
      </c>
    </row>
    <row r="74" spans="1:14" x14ac:dyDescent="0.2">
      <c r="A74" s="380">
        <v>64</v>
      </c>
      <c r="B74" s="397" t="s">
        <v>141</v>
      </c>
      <c r="C74" s="399" t="s">
        <v>142</v>
      </c>
      <c r="D74" s="846">
        <f t="shared" si="5"/>
        <v>50302</v>
      </c>
      <c r="E74" s="849">
        <v>0</v>
      </c>
      <c r="F74" s="849">
        <v>0</v>
      </c>
      <c r="G74" s="849">
        <v>14749</v>
      </c>
      <c r="H74" s="849">
        <v>34089</v>
      </c>
      <c r="I74" s="849">
        <v>1025</v>
      </c>
      <c r="J74" s="849">
        <v>439</v>
      </c>
      <c r="K74" s="846">
        <f t="shared" si="4"/>
        <v>0</v>
      </c>
      <c r="L74" s="849">
        <v>0</v>
      </c>
      <c r="M74" s="849">
        <v>0</v>
      </c>
      <c r="N74" s="849">
        <v>0</v>
      </c>
    </row>
    <row r="75" spans="1:14" x14ac:dyDescent="0.2">
      <c r="A75" s="2">
        <v>65</v>
      </c>
      <c r="B75" s="397" t="s">
        <v>143</v>
      </c>
      <c r="C75" s="396" t="s">
        <v>144</v>
      </c>
      <c r="D75" s="846">
        <f t="shared" si="5"/>
        <v>9878</v>
      </c>
      <c r="E75" s="849">
        <v>0</v>
      </c>
      <c r="F75" s="849">
        <v>0</v>
      </c>
      <c r="G75" s="849">
        <v>2998</v>
      </c>
      <c r="H75" s="849">
        <v>5416</v>
      </c>
      <c r="I75" s="849">
        <v>1025</v>
      </c>
      <c r="J75" s="849">
        <v>439</v>
      </c>
      <c r="K75" s="846">
        <f t="shared" si="4"/>
        <v>0</v>
      </c>
      <c r="L75" s="849">
        <v>0</v>
      </c>
      <c r="M75" s="849">
        <v>0</v>
      </c>
      <c r="N75" s="849">
        <v>0</v>
      </c>
    </row>
    <row r="76" spans="1:14" x14ac:dyDescent="0.2">
      <c r="A76" s="380">
        <v>66</v>
      </c>
      <c r="B76" s="397" t="s">
        <v>145</v>
      </c>
      <c r="C76" s="399" t="s">
        <v>146</v>
      </c>
      <c r="D76" s="846">
        <f t="shared" si="5"/>
        <v>33956</v>
      </c>
      <c r="E76" s="849">
        <v>0</v>
      </c>
      <c r="F76" s="849">
        <v>0</v>
      </c>
      <c r="G76" s="849">
        <v>16043</v>
      </c>
      <c r="H76" s="849">
        <v>16449</v>
      </c>
      <c r="I76" s="849">
        <v>1025</v>
      </c>
      <c r="J76" s="849">
        <v>439</v>
      </c>
      <c r="K76" s="846">
        <f t="shared" si="4"/>
        <v>0</v>
      </c>
      <c r="L76" s="849">
        <v>0</v>
      </c>
      <c r="M76" s="849">
        <v>0</v>
      </c>
      <c r="N76" s="849">
        <v>0</v>
      </c>
    </row>
    <row r="77" spans="1:14" ht="24" x14ac:dyDescent="0.2">
      <c r="A77" s="2">
        <v>67</v>
      </c>
      <c r="B77" s="397" t="s">
        <v>147</v>
      </c>
      <c r="C77" s="399" t="s">
        <v>148</v>
      </c>
      <c r="D77" s="846">
        <f t="shared" si="5"/>
        <v>1989</v>
      </c>
      <c r="E77" s="849">
        <v>1989</v>
      </c>
      <c r="F77" s="849">
        <v>0</v>
      </c>
      <c r="G77" s="849">
        <v>0</v>
      </c>
      <c r="H77" s="849">
        <v>0</v>
      </c>
      <c r="I77" s="849">
        <v>0</v>
      </c>
      <c r="J77" s="849">
        <v>0</v>
      </c>
      <c r="K77" s="846">
        <f t="shared" si="4"/>
        <v>0</v>
      </c>
      <c r="L77" s="849">
        <v>0</v>
      </c>
      <c r="M77" s="849">
        <v>0</v>
      </c>
      <c r="N77" s="849">
        <v>0</v>
      </c>
    </row>
    <row r="78" spans="1:14" ht="24" x14ac:dyDescent="0.2">
      <c r="A78" s="380">
        <v>68</v>
      </c>
      <c r="B78" s="395" t="s">
        <v>149</v>
      </c>
      <c r="C78" s="399" t="s">
        <v>150</v>
      </c>
      <c r="D78" s="846">
        <f t="shared" si="5"/>
        <v>3730</v>
      </c>
      <c r="E78" s="849">
        <v>3730</v>
      </c>
      <c r="F78" s="849">
        <v>0</v>
      </c>
      <c r="G78" s="849">
        <v>0</v>
      </c>
      <c r="H78" s="849">
        <v>0</v>
      </c>
      <c r="I78" s="849">
        <v>0</v>
      </c>
      <c r="J78" s="849">
        <v>0</v>
      </c>
      <c r="K78" s="846">
        <f t="shared" ref="K78:K141" si="6">L78+M78</f>
        <v>0</v>
      </c>
      <c r="L78" s="849">
        <v>0</v>
      </c>
      <c r="M78" s="849">
        <v>0</v>
      </c>
      <c r="N78" s="849">
        <v>0</v>
      </c>
    </row>
    <row r="79" spans="1:14" ht="24" x14ac:dyDescent="0.2">
      <c r="A79" s="2">
        <v>69</v>
      </c>
      <c r="B79" s="397" t="s">
        <v>151</v>
      </c>
      <c r="C79" s="399" t="s">
        <v>152</v>
      </c>
      <c r="D79" s="846">
        <f t="shared" si="5"/>
        <v>3503</v>
      </c>
      <c r="E79" s="849">
        <v>3503</v>
      </c>
      <c r="F79" s="849">
        <v>0</v>
      </c>
      <c r="G79" s="849">
        <v>0</v>
      </c>
      <c r="H79" s="849">
        <v>0</v>
      </c>
      <c r="I79" s="849">
        <v>0</v>
      </c>
      <c r="J79" s="849">
        <v>0</v>
      </c>
      <c r="K79" s="846">
        <f t="shared" si="6"/>
        <v>0</v>
      </c>
      <c r="L79" s="849">
        <v>0</v>
      </c>
      <c r="M79" s="849">
        <v>0</v>
      </c>
      <c r="N79" s="849">
        <v>0</v>
      </c>
    </row>
    <row r="80" spans="1:14" ht="24" x14ac:dyDescent="0.2">
      <c r="A80" s="380">
        <v>70</v>
      </c>
      <c r="B80" s="397" t="s">
        <v>153</v>
      </c>
      <c r="C80" s="399" t="s">
        <v>154</v>
      </c>
      <c r="D80" s="846">
        <f t="shared" si="5"/>
        <v>2599</v>
      </c>
      <c r="E80" s="849">
        <v>2599</v>
      </c>
      <c r="F80" s="849">
        <v>0</v>
      </c>
      <c r="G80" s="849">
        <v>0</v>
      </c>
      <c r="H80" s="849">
        <v>0</v>
      </c>
      <c r="I80" s="849">
        <v>0</v>
      </c>
      <c r="J80" s="849">
        <v>0</v>
      </c>
      <c r="K80" s="846">
        <f t="shared" si="6"/>
        <v>0</v>
      </c>
      <c r="L80" s="849">
        <v>0</v>
      </c>
      <c r="M80" s="849">
        <v>0</v>
      </c>
      <c r="N80" s="849">
        <v>0</v>
      </c>
    </row>
    <row r="81" spans="1:14" ht="24" x14ac:dyDescent="0.2">
      <c r="A81" s="2">
        <v>71</v>
      </c>
      <c r="B81" s="395" t="s">
        <v>155</v>
      </c>
      <c r="C81" s="399" t="s">
        <v>156</v>
      </c>
      <c r="D81" s="846">
        <f t="shared" si="5"/>
        <v>14591</v>
      </c>
      <c r="E81" s="849">
        <v>14591</v>
      </c>
      <c r="F81" s="849">
        <v>0</v>
      </c>
      <c r="G81" s="849">
        <v>0</v>
      </c>
      <c r="H81" s="849">
        <v>0</v>
      </c>
      <c r="I81" s="849">
        <v>0</v>
      </c>
      <c r="J81" s="849">
        <v>0</v>
      </c>
      <c r="K81" s="846">
        <f t="shared" si="6"/>
        <v>0</v>
      </c>
      <c r="L81" s="849">
        <v>0</v>
      </c>
      <c r="M81" s="849">
        <v>0</v>
      </c>
      <c r="N81" s="849">
        <v>0</v>
      </c>
    </row>
    <row r="82" spans="1:14" ht="24" x14ac:dyDescent="0.2">
      <c r="A82" s="380">
        <v>72</v>
      </c>
      <c r="B82" s="395" t="s">
        <v>157</v>
      </c>
      <c r="C82" s="399" t="s">
        <v>158</v>
      </c>
      <c r="D82" s="846">
        <f t="shared" si="5"/>
        <v>2405</v>
      </c>
      <c r="E82" s="849">
        <v>2405</v>
      </c>
      <c r="F82" s="849">
        <v>0</v>
      </c>
      <c r="G82" s="849">
        <v>0</v>
      </c>
      <c r="H82" s="849">
        <v>0</v>
      </c>
      <c r="I82" s="849">
        <v>0</v>
      </c>
      <c r="J82" s="849">
        <v>0</v>
      </c>
      <c r="K82" s="846">
        <f t="shared" si="6"/>
        <v>0</v>
      </c>
      <c r="L82" s="849">
        <v>0</v>
      </c>
      <c r="M82" s="849">
        <v>0</v>
      </c>
      <c r="N82" s="849">
        <v>0</v>
      </c>
    </row>
    <row r="83" spans="1:14" ht="24" x14ac:dyDescent="0.2">
      <c r="A83" s="2">
        <v>73</v>
      </c>
      <c r="B83" s="395" t="s">
        <v>159</v>
      </c>
      <c r="C83" s="399" t="s">
        <v>160</v>
      </c>
      <c r="D83" s="846">
        <f t="shared" si="5"/>
        <v>4786</v>
      </c>
      <c r="E83" s="849">
        <v>4786</v>
      </c>
      <c r="F83" s="849">
        <v>0</v>
      </c>
      <c r="G83" s="849">
        <v>0</v>
      </c>
      <c r="H83" s="849">
        <v>0</v>
      </c>
      <c r="I83" s="849">
        <v>0</v>
      </c>
      <c r="J83" s="849">
        <v>0</v>
      </c>
      <c r="K83" s="846">
        <f t="shared" si="6"/>
        <v>0</v>
      </c>
      <c r="L83" s="849">
        <v>0</v>
      </c>
      <c r="M83" s="849">
        <v>0</v>
      </c>
      <c r="N83" s="849">
        <v>0</v>
      </c>
    </row>
    <row r="84" spans="1:14" x14ac:dyDescent="0.2">
      <c r="A84" s="380">
        <v>74</v>
      </c>
      <c r="B84" s="398" t="s">
        <v>161</v>
      </c>
      <c r="C84" s="399" t="s">
        <v>162</v>
      </c>
      <c r="D84" s="846">
        <f t="shared" si="5"/>
        <v>56475</v>
      </c>
      <c r="E84" s="849">
        <v>0</v>
      </c>
      <c r="F84" s="849">
        <v>0</v>
      </c>
      <c r="G84" s="849">
        <v>8821</v>
      </c>
      <c r="H84" s="849">
        <v>47654</v>
      </c>
      <c r="I84" s="849">
        <v>0</v>
      </c>
      <c r="J84" s="849">
        <v>0</v>
      </c>
      <c r="K84" s="846">
        <f t="shared" si="6"/>
        <v>0</v>
      </c>
      <c r="L84" s="849">
        <v>0</v>
      </c>
      <c r="M84" s="849">
        <v>0</v>
      </c>
      <c r="N84" s="849">
        <v>0</v>
      </c>
    </row>
    <row r="85" spans="1:14" x14ac:dyDescent="0.2">
      <c r="A85" s="2">
        <v>75</v>
      </c>
      <c r="B85" s="395" t="s">
        <v>163</v>
      </c>
      <c r="C85" s="399" t="s">
        <v>164</v>
      </c>
      <c r="D85" s="846">
        <f t="shared" si="5"/>
        <v>55643</v>
      </c>
      <c r="E85" s="849">
        <v>0</v>
      </c>
      <c r="F85" s="849">
        <v>0</v>
      </c>
      <c r="G85" s="849">
        <v>28723</v>
      </c>
      <c r="H85" s="849">
        <v>20054</v>
      </c>
      <c r="I85" s="849">
        <v>3075</v>
      </c>
      <c r="J85" s="849">
        <v>1317</v>
      </c>
      <c r="K85" s="846">
        <f t="shared" si="6"/>
        <v>2474</v>
      </c>
      <c r="L85" s="849">
        <v>0</v>
      </c>
      <c r="M85" s="849">
        <v>2474</v>
      </c>
      <c r="N85" s="849">
        <v>0</v>
      </c>
    </row>
    <row r="86" spans="1:14" x14ac:dyDescent="0.2">
      <c r="A86" s="380">
        <v>76</v>
      </c>
      <c r="B86" s="398" t="s">
        <v>165</v>
      </c>
      <c r="C86" s="399" t="s">
        <v>166</v>
      </c>
      <c r="D86" s="846">
        <f t="shared" si="5"/>
        <v>27786</v>
      </c>
      <c r="E86" s="849">
        <v>0</v>
      </c>
      <c r="F86" s="849">
        <v>0</v>
      </c>
      <c r="G86" s="849">
        <v>11117</v>
      </c>
      <c r="H86" s="849">
        <v>15205</v>
      </c>
      <c r="I86" s="849">
        <v>1025</v>
      </c>
      <c r="J86" s="849">
        <v>439</v>
      </c>
      <c r="K86" s="846">
        <f t="shared" si="6"/>
        <v>0</v>
      </c>
      <c r="L86" s="849">
        <v>0</v>
      </c>
      <c r="M86" s="849">
        <v>0</v>
      </c>
      <c r="N86" s="849">
        <v>0</v>
      </c>
    </row>
    <row r="87" spans="1:14" x14ac:dyDescent="0.2">
      <c r="A87" s="2">
        <v>77</v>
      </c>
      <c r="B87" s="400" t="s">
        <v>167</v>
      </c>
      <c r="C87" s="50" t="s">
        <v>168</v>
      </c>
      <c r="D87" s="846">
        <f t="shared" si="5"/>
        <v>10614</v>
      </c>
      <c r="E87" s="849">
        <v>0</v>
      </c>
      <c r="F87" s="849">
        <v>0</v>
      </c>
      <c r="G87" s="849">
        <v>1604</v>
      </c>
      <c r="H87" s="849">
        <v>9010</v>
      </c>
      <c r="I87" s="849">
        <v>0</v>
      </c>
      <c r="J87" s="849">
        <v>0</v>
      </c>
      <c r="K87" s="846">
        <f t="shared" si="6"/>
        <v>0</v>
      </c>
      <c r="L87" s="849">
        <v>0</v>
      </c>
      <c r="M87" s="849">
        <v>0</v>
      </c>
      <c r="N87" s="849">
        <v>0</v>
      </c>
    </row>
    <row r="88" spans="1:14" x14ac:dyDescent="0.2">
      <c r="A88" s="380">
        <v>78</v>
      </c>
      <c r="B88" s="395" t="s">
        <v>169</v>
      </c>
      <c r="C88" s="399" t="s">
        <v>170</v>
      </c>
      <c r="D88" s="846">
        <f t="shared" si="5"/>
        <v>72510</v>
      </c>
      <c r="E88" s="849">
        <v>0</v>
      </c>
      <c r="F88" s="849">
        <v>0</v>
      </c>
      <c r="G88" s="849">
        <v>28969</v>
      </c>
      <c r="H88" s="849">
        <v>18544</v>
      </c>
      <c r="I88" s="849">
        <v>2050</v>
      </c>
      <c r="J88" s="849">
        <v>878</v>
      </c>
      <c r="K88" s="846">
        <f t="shared" si="6"/>
        <v>22069</v>
      </c>
      <c r="L88" s="849">
        <v>12338</v>
      </c>
      <c r="M88" s="849">
        <v>9731</v>
      </c>
      <c r="N88" s="849">
        <v>0</v>
      </c>
    </row>
    <row r="89" spans="1:14" x14ac:dyDescent="0.2">
      <c r="A89" s="2">
        <v>79</v>
      </c>
      <c r="B89" s="400" t="s">
        <v>171</v>
      </c>
      <c r="C89" s="50" t="s">
        <v>172</v>
      </c>
      <c r="D89" s="846">
        <f t="shared" si="5"/>
        <v>60400</v>
      </c>
      <c r="E89" s="849">
        <v>0</v>
      </c>
      <c r="F89" s="849">
        <v>0</v>
      </c>
      <c r="G89" s="849">
        <v>3970</v>
      </c>
      <c r="H89" s="849">
        <v>56430</v>
      </c>
      <c r="I89" s="849">
        <v>0</v>
      </c>
      <c r="J89" s="849">
        <v>0</v>
      </c>
      <c r="K89" s="846">
        <f t="shared" si="6"/>
        <v>0</v>
      </c>
      <c r="L89" s="849">
        <v>0</v>
      </c>
      <c r="M89" s="849">
        <v>0</v>
      </c>
      <c r="N89" s="849">
        <v>0</v>
      </c>
    </row>
    <row r="90" spans="1:14" x14ac:dyDescent="0.2">
      <c r="A90" s="380">
        <v>80</v>
      </c>
      <c r="B90" s="395" t="s">
        <v>173</v>
      </c>
      <c r="C90" s="399" t="s">
        <v>174</v>
      </c>
      <c r="D90" s="846">
        <f t="shared" si="5"/>
        <v>27194</v>
      </c>
      <c r="E90" s="849">
        <v>0</v>
      </c>
      <c r="F90" s="849">
        <v>0</v>
      </c>
      <c r="G90" s="849">
        <v>15287</v>
      </c>
      <c r="H90" s="849">
        <v>8907</v>
      </c>
      <c r="I90" s="849">
        <v>0</v>
      </c>
      <c r="J90" s="849">
        <v>0</v>
      </c>
      <c r="K90" s="846">
        <f t="shared" si="6"/>
        <v>3000</v>
      </c>
      <c r="L90" s="849">
        <v>0</v>
      </c>
      <c r="M90" s="849">
        <v>3000</v>
      </c>
      <c r="N90" s="849">
        <v>0</v>
      </c>
    </row>
    <row r="91" spans="1:14" x14ac:dyDescent="0.2">
      <c r="A91" s="2">
        <v>81</v>
      </c>
      <c r="B91" s="400" t="s">
        <v>175</v>
      </c>
      <c r="C91" s="50" t="s">
        <v>749</v>
      </c>
      <c r="D91" s="846">
        <f t="shared" si="5"/>
        <v>14229</v>
      </c>
      <c r="E91" s="849">
        <v>14229</v>
      </c>
      <c r="F91" s="849">
        <v>0</v>
      </c>
      <c r="G91" s="849">
        <v>0</v>
      </c>
      <c r="H91" s="849">
        <v>0</v>
      </c>
      <c r="I91" s="849">
        <v>0</v>
      </c>
      <c r="J91" s="849">
        <v>0</v>
      </c>
      <c r="K91" s="846">
        <f t="shared" si="6"/>
        <v>0</v>
      </c>
      <c r="L91" s="849">
        <v>0</v>
      </c>
      <c r="M91" s="849">
        <v>0</v>
      </c>
      <c r="N91" s="849">
        <v>0</v>
      </c>
    </row>
    <row r="92" spans="1:14" x14ac:dyDescent="0.2">
      <c r="A92" s="380">
        <v>82</v>
      </c>
      <c r="B92" s="397" t="s">
        <v>177</v>
      </c>
      <c r="C92" s="399" t="s">
        <v>358</v>
      </c>
      <c r="D92" s="846">
        <f t="shared" si="5"/>
        <v>0</v>
      </c>
      <c r="E92" s="849">
        <v>0</v>
      </c>
      <c r="F92" s="849">
        <v>0</v>
      </c>
      <c r="G92" s="849">
        <v>0</v>
      </c>
      <c r="H92" s="849">
        <v>0</v>
      </c>
      <c r="I92" s="849">
        <v>0</v>
      </c>
      <c r="J92" s="849">
        <v>0</v>
      </c>
      <c r="K92" s="846">
        <f t="shared" si="6"/>
        <v>0</v>
      </c>
      <c r="L92" s="849">
        <v>0</v>
      </c>
      <c r="M92" s="849">
        <v>0</v>
      </c>
      <c r="N92" s="849">
        <v>0</v>
      </c>
    </row>
    <row r="93" spans="1:14" ht="36" x14ac:dyDescent="0.2">
      <c r="A93" s="978">
        <v>83</v>
      </c>
      <c r="B93" s="993" t="s">
        <v>178</v>
      </c>
      <c r="C93" s="1" t="s">
        <v>747</v>
      </c>
      <c r="D93" s="846">
        <f t="shared" si="5"/>
        <v>11376</v>
      </c>
      <c r="E93" s="849">
        <v>0</v>
      </c>
      <c r="F93" s="849">
        <v>0</v>
      </c>
      <c r="G93" s="849">
        <v>1265</v>
      </c>
      <c r="H93" s="849">
        <v>3575</v>
      </c>
      <c r="I93" s="849">
        <v>0</v>
      </c>
      <c r="J93" s="849">
        <v>0</v>
      </c>
      <c r="K93" s="846">
        <f t="shared" si="6"/>
        <v>6536</v>
      </c>
      <c r="L93" s="849">
        <v>0</v>
      </c>
      <c r="M93" s="849">
        <v>6536</v>
      </c>
      <c r="N93" s="849">
        <v>0</v>
      </c>
    </row>
    <row r="94" spans="1:14" ht="24" x14ac:dyDescent="0.2">
      <c r="A94" s="979"/>
      <c r="B94" s="994"/>
      <c r="C94" s="399" t="s">
        <v>180</v>
      </c>
      <c r="D94" s="846">
        <f t="shared" si="5"/>
        <v>3600</v>
      </c>
      <c r="E94" s="849">
        <v>3600</v>
      </c>
      <c r="F94" s="849">
        <v>0</v>
      </c>
      <c r="G94" s="849">
        <v>0</v>
      </c>
      <c r="H94" s="849">
        <v>0</v>
      </c>
      <c r="I94" s="849">
        <v>0</v>
      </c>
      <c r="J94" s="849">
        <v>0</v>
      </c>
      <c r="K94" s="846">
        <f t="shared" si="6"/>
        <v>0</v>
      </c>
      <c r="L94" s="849">
        <v>0</v>
      </c>
      <c r="M94" s="849">
        <v>0</v>
      </c>
      <c r="N94" s="849">
        <v>0</v>
      </c>
    </row>
    <row r="95" spans="1:14" ht="36" x14ac:dyDescent="0.2">
      <c r="A95" s="980"/>
      <c r="B95" s="995"/>
      <c r="C95" s="339" t="s">
        <v>509</v>
      </c>
      <c r="D95" s="846">
        <f t="shared" si="5"/>
        <v>8000</v>
      </c>
      <c r="E95" s="849">
        <v>0</v>
      </c>
      <c r="F95" s="849">
        <v>0</v>
      </c>
      <c r="G95" s="849">
        <v>0</v>
      </c>
      <c r="H95" s="849">
        <v>0</v>
      </c>
      <c r="I95" s="849">
        <v>0</v>
      </c>
      <c r="J95" s="849">
        <v>0</v>
      </c>
      <c r="K95" s="846">
        <f t="shared" si="6"/>
        <v>8000</v>
      </c>
      <c r="L95" s="849">
        <v>0</v>
      </c>
      <c r="M95" s="849">
        <v>8000</v>
      </c>
      <c r="N95" s="849"/>
    </row>
    <row r="96" spans="1:14" ht="24" x14ac:dyDescent="0.2">
      <c r="A96" s="380">
        <v>84</v>
      </c>
      <c r="B96" s="397" t="s">
        <v>181</v>
      </c>
      <c r="C96" s="396" t="s">
        <v>182</v>
      </c>
      <c r="D96" s="846">
        <f t="shared" si="5"/>
        <v>8400</v>
      </c>
      <c r="E96" s="849">
        <v>8400</v>
      </c>
      <c r="F96" s="849">
        <v>0</v>
      </c>
      <c r="G96" s="849">
        <v>0</v>
      </c>
      <c r="H96" s="849">
        <v>0</v>
      </c>
      <c r="I96" s="849">
        <v>0</v>
      </c>
      <c r="J96" s="849">
        <v>0</v>
      </c>
      <c r="K96" s="846">
        <f t="shared" si="6"/>
        <v>0</v>
      </c>
      <c r="L96" s="849">
        <v>0</v>
      </c>
      <c r="M96" s="849">
        <v>0</v>
      </c>
      <c r="N96" s="849">
        <v>0</v>
      </c>
    </row>
    <row r="97" spans="1:14" x14ac:dyDescent="0.2">
      <c r="A97" s="380">
        <v>85</v>
      </c>
      <c r="B97" s="397" t="s">
        <v>183</v>
      </c>
      <c r="C97" s="50" t="s">
        <v>184</v>
      </c>
      <c r="D97" s="846">
        <f t="shared" si="5"/>
        <v>5613</v>
      </c>
      <c r="E97" s="849">
        <v>0</v>
      </c>
      <c r="F97" s="849">
        <v>0</v>
      </c>
      <c r="G97" s="849">
        <v>1650</v>
      </c>
      <c r="H97" s="849">
        <v>3963</v>
      </c>
      <c r="I97" s="849">
        <v>0</v>
      </c>
      <c r="J97" s="849">
        <v>0</v>
      </c>
      <c r="K97" s="846">
        <f t="shared" si="6"/>
        <v>0</v>
      </c>
      <c r="L97" s="849">
        <v>0</v>
      </c>
      <c r="M97" s="849">
        <v>0</v>
      </c>
      <c r="N97" s="849">
        <v>0</v>
      </c>
    </row>
    <row r="98" spans="1:14" x14ac:dyDescent="0.2">
      <c r="A98" s="380">
        <v>86</v>
      </c>
      <c r="B98" s="398" t="s">
        <v>185</v>
      </c>
      <c r="C98" s="399" t="s">
        <v>186</v>
      </c>
      <c r="D98" s="846">
        <f t="shared" si="5"/>
        <v>12505</v>
      </c>
      <c r="E98" s="849">
        <v>0</v>
      </c>
      <c r="F98" s="849">
        <v>0</v>
      </c>
      <c r="G98" s="849">
        <v>3355</v>
      </c>
      <c r="H98" s="849">
        <v>7685</v>
      </c>
      <c r="I98" s="849">
        <v>1026</v>
      </c>
      <c r="J98" s="849">
        <v>439</v>
      </c>
      <c r="K98" s="846">
        <f t="shared" si="6"/>
        <v>0</v>
      </c>
      <c r="L98" s="849">
        <v>0</v>
      </c>
      <c r="M98" s="849">
        <v>0</v>
      </c>
      <c r="N98" s="849">
        <v>0</v>
      </c>
    </row>
    <row r="99" spans="1:14" x14ac:dyDescent="0.2">
      <c r="A99" s="380">
        <v>87</v>
      </c>
      <c r="B99" s="397" t="s">
        <v>187</v>
      </c>
      <c r="C99" s="396" t="s">
        <v>188</v>
      </c>
      <c r="D99" s="846">
        <f t="shared" si="5"/>
        <v>13563</v>
      </c>
      <c r="E99" s="849">
        <v>0</v>
      </c>
      <c r="F99" s="849">
        <v>0</v>
      </c>
      <c r="G99" s="849">
        <v>2740</v>
      </c>
      <c r="H99" s="849">
        <v>10823</v>
      </c>
      <c r="I99" s="849">
        <v>0</v>
      </c>
      <c r="J99" s="849">
        <v>0</v>
      </c>
      <c r="K99" s="846">
        <f t="shared" si="6"/>
        <v>0</v>
      </c>
      <c r="L99" s="849">
        <v>0</v>
      </c>
      <c r="M99" s="849">
        <v>0</v>
      </c>
      <c r="N99" s="849">
        <v>0</v>
      </c>
    </row>
    <row r="100" spans="1:14" x14ac:dyDescent="0.2">
      <c r="A100" s="380">
        <v>88</v>
      </c>
      <c r="B100" s="398" t="s">
        <v>189</v>
      </c>
      <c r="C100" s="399" t="s">
        <v>190</v>
      </c>
      <c r="D100" s="846">
        <f t="shared" si="5"/>
        <v>11683</v>
      </c>
      <c r="E100" s="849">
        <v>0</v>
      </c>
      <c r="F100" s="849">
        <v>0</v>
      </c>
      <c r="G100" s="849">
        <v>1519</v>
      </c>
      <c r="H100" s="849">
        <v>10164</v>
      </c>
      <c r="I100" s="849">
        <v>0</v>
      </c>
      <c r="J100" s="849">
        <v>0</v>
      </c>
      <c r="K100" s="846">
        <f t="shared" si="6"/>
        <v>0</v>
      </c>
      <c r="L100" s="849">
        <v>0</v>
      </c>
      <c r="M100" s="849">
        <v>0</v>
      </c>
      <c r="N100" s="849">
        <v>0</v>
      </c>
    </row>
    <row r="101" spans="1:14" x14ac:dyDescent="0.2">
      <c r="A101" s="380">
        <v>89</v>
      </c>
      <c r="B101" s="398" t="s">
        <v>191</v>
      </c>
      <c r="C101" s="399" t="s">
        <v>192</v>
      </c>
      <c r="D101" s="846">
        <f t="shared" si="5"/>
        <v>32007</v>
      </c>
      <c r="E101" s="849">
        <v>0</v>
      </c>
      <c r="F101" s="849">
        <v>0</v>
      </c>
      <c r="G101" s="849">
        <v>11680</v>
      </c>
      <c r="H101" s="849">
        <v>20327</v>
      </c>
      <c r="I101" s="849">
        <v>0</v>
      </c>
      <c r="J101" s="849">
        <v>0</v>
      </c>
      <c r="K101" s="846">
        <f t="shared" si="6"/>
        <v>0</v>
      </c>
      <c r="L101" s="849">
        <v>0</v>
      </c>
      <c r="M101" s="849">
        <v>0</v>
      </c>
      <c r="N101" s="849">
        <v>0</v>
      </c>
    </row>
    <row r="102" spans="1:14" x14ac:dyDescent="0.2">
      <c r="A102" s="380">
        <v>90</v>
      </c>
      <c r="B102" s="397" t="s">
        <v>193</v>
      </c>
      <c r="C102" s="50" t="s">
        <v>194</v>
      </c>
      <c r="D102" s="846">
        <f t="shared" si="5"/>
        <v>10804</v>
      </c>
      <c r="E102" s="849">
        <v>0</v>
      </c>
      <c r="F102" s="849">
        <v>0</v>
      </c>
      <c r="G102" s="849">
        <v>2361</v>
      </c>
      <c r="H102" s="849">
        <v>6979</v>
      </c>
      <c r="I102" s="849">
        <v>1025</v>
      </c>
      <c r="J102" s="849">
        <v>439</v>
      </c>
      <c r="K102" s="846">
        <f t="shared" si="6"/>
        <v>0</v>
      </c>
      <c r="L102" s="849">
        <v>0</v>
      </c>
      <c r="M102" s="849">
        <v>0</v>
      </c>
      <c r="N102" s="849">
        <v>0</v>
      </c>
    </row>
    <row r="103" spans="1:14" x14ac:dyDescent="0.2">
      <c r="A103" s="380">
        <v>91</v>
      </c>
      <c r="B103" s="397" t="s">
        <v>195</v>
      </c>
      <c r="C103" s="396" t="s">
        <v>196</v>
      </c>
      <c r="D103" s="846">
        <f t="shared" si="5"/>
        <v>18589</v>
      </c>
      <c r="E103" s="849">
        <v>0</v>
      </c>
      <c r="F103" s="849">
        <v>0</v>
      </c>
      <c r="G103" s="849">
        <v>5156</v>
      </c>
      <c r="H103" s="849">
        <v>11969</v>
      </c>
      <c r="I103" s="849">
        <v>1025</v>
      </c>
      <c r="J103" s="849">
        <v>439</v>
      </c>
      <c r="K103" s="846">
        <f t="shared" si="6"/>
        <v>0</v>
      </c>
      <c r="L103" s="849">
        <v>0</v>
      </c>
      <c r="M103" s="849">
        <v>0</v>
      </c>
      <c r="N103" s="849">
        <v>0</v>
      </c>
    </row>
    <row r="104" spans="1:14" x14ac:dyDescent="0.2">
      <c r="A104" s="380">
        <v>92</v>
      </c>
      <c r="B104" s="395" t="s">
        <v>197</v>
      </c>
      <c r="C104" s="396" t="s">
        <v>198</v>
      </c>
      <c r="D104" s="846">
        <f t="shared" si="5"/>
        <v>43148</v>
      </c>
      <c r="E104" s="849">
        <v>0</v>
      </c>
      <c r="F104" s="849">
        <v>0</v>
      </c>
      <c r="G104" s="849">
        <v>2118</v>
      </c>
      <c r="H104" s="849">
        <v>40997</v>
      </c>
      <c r="I104" s="849">
        <v>0</v>
      </c>
      <c r="J104" s="849">
        <v>0</v>
      </c>
      <c r="K104" s="846">
        <f t="shared" si="6"/>
        <v>33</v>
      </c>
      <c r="L104" s="849">
        <v>0</v>
      </c>
      <c r="M104" s="849">
        <v>33</v>
      </c>
      <c r="N104" s="849">
        <v>0</v>
      </c>
    </row>
    <row r="105" spans="1:14" x14ac:dyDescent="0.2">
      <c r="A105" s="380">
        <v>93</v>
      </c>
      <c r="B105" s="395" t="s">
        <v>199</v>
      </c>
      <c r="C105" s="396" t="s">
        <v>200</v>
      </c>
      <c r="D105" s="846">
        <f t="shared" si="5"/>
        <v>33170</v>
      </c>
      <c r="E105" s="849">
        <v>0</v>
      </c>
      <c r="F105" s="849">
        <v>0</v>
      </c>
      <c r="G105" s="849">
        <v>9596</v>
      </c>
      <c r="H105" s="849">
        <v>23546</v>
      </c>
      <c r="I105" s="849">
        <v>0</v>
      </c>
      <c r="J105" s="849">
        <v>0</v>
      </c>
      <c r="K105" s="846">
        <f t="shared" si="6"/>
        <v>28</v>
      </c>
      <c r="L105" s="849">
        <v>0</v>
      </c>
      <c r="M105" s="849">
        <v>28</v>
      </c>
      <c r="N105" s="849">
        <v>0</v>
      </c>
    </row>
    <row r="106" spans="1:14" x14ac:dyDescent="0.2">
      <c r="A106" s="380">
        <v>94</v>
      </c>
      <c r="B106" s="398" t="s">
        <v>201</v>
      </c>
      <c r="C106" s="399" t="s">
        <v>202</v>
      </c>
      <c r="D106" s="846">
        <f t="shared" si="5"/>
        <v>9725</v>
      </c>
      <c r="E106" s="849">
        <v>0</v>
      </c>
      <c r="F106" s="849">
        <v>0</v>
      </c>
      <c r="G106" s="849">
        <v>1074</v>
      </c>
      <c r="H106" s="849">
        <v>8651</v>
      </c>
      <c r="I106" s="849">
        <v>0</v>
      </c>
      <c r="J106" s="849">
        <v>0</v>
      </c>
      <c r="K106" s="846">
        <f t="shared" si="6"/>
        <v>0</v>
      </c>
      <c r="L106" s="849">
        <v>0</v>
      </c>
      <c r="M106" s="849">
        <v>0</v>
      </c>
      <c r="N106" s="849">
        <v>0</v>
      </c>
    </row>
    <row r="107" spans="1:14" x14ac:dyDescent="0.2">
      <c r="A107" s="380">
        <v>95</v>
      </c>
      <c r="B107" s="400" t="s">
        <v>203</v>
      </c>
      <c r="C107" s="50" t="s">
        <v>204</v>
      </c>
      <c r="D107" s="846">
        <f t="shared" si="5"/>
        <v>9512</v>
      </c>
      <c r="E107" s="849">
        <v>0</v>
      </c>
      <c r="F107" s="849">
        <v>0</v>
      </c>
      <c r="G107" s="849">
        <v>4197</v>
      </c>
      <c r="H107" s="849">
        <v>5315</v>
      </c>
      <c r="I107" s="849">
        <v>0</v>
      </c>
      <c r="J107" s="849">
        <v>0</v>
      </c>
      <c r="K107" s="846">
        <f t="shared" si="6"/>
        <v>0</v>
      </c>
      <c r="L107" s="849">
        <v>0</v>
      </c>
      <c r="M107" s="849">
        <v>0</v>
      </c>
      <c r="N107" s="849">
        <v>0</v>
      </c>
    </row>
    <row r="108" spans="1:14" x14ac:dyDescent="0.2">
      <c r="A108" s="380">
        <v>96</v>
      </c>
      <c r="B108" s="395" t="s">
        <v>205</v>
      </c>
      <c r="C108" s="396" t="s">
        <v>206</v>
      </c>
      <c r="D108" s="846">
        <f t="shared" si="5"/>
        <v>14928</v>
      </c>
      <c r="E108" s="849">
        <v>0</v>
      </c>
      <c r="F108" s="849">
        <v>0</v>
      </c>
      <c r="G108" s="849">
        <v>6005</v>
      </c>
      <c r="H108" s="849">
        <v>8923</v>
      </c>
      <c r="I108" s="849">
        <v>0</v>
      </c>
      <c r="J108" s="849">
        <v>0</v>
      </c>
      <c r="K108" s="846">
        <f t="shared" si="6"/>
        <v>0</v>
      </c>
      <c r="L108" s="849">
        <v>0</v>
      </c>
      <c r="M108" s="849">
        <v>0</v>
      </c>
      <c r="N108" s="849">
        <v>0</v>
      </c>
    </row>
    <row r="109" spans="1:14" x14ac:dyDescent="0.2">
      <c r="A109" s="380">
        <v>97</v>
      </c>
      <c r="B109" s="397" t="s">
        <v>207</v>
      </c>
      <c r="C109" s="396" t="s">
        <v>208</v>
      </c>
      <c r="D109" s="846">
        <f t="shared" si="5"/>
        <v>12992</v>
      </c>
      <c r="E109" s="849">
        <v>0</v>
      </c>
      <c r="F109" s="849">
        <v>0</v>
      </c>
      <c r="G109" s="849">
        <v>4735</v>
      </c>
      <c r="H109" s="849">
        <v>6285</v>
      </c>
      <c r="I109" s="849">
        <v>1025</v>
      </c>
      <c r="J109" s="849">
        <v>439</v>
      </c>
      <c r="K109" s="846">
        <f t="shared" si="6"/>
        <v>508</v>
      </c>
      <c r="L109" s="849">
        <v>0</v>
      </c>
      <c r="M109" s="849">
        <v>508</v>
      </c>
      <c r="N109" s="849">
        <v>0</v>
      </c>
    </row>
    <row r="110" spans="1:14" x14ac:dyDescent="0.2">
      <c r="A110" s="380">
        <v>98</v>
      </c>
      <c r="B110" s="398" t="s">
        <v>209</v>
      </c>
      <c r="C110" s="399" t="s">
        <v>210</v>
      </c>
      <c r="D110" s="846">
        <f t="shared" si="5"/>
        <v>11495</v>
      </c>
      <c r="E110" s="849">
        <v>0</v>
      </c>
      <c r="F110" s="849">
        <v>0</v>
      </c>
      <c r="G110" s="849">
        <v>5558</v>
      </c>
      <c r="H110" s="849">
        <v>5937</v>
      </c>
      <c r="I110" s="849">
        <v>0</v>
      </c>
      <c r="J110" s="849">
        <v>0</v>
      </c>
      <c r="K110" s="846">
        <f t="shared" si="6"/>
        <v>0</v>
      </c>
      <c r="L110" s="849">
        <v>0</v>
      </c>
      <c r="M110" s="849">
        <v>0</v>
      </c>
      <c r="N110" s="849">
        <v>0</v>
      </c>
    </row>
    <row r="111" spans="1:14" x14ac:dyDescent="0.2">
      <c r="A111" s="380">
        <v>99</v>
      </c>
      <c r="B111" s="398" t="s">
        <v>211</v>
      </c>
      <c r="C111" s="399" t="s">
        <v>212</v>
      </c>
      <c r="D111" s="846">
        <f t="shared" si="5"/>
        <v>15923</v>
      </c>
      <c r="E111" s="849">
        <v>0</v>
      </c>
      <c r="F111" s="849">
        <v>0</v>
      </c>
      <c r="G111" s="849">
        <v>3078</v>
      </c>
      <c r="H111" s="849">
        <v>12845</v>
      </c>
      <c r="I111" s="849">
        <v>0</v>
      </c>
      <c r="J111" s="849">
        <v>0</v>
      </c>
      <c r="K111" s="846">
        <f t="shared" si="6"/>
        <v>0</v>
      </c>
      <c r="L111" s="849">
        <v>0</v>
      </c>
      <c r="M111" s="849">
        <v>0</v>
      </c>
      <c r="N111" s="849">
        <v>0</v>
      </c>
    </row>
    <row r="112" spans="1:14" x14ac:dyDescent="0.2">
      <c r="A112" s="380">
        <v>100</v>
      </c>
      <c r="B112" s="395" t="s">
        <v>213</v>
      </c>
      <c r="C112" s="396" t="s">
        <v>214</v>
      </c>
      <c r="D112" s="846">
        <f t="shared" si="5"/>
        <v>29664</v>
      </c>
      <c r="E112" s="849">
        <v>0</v>
      </c>
      <c r="F112" s="849">
        <v>0</v>
      </c>
      <c r="G112" s="849">
        <v>7889</v>
      </c>
      <c r="H112" s="849">
        <v>21645</v>
      </c>
      <c r="I112" s="849">
        <v>0</v>
      </c>
      <c r="J112" s="849">
        <v>0</v>
      </c>
      <c r="K112" s="846">
        <f t="shared" si="6"/>
        <v>130</v>
      </c>
      <c r="L112" s="849">
        <v>0</v>
      </c>
      <c r="M112" s="849">
        <v>130</v>
      </c>
      <c r="N112" s="849">
        <v>0</v>
      </c>
    </row>
    <row r="113" spans="1:14" x14ac:dyDescent="0.2">
      <c r="A113" s="380">
        <v>101</v>
      </c>
      <c r="B113" s="397" t="s">
        <v>215</v>
      </c>
      <c r="C113" s="396" t="s">
        <v>216</v>
      </c>
      <c r="D113" s="846">
        <f t="shared" si="5"/>
        <v>16925</v>
      </c>
      <c r="E113" s="849">
        <v>0</v>
      </c>
      <c r="F113" s="849">
        <v>0</v>
      </c>
      <c r="G113" s="849">
        <v>1521</v>
      </c>
      <c r="H113" s="849">
        <v>15404</v>
      </c>
      <c r="I113" s="849">
        <v>0</v>
      </c>
      <c r="J113" s="849">
        <v>0</v>
      </c>
      <c r="K113" s="846">
        <f t="shared" si="6"/>
        <v>0</v>
      </c>
      <c r="L113" s="849">
        <v>0</v>
      </c>
      <c r="M113" s="849">
        <v>0</v>
      </c>
      <c r="N113" s="849">
        <v>0</v>
      </c>
    </row>
    <row r="114" spans="1:14" x14ac:dyDescent="0.2">
      <c r="A114" s="380">
        <v>102</v>
      </c>
      <c r="B114" s="395" t="s">
        <v>217</v>
      </c>
      <c r="C114" s="399" t="s">
        <v>218</v>
      </c>
      <c r="D114" s="846">
        <f t="shared" si="5"/>
        <v>7964</v>
      </c>
      <c r="E114" s="849">
        <v>7964</v>
      </c>
      <c r="F114" s="849">
        <v>0</v>
      </c>
      <c r="G114" s="849">
        <v>0</v>
      </c>
      <c r="H114" s="849">
        <v>0</v>
      </c>
      <c r="I114" s="849">
        <v>0</v>
      </c>
      <c r="J114" s="849">
        <v>0</v>
      </c>
      <c r="K114" s="846">
        <f t="shared" si="6"/>
        <v>0</v>
      </c>
      <c r="L114" s="849">
        <v>0</v>
      </c>
      <c r="M114" s="849">
        <v>0</v>
      </c>
      <c r="N114" s="849">
        <v>0</v>
      </c>
    </row>
    <row r="115" spans="1:14" x14ac:dyDescent="0.2">
      <c r="A115" s="380">
        <v>103</v>
      </c>
      <c r="B115" s="395" t="s">
        <v>219</v>
      </c>
      <c r="C115" s="396" t="s">
        <v>220</v>
      </c>
      <c r="D115" s="846">
        <f t="shared" si="5"/>
        <v>0</v>
      </c>
      <c r="E115" s="849">
        <v>0</v>
      </c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  <c r="K115" s="846">
        <f t="shared" si="6"/>
        <v>0</v>
      </c>
      <c r="L115" s="849">
        <v>0</v>
      </c>
      <c r="M115" s="849">
        <v>0</v>
      </c>
      <c r="N115" s="849">
        <v>0</v>
      </c>
    </row>
    <row r="116" spans="1:14" x14ac:dyDescent="0.2">
      <c r="A116" s="380">
        <v>104</v>
      </c>
      <c r="B116" s="398" t="s">
        <v>221</v>
      </c>
      <c r="C116" s="399" t="s">
        <v>222</v>
      </c>
      <c r="D116" s="846">
        <f t="shared" si="5"/>
        <v>1138</v>
      </c>
      <c r="E116" s="849">
        <v>1138</v>
      </c>
      <c r="F116" s="849">
        <v>0</v>
      </c>
      <c r="G116" s="849">
        <v>0</v>
      </c>
      <c r="H116" s="849">
        <v>0</v>
      </c>
      <c r="I116" s="849">
        <v>0</v>
      </c>
      <c r="J116" s="849">
        <v>0</v>
      </c>
      <c r="K116" s="846">
        <f t="shared" si="6"/>
        <v>0</v>
      </c>
      <c r="L116" s="849">
        <v>0</v>
      </c>
      <c r="M116" s="849">
        <v>0</v>
      </c>
      <c r="N116" s="849">
        <v>0</v>
      </c>
    </row>
    <row r="117" spans="1:14" x14ac:dyDescent="0.2">
      <c r="A117" s="380">
        <v>105</v>
      </c>
      <c r="B117" s="398" t="s">
        <v>223</v>
      </c>
      <c r="C117" s="399" t="s">
        <v>224</v>
      </c>
      <c r="D117" s="846">
        <f t="shared" si="5"/>
        <v>0</v>
      </c>
      <c r="E117" s="849">
        <v>0</v>
      </c>
      <c r="F117" s="849">
        <v>0</v>
      </c>
      <c r="G117" s="849">
        <v>0</v>
      </c>
      <c r="H117" s="849">
        <v>0</v>
      </c>
      <c r="I117" s="849">
        <v>0</v>
      </c>
      <c r="J117" s="849">
        <v>0</v>
      </c>
      <c r="K117" s="846">
        <f t="shared" si="6"/>
        <v>0</v>
      </c>
      <c r="L117" s="849">
        <v>0</v>
      </c>
      <c r="M117" s="849">
        <v>0</v>
      </c>
      <c r="N117" s="849">
        <v>0</v>
      </c>
    </row>
    <row r="118" spans="1:14" x14ac:dyDescent="0.2">
      <c r="A118" s="380">
        <v>106</v>
      </c>
      <c r="B118" s="398" t="s">
        <v>225</v>
      </c>
      <c r="C118" s="399" t="s">
        <v>226</v>
      </c>
      <c r="D118" s="846">
        <f t="shared" si="5"/>
        <v>0</v>
      </c>
      <c r="E118" s="849">
        <v>0</v>
      </c>
      <c r="F118" s="849">
        <v>0</v>
      </c>
      <c r="G118" s="849">
        <v>0</v>
      </c>
      <c r="H118" s="849">
        <v>0</v>
      </c>
      <c r="I118" s="849">
        <v>0</v>
      </c>
      <c r="J118" s="849">
        <v>0</v>
      </c>
      <c r="K118" s="846">
        <f t="shared" si="6"/>
        <v>0</v>
      </c>
      <c r="L118" s="849">
        <v>0</v>
      </c>
      <c r="M118" s="849">
        <v>0</v>
      </c>
      <c r="N118" s="849">
        <v>0</v>
      </c>
    </row>
    <row r="119" spans="1:14" x14ac:dyDescent="0.2">
      <c r="A119" s="380">
        <v>107</v>
      </c>
      <c r="B119" s="398" t="s">
        <v>227</v>
      </c>
      <c r="C119" s="399" t="s">
        <v>228</v>
      </c>
      <c r="D119" s="846">
        <f t="shared" si="5"/>
        <v>0</v>
      </c>
      <c r="E119" s="849">
        <v>0</v>
      </c>
      <c r="F119" s="849">
        <v>0</v>
      </c>
      <c r="G119" s="849">
        <v>0</v>
      </c>
      <c r="H119" s="849">
        <v>0</v>
      </c>
      <c r="I119" s="849">
        <v>0</v>
      </c>
      <c r="J119" s="849">
        <v>0</v>
      </c>
      <c r="K119" s="846">
        <f t="shared" si="6"/>
        <v>0</v>
      </c>
      <c r="L119" s="849">
        <v>0</v>
      </c>
      <c r="M119" s="849">
        <v>0</v>
      </c>
      <c r="N119" s="849">
        <v>0</v>
      </c>
    </row>
    <row r="120" spans="1:14" x14ac:dyDescent="0.2">
      <c r="A120" s="380">
        <v>108</v>
      </c>
      <c r="B120" s="398" t="s">
        <v>229</v>
      </c>
      <c r="C120" s="399" t="s">
        <v>230</v>
      </c>
      <c r="D120" s="846">
        <f t="shared" si="5"/>
        <v>0</v>
      </c>
      <c r="E120" s="849">
        <v>0</v>
      </c>
      <c r="F120" s="849">
        <v>0</v>
      </c>
      <c r="G120" s="849">
        <v>0</v>
      </c>
      <c r="H120" s="849">
        <v>0</v>
      </c>
      <c r="I120" s="849">
        <v>0</v>
      </c>
      <c r="J120" s="849">
        <v>0</v>
      </c>
      <c r="K120" s="846">
        <f t="shared" si="6"/>
        <v>0</v>
      </c>
      <c r="L120" s="849">
        <v>0</v>
      </c>
      <c r="M120" s="849">
        <v>0</v>
      </c>
      <c r="N120" s="849">
        <v>0</v>
      </c>
    </row>
    <row r="121" spans="1:14" x14ac:dyDescent="0.2">
      <c r="A121" s="380">
        <v>109</v>
      </c>
      <c r="B121" s="398" t="s">
        <v>231</v>
      </c>
      <c r="C121" s="399" t="s">
        <v>232</v>
      </c>
      <c r="D121" s="846">
        <f t="shared" si="5"/>
        <v>29246</v>
      </c>
      <c r="E121" s="849">
        <v>29246</v>
      </c>
      <c r="F121" s="849">
        <v>0</v>
      </c>
      <c r="G121" s="849">
        <v>0</v>
      </c>
      <c r="H121" s="849">
        <v>0</v>
      </c>
      <c r="I121" s="849">
        <v>0</v>
      </c>
      <c r="J121" s="849">
        <v>0</v>
      </c>
      <c r="K121" s="846">
        <f t="shared" si="6"/>
        <v>0</v>
      </c>
      <c r="L121" s="849">
        <v>0</v>
      </c>
      <c r="M121" s="849">
        <v>0</v>
      </c>
      <c r="N121" s="849">
        <v>0</v>
      </c>
    </row>
    <row r="122" spans="1:14" x14ac:dyDescent="0.2">
      <c r="A122" s="380">
        <v>110</v>
      </c>
      <c r="B122" s="388" t="s">
        <v>233</v>
      </c>
      <c r="C122" s="389" t="s">
        <v>234</v>
      </c>
      <c r="D122" s="846">
        <f t="shared" si="5"/>
        <v>0</v>
      </c>
      <c r="E122" s="849">
        <v>0</v>
      </c>
      <c r="F122" s="849">
        <v>0</v>
      </c>
      <c r="G122" s="849">
        <v>0</v>
      </c>
      <c r="H122" s="849">
        <v>0</v>
      </c>
      <c r="I122" s="849">
        <v>0</v>
      </c>
      <c r="J122" s="849">
        <v>0</v>
      </c>
      <c r="K122" s="846">
        <f t="shared" si="6"/>
        <v>0</v>
      </c>
      <c r="L122" s="849">
        <v>0</v>
      </c>
      <c r="M122" s="849">
        <v>0</v>
      </c>
      <c r="N122" s="849">
        <v>0</v>
      </c>
    </row>
    <row r="123" spans="1:14" x14ac:dyDescent="0.2">
      <c r="A123" s="380">
        <v>111</v>
      </c>
      <c r="B123" s="388" t="s">
        <v>235</v>
      </c>
      <c r="C123" s="389" t="s">
        <v>236</v>
      </c>
      <c r="D123" s="846">
        <f t="shared" si="5"/>
        <v>130</v>
      </c>
      <c r="E123" s="849">
        <v>130</v>
      </c>
      <c r="F123" s="849">
        <v>130</v>
      </c>
      <c r="G123" s="849">
        <v>0</v>
      </c>
      <c r="H123" s="849">
        <v>0</v>
      </c>
      <c r="I123" s="849">
        <v>0</v>
      </c>
      <c r="J123" s="849">
        <v>0</v>
      </c>
      <c r="K123" s="846">
        <f t="shared" si="6"/>
        <v>0</v>
      </c>
      <c r="L123" s="849">
        <v>0</v>
      </c>
      <c r="M123" s="849">
        <v>0</v>
      </c>
      <c r="N123" s="849">
        <v>0</v>
      </c>
    </row>
    <row r="124" spans="1:14" x14ac:dyDescent="0.2">
      <c r="A124" s="380">
        <v>112</v>
      </c>
      <c r="B124" s="397" t="s">
        <v>237</v>
      </c>
      <c r="C124" s="396" t="s">
        <v>238</v>
      </c>
      <c r="D124" s="846">
        <f t="shared" si="5"/>
        <v>0</v>
      </c>
      <c r="E124" s="849">
        <v>0</v>
      </c>
      <c r="F124" s="849">
        <v>0</v>
      </c>
      <c r="G124" s="849">
        <v>0</v>
      </c>
      <c r="H124" s="849">
        <v>0</v>
      </c>
      <c r="I124" s="849">
        <v>0</v>
      </c>
      <c r="J124" s="849">
        <v>0</v>
      </c>
      <c r="K124" s="846">
        <f t="shared" si="6"/>
        <v>0</v>
      </c>
      <c r="L124" s="849">
        <v>0</v>
      </c>
      <c r="M124" s="849">
        <v>0</v>
      </c>
      <c r="N124" s="849">
        <v>0</v>
      </c>
    </row>
    <row r="125" spans="1:14" x14ac:dyDescent="0.2">
      <c r="A125" s="380">
        <v>113</v>
      </c>
      <c r="B125" s="398" t="s">
        <v>239</v>
      </c>
      <c r="C125" s="399" t="s">
        <v>240</v>
      </c>
      <c r="D125" s="846">
        <f t="shared" si="5"/>
        <v>0</v>
      </c>
      <c r="E125" s="849">
        <v>0</v>
      </c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  <c r="K125" s="846">
        <f t="shared" si="6"/>
        <v>0</v>
      </c>
      <c r="L125" s="849">
        <v>0</v>
      </c>
      <c r="M125" s="849">
        <v>0</v>
      </c>
      <c r="N125" s="849">
        <v>0</v>
      </c>
    </row>
    <row r="126" spans="1:14" x14ac:dyDescent="0.2">
      <c r="A126" s="380">
        <v>114</v>
      </c>
      <c r="B126" s="395" t="s">
        <v>241</v>
      </c>
      <c r="C126" s="402" t="s">
        <v>242</v>
      </c>
      <c r="D126" s="846">
        <f t="shared" si="5"/>
        <v>0</v>
      </c>
      <c r="E126" s="849">
        <v>0</v>
      </c>
      <c r="F126" s="849">
        <v>0</v>
      </c>
      <c r="G126" s="849">
        <v>0</v>
      </c>
      <c r="H126" s="849">
        <v>0</v>
      </c>
      <c r="I126" s="849">
        <v>0</v>
      </c>
      <c r="J126" s="849">
        <v>0</v>
      </c>
      <c r="K126" s="846">
        <f t="shared" si="6"/>
        <v>0</v>
      </c>
      <c r="L126" s="849">
        <v>0</v>
      </c>
      <c r="M126" s="849">
        <v>0</v>
      </c>
      <c r="N126" s="849">
        <v>0</v>
      </c>
    </row>
    <row r="127" spans="1:14" x14ac:dyDescent="0.2">
      <c r="A127" s="380">
        <v>115</v>
      </c>
      <c r="B127" s="398" t="s">
        <v>243</v>
      </c>
      <c r="C127" s="50" t="s">
        <v>385</v>
      </c>
      <c r="D127" s="846">
        <f t="shared" si="5"/>
        <v>0</v>
      </c>
      <c r="E127" s="849">
        <v>0</v>
      </c>
      <c r="F127" s="849">
        <v>0</v>
      </c>
      <c r="G127" s="849">
        <v>0</v>
      </c>
      <c r="H127" s="849">
        <v>0</v>
      </c>
      <c r="I127" s="849">
        <v>0</v>
      </c>
      <c r="J127" s="849">
        <v>0</v>
      </c>
      <c r="K127" s="846">
        <f t="shared" si="6"/>
        <v>0</v>
      </c>
      <c r="L127" s="849">
        <v>0</v>
      </c>
      <c r="M127" s="849">
        <v>0</v>
      </c>
      <c r="N127" s="849">
        <v>0</v>
      </c>
    </row>
    <row r="128" spans="1:14" x14ac:dyDescent="0.2">
      <c r="A128" s="380">
        <v>116</v>
      </c>
      <c r="B128" s="397" t="s">
        <v>244</v>
      </c>
      <c r="C128" s="399" t="s">
        <v>245</v>
      </c>
      <c r="D128" s="846">
        <f t="shared" si="5"/>
        <v>0</v>
      </c>
      <c r="E128" s="849">
        <v>0</v>
      </c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  <c r="K128" s="846">
        <f t="shared" si="6"/>
        <v>0</v>
      </c>
      <c r="L128" s="849">
        <v>0</v>
      </c>
      <c r="M128" s="849">
        <v>0</v>
      </c>
      <c r="N128" s="849">
        <v>0</v>
      </c>
    </row>
    <row r="129" spans="1:14" x14ac:dyDescent="0.2">
      <c r="A129" s="380">
        <v>117</v>
      </c>
      <c r="B129" s="397" t="s">
        <v>246</v>
      </c>
      <c r="C129" s="399" t="s">
        <v>247</v>
      </c>
      <c r="D129" s="846">
        <f t="shared" si="5"/>
        <v>0</v>
      </c>
      <c r="E129" s="849">
        <v>0</v>
      </c>
      <c r="F129" s="849">
        <v>0</v>
      </c>
      <c r="G129" s="849">
        <v>0</v>
      </c>
      <c r="H129" s="849">
        <v>0</v>
      </c>
      <c r="I129" s="849">
        <v>0</v>
      </c>
      <c r="J129" s="849">
        <v>0</v>
      </c>
      <c r="K129" s="846">
        <f t="shared" si="6"/>
        <v>0</v>
      </c>
      <c r="L129" s="849">
        <v>0</v>
      </c>
      <c r="M129" s="849">
        <v>0</v>
      </c>
      <c r="N129" s="849">
        <v>0</v>
      </c>
    </row>
    <row r="130" spans="1:14" x14ac:dyDescent="0.2">
      <c r="A130" s="380">
        <v>118</v>
      </c>
      <c r="B130" s="397" t="s">
        <v>248</v>
      </c>
      <c r="C130" s="399" t="s">
        <v>249</v>
      </c>
      <c r="D130" s="846">
        <f t="shared" si="5"/>
        <v>0</v>
      </c>
      <c r="E130" s="849">
        <v>0</v>
      </c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  <c r="K130" s="846">
        <f t="shared" si="6"/>
        <v>0</v>
      </c>
      <c r="L130" s="849">
        <v>0</v>
      </c>
      <c r="M130" s="849">
        <v>0</v>
      </c>
      <c r="N130" s="849">
        <v>0</v>
      </c>
    </row>
    <row r="131" spans="1:14" x14ac:dyDescent="0.2">
      <c r="A131" s="380">
        <v>119</v>
      </c>
      <c r="B131" s="395" t="s">
        <v>250</v>
      </c>
      <c r="C131" s="396" t="s">
        <v>251</v>
      </c>
      <c r="D131" s="846">
        <f t="shared" si="5"/>
        <v>1383</v>
      </c>
      <c r="E131" s="849">
        <v>1383</v>
      </c>
      <c r="F131" s="849">
        <v>0</v>
      </c>
      <c r="G131" s="849">
        <v>0</v>
      </c>
      <c r="H131" s="849">
        <v>0</v>
      </c>
      <c r="I131" s="850">
        <v>0</v>
      </c>
      <c r="J131" s="850">
        <v>0</v>
      </c>
      <c r="K131" s="846">
        <f t="shared" si="6"/>
        <v>0</v>
      </c>
      <c r="L131" s="849">
        <v>0</v>
      </c>
      <c r="M131" s="849">
        <v>0</v>
      </c>
      <c r="N131" s="849">
        <v>0</v>
      </c>
    </row>
    <row r="132" spans="1:14" x14ac:dyDescent="0.2">
      <c r="A132" s="380">
        <v>120</v>
      </c>
      <c r="B132" s="397" t="s">
        <v>252</v>
      </c>
      <c r="C132" s="396" t="s">
        <v>253</v>
      </c>
      <c r="D132" s="846">
        <f t="shared" si="5"/>
        <v>0</v>
      </c>
      <c r="E132" s="849">
        <v>0</v>
      </c>
      <c r="F132" s="849">
        <v>0</v>
      </c>
      <c r="G132" s="849">
        <v>0</v>
      </c>
      <c r="H132" s="849">
        <v>0</v>
      </c>
      <c r="I132" s="850">
        <v>0</v>
      </c>
      <c r="J132" s="850">
        <v>0</v>
      </c>
      <c r="K132" s="846">
        <f t="shared" si="6"/>
        <v>0</v>
      </c>
      <c r="L132" s="849">
        <v>0</v>
      </c>
      <c r="M132" s="849">
        <v>0</v>
      </c>
      <c r="N132" s="849">
        <v>0</v>
      </c>
    </row>
    <row r="133" spans="1:14" x14ac:dyDescent="0.2">
      <c r="A133" s="380">
        <v>121</v>
      </c>
      <c r="B133" s="398" t="s">
        <v>254</v>
      </c>
      <c r="C133" s="399" t="s">
        <v>255</v>
      </c>
      <c r="D133" s="846">
        <f t="shared" si="5"/>
        <v>9742</v>
      </c>
      <c r="E133" s="849">
        <v>9742</v>
      </c>
      <c r="F133" s="849">
        <v>0</v>
      </c>
      <c r="G133" s="849">
        <v>0</v>
      </c>
      <c r="H133" s="849">
        <v>0</v>
      </c>
      <c r="I133" s="850">
        <v>0</v>
      </c>
      <c r="J133" s="850">
        <v>0</v>
      </c>
      <c r="K133" s="846">
        <f t="shared" si="6"/>
        <v>0</v>
      </c>
      <c r="L133" s="849">
        <v>0</v>
      </c>
      <c r="M133" s="849">
        <v>0</v>
      </c>
      <c r="N133" s="849">
        <v>0</v>
      </c>
    </row>
    <row r="134" spans="1:14" x14ac:dyDescent="0.2">
      <c r="A134" s="380">
        <v>122</v>
      </c>
      <c r="B134" s="398" t="s">
        <v>256</v>
      </c>
      <c r="C134" s="399" t="s">
        <v>257</v>
      </c>
      <c r="D134" s="846">
        <f t="shared" si="5"/>
        <v>0</v>
      </c>
      <c r="E134" s="849">
        <v>0</v>
      </c>
      <c r="F134" s="849">
        <v>0</v>
      </c>
      <c r="G134" s="849">
        <v>0</v>
      </c>
      <c r="H134" s="849">
        <v>0</v>
      </c>
      <c r="I134" s="850">
        <v>0</v>
      </c>
      <c r="J134" s="850">
        <v>0</v>
      </c>
      <c r="K134" s="846">
        <f t="shared" si="6"/>
        <v>0</v>
      </c>
      <c r="L134" s="849">
        <v>0</v>
      </c>
      <c r="M134" s="849">
        <v>0</v>
      </c>
      <c r="N134" s="849">
        <v>0</v>
      </c>
    </row>
    <row r="135" spans="1:14" x14ac:dyDescent="0.2">
      <c r="A135" s="380">
        <v>123</v>
      </c>
      <c r="B135" s="398" t="s">
        <v>258</v>
      </c>
      <c r="C135" s="399" t="s">
        <v>259</v>
      </c>
      <c r="D135" s="846">
        <f t="shared" si="5"/>
        <v>223231</v>
      </c>
      <c r="E135" s="849">
        <v>0</v>
      </c>
      <c r="F135" s="849">
        <v>0</v>
      </c>
      <c r="G135" s="849">
        <v>0</v>
      </c>
      <c r="H135" s="849">
        <v>0</v>
      </c>
      <c r="I135" s="850">
        <v>0</v>
      </c>
      <c r="J135" s="850">
        <v>0</v>
      </c>
      <c r="K135" s="846">
        <f t="shared" si="6"/>
        <v>223231</v>
      </c>
      <c r="L135" s="849">
        <v>0</v>
      </c>
      <c r="M135" s="849">
        <v>223231</v>
      </c>
      <c r="N135" s="849">
        <v>0</v>
      </c>
    </row>
    <row r="136" spans="1:14" x14ac:dyDescent="0.2">
      <c r="A136" s="380">
        <v>124</v>
      </c>
      <c r="B136" s="398" t="s">
        <v>260</v>
      </c>
      <c r="C136" s="399" t="s">
        <v>261</v>
      </c>
      <c r="D136" s="846">
        <f t="shared" si="5"/>
        <v>137000</v>
      </c>
      <c r="E136" s="849">
        <v>0</v>
      </c>
      <c r="F136" s="849">
        <v>0</v>
      </c>
      <c r="G136" s="849">
        <v>0</v>
      </c>
      <c r="H136" s="849">
        <v>0</v>
      </c>
      <c r="I136" s="850">
        <v>0</v>
      </c>
      <c r="J136" s="850">
        <v>0</v>
      </c>
      <c r="K136" s="846">
        <f t="shared" si="6"/>
        <v>137000</v>
      </c>
      <c r="L136" s="849">
        <v>0</v>
      </c>
      <c r="M136" s="849">
        <v>137000</v>
      </c>
      <c r="N136" s="849">
        <v>0</v>
      </c>
    </row>
    <row r="137" spans="1:14" x14ac:dyDescent="0.2">
      <c r="A137" s="380">
        <v>125</v>
      </c>
      <c r="B137" s="398" t="s">
        <v>262</v>
      </c>
      <c r="C137" s="399" t="s">
        <v>263</v>
      </c>
      <c r="D137" s="846">
        <f t="shared" ref="D137:D152" si="7">E137+G137+H137+I137+J137+K137</f>
        <v>90000</v>
      </c>
      <c r="E137" s="849">
        <v>0</v>
      </c>
      <c r="F137" s="849">
        <v>0</v>
      </c>
      <c r="G137" s="849">
        <v>0</v>
      </c>
      <c r="H137" s="849">
        <v>0</v>
      </c>
      <c r="I137" s="850">
        <v>0</v>
      </c>
      <c r="J137" s="850">
        <v>0</v>
      </c>
      <c r="K137" s="846">
        <f t="shared" si="6"/>
        <v>90000</v>
      </c>
      <c r="L137" s="849">
        <v>0</v>
      </c>
      <c r="M137" s="849">
        <f>89700+300</f>
        <v>90000</v>
      </c>
      <c r="N137" s="849">
        <v>300</v>
      </c>
    </row>
    <row r="138" spans="1:14" x14ac:dyDescent="0.2">
      <c r="A138" s="380">
        <v>126</v>
      </c>
      <c r="B138" s="395" t="s">
        <v>264</v>
      </c>
      <c r="C138" s="396" t="s">
        <v>265</v>
      </c>
      <c r="D138" s="846">
        <f t="shared" si="7"/>
        <v>114092</v>
      </c>
      <c r="E138" s="849">
        <v>0</v>
      </c>
      <c r="F138" s="849">
        <v>0</v>
      </c>
      <c r="G138" s="849">
        <v>0</v>
      </c>
      <c r="H138" s="849">
        <v>0</v>
      </c>
      <c r="I138" s="850">
        <v>0</v>
      </c>
      <c r="J138" s="850">
        <v>0</v>
      </c>
      <c r="K138" s="846">
        <f t="shared" si="6"/>
        <v>114092</v>
      </c>
      <c r="L138" s="849">
        <v>0</v>
      </c>
      <c r="M138" s="849">
        <v>114092</v>
      </c>
      <c r="N138" s="849">
        <v>0</v>
      </c>
    </row>
    <row r="139" spans="1:14" x14ac:dyDescent="0.2">
      <c r="A139" s="380">
        <v>127</v>
      </c>
      <c r="B139" s="395" t="s">
        <v>266</v>
      </c>
      <c r="C139" s="399" t="s">
        <v>267</v>
      </c>
      <c r="D139" s="846">
        <f t="shared" si="7"/>
        <v>75721</v>
      </c>
      <c r="E139" s="849">
        <v>10365</v>
      </c>
      <c r="F139" s="849">
        <v>0</v>
      </c>
      <c r="G139" s="849">
        <v>0</v>
      </c>
      <c r="H139" s="849">
        <v>0</v>
      </c>
      <c r="I139" s="850">
        <v>0</v>
      </c>
      <c r="J139" s="850">
        <v>0</v>
      </c>
      <c r="K139" s="846">
        <f t="shared" si="6"/>
        <v>65356</v>
      </c>
      <c r="L139" s="849">
        <v>0</v>
      </c>
      <c r="M139" s="849">
        <v>65356</v>
      </c>
      <c r="N139" s="849">
        <v>0</v>
      </c>
    </row>
    <row r="140" spans="1:14" x14ac:dyDescent="0.2">
      <c r="A140" s="380">
        <v>128</v>
      </c>
      <c r="B140" s="400" t="s">
        <v>268</v>
      </c>
      <c r="C140" s="50" t="s">
        <v>269</v>
      </c>
      <c r="D140" s="846">
        <f t="shared" si="7"/>
        <v>36644</v>
      </c>
      <c r="E140" s="849">
        <v>27644</v>
      </c>
      <c r="F140" s="849">
        <v>0</v>
      </c>
      <c r="G140" s="849">
        <v>0</v>
      </c>
      <c r="H140" s="849">
        <v>0</v>
      </c>
      <c r="I140" s="850">
        <v>0</v>
      </c>
      <c r="J140" s="850">
        <v>0</v>
      </c>
      <c r="K140" s="846">
        <f t="shared" si="6"/>
        <v>9000</v>
      </c>
      <c r="L140" s="849">
        <v>0</v>
      </c>
      <c r="M140" s="849">
        <v>9000</v>
      </c>
      <c r="N140" s="849">
        <v>0</v>
      </c>
    </row>
    <row r="141" spans="1:14" x14ac:dyDescent="0.2">
      <c r="A141" s="380">
        <v>129</v>
      </c>
      <c r="B141" s="398" t="s">
        <v>270</v>
      </c>
      <c r="C141" s="399" t="s">
        <v>271</v>
      </c>
      <c r="D141" s="846">
        <f t="shared" si="7"/>
        <v>78000</v>
      </c>
      <c r="E141" s="849">
        <v>0</v>
      </c>
      <c r="F141" s="849">
        <v>0</v>
      </c>
      <c r="G141" s="849">
        <v>0</v>
      </c>
      <c r="H141" s="849">
        <v>0</v>
      </c>
      <c r="I141" s="850">
        <v>0</v>
      </c>
      <c r="J141" s="850">
        <v>0</v>
      </c>
      <c r="K141" s="846">
        <f t="shared" si="6"/>
        <v>78000</v>
      </c>
      <c r="L141" s="849">
        <v>0</v>
      </c>
      <c r="M141" s="849">
        <v>78000</v>
      </c>
      <c r="N141" s="849">
        <v>0</v>
      </c>
    </row>
    <row r="142" spans="1:14" x14ac:dyDescent="0.2">
      <c r="A142" s="380">
        <v>130</v>
      </c>
      <c r="B142" s="398" t="s">
        <v>272</v>
      </c>
      <c r="C142" s="399" t="s">
        <v>273</v>
      </c>
      <c r="D142" s="846">
        <f t="shared" si="7"/>
        <v>182</v>
      </c>
      <c r="E142" s="849">
        <v>0</v>
      </c>
      <c r="F142" s="849">
        <v>0</v>
      </c>
      <c r="G142" s="849">
        <v>0</v>
      </c>
      <c r="H142" s="849">
        <v>0</v>
      </c>
      <c r="I142" s="850">
        <v>0</v>
      </c>
      <c r="J142" s="850">
        <v>0</v>
      </c>
      <c r="K142" s="846">
        <f t="shared" ref="K142:K152" si="8">L142+M142</f>
        <v>182</v>
      </c>
      <c r="L142" s="849">
        <v>0</v>
      </c>
      <c r="M142" s="849">
        <v>182</v>
      </c>
      <c r="N142" s="849">
        <v>0</v>
      </c>
    </row>
    <row r="143" spans="1:14" x14ac:dyDescent="0.2">
      <c r="A143" s="380">
        <v>131</v>
      </c>
      <c r="B143" s="398" t="s">
        <v>274</v>
      </c>
      <c r="C143" s="399" t="s">
        <v>275</v>
      </c>
      <c r="D143" s="846">
        <f t="shared" si="7"/>
        <v>58392</v>
      </c>
      <c r="E143" s="849">
        <v>0</v>
      </c>
      <c r="F143" s="849">
        <v>0</v>
      </c>
      <c r="G143" s="849">
        <v>0</v>
      </c>
      <c r="H143" s="849">
        <v>0</v>
      </c>
      <c r="I143" s="850">
        <v>3575</v>
      </c>
      <c r="J143" s="850">
        <v>1817</v>
      </c>
      <c r="K143" s="846">
        <f t="shared" si="8"/>
        <v>53000</v>
      </c>
      <c r="L143" s="849">
        <v>0</v>
      </c>
      <c r="M143" s="849">
        <v>53000</v>
      </c>
      <c r="N143" s="849">
        <v>0</v>
      </c>
    </row>
    <row r="144" spans="1:14" x14ac:dyDescent="0.2">
      <c r="A144" s="380">
        <v>132</v>
      </c>
      <c r="B144" s="400" t="s">
        <v>276</v>
      </c>
      <c r="C144" s="50" t="s">
        <v>277</v>
      </c>
      <c r="D144" s="846">
        <f t="shared" si="7"/>
        <v>13142</v>
      </c>
      <c r="E144" s="849">
        <v>0</v>
      </c>
      <c r="F144" s="849">
        <v>0</v>
      </c>
      <c r="G144" s="849">
        <v>6883</v>
      </c>
      <c r="H144" s="849">
        <v>4832</v>
      </c>
      <c r="I144" s="850">
        <v>0</v>
      </c>
      <c r="J144" s="850">
        <v>0</v>
      </c>
      <c r="K144" s="846">
        <f t="shared" si="8"/>
        <v>1427</v>
      </c>
      <c r="L144" s="849">
        <v>0</v>
      </c>
      <c r="M144" s="849">
        <v>1427</v>
      </c>
      <c r="N144" s="849">
        <v>0</v>
      </c>
    </row>
    <row r="145" spans="1:14" x14ac:dyDescent="0.2">
      <c r="A145" s="380">
        <v>133</v>
      </c>
      <c r="B145" s="397" t="s">
        <v>278</v>
      </c>
      <c r="C145" s="50" t="s">
        <v>279</v>
      </c>
      <c r="D145" s="846">
        <f t="shared" si="7"/>
        <v>62271</v>
      </c>
      <c r="E145" s="849">
        <v>0</v>
      </c>
      <c r="F145" s="849">
        <v>0</v>
      </c>
      <c r="G145" s="849">
        <v>15971</v>
      </c>
      <c r="H145" s="849">
        <v>41937</v>
      </c>
      <c r="I145" s="850">
        <v>0</v>
      </c>
      <c r="J145" s="850">
        <v>0</v>
      </c>
      <c r="K145" s="846">
        <f t="shared" si="8"/>
        <v>4363</v>
      </c>
      <c r="L145" s="849">
        <v>0</v>
      </c>
      <c r="M145" s="849">
        <v>4363</v>
      </c>
      <c r="N145" s="849">
        <v>0</v>
      </c>
    </row>
    <row r="146" spans="1:14" x14ac:dyDescent="0.2">
      <c r="A146" s="380">
        <v>134</v>
      </c>
      <c r="B146" s="398" t="s">
        <v>280</v>
      </c>
      <c r="C146" s="399" t="s">
        <v>281</v>
      </c>
      <c r="D146" s="846">
        <f t="shared" si="7"/>
        <v>4650</v>
      </c>
      <c r="E146" s="849">
        <v>0</v>
      </c>
      <c r="F146" s="849">
        <v>0</v>
      </c>
      <c r="G146" s="849">
        <v>0</v>
      </c>
      <c r="H146" s="849">
        <v>0</v>
      </c>
      <c r="I146" s="850">
        <v>0</v>
      </c>
      <c r="J146" s="850">
        <v>0</v>
      </c>
      <c r="K146" s="846">
        <f t="shared" si="8"/>
        <v>4650</v>
      </c>
      <c r="L146" s="849">
        <v>1650</v>
      </c>
      <c r="M146" s="849">
        <v>3000</v>
      </c>
      <c r="N146" s="849">
        <v>0</v>
      </c>
    </row>
    <row r="147" spans="1:14" x14ac:dyDescent="0.2">
      <c r="A147" s="380">
        <v>135</v>
      </c>
      <c r="B147" s="395" t="s">
        <v>282</v>
      </c>
      <c r="C147" s="396" t="s">
        <v>283</v>
      </c>
      <c r="D147" s="846">
        <f t="shared" si="7"/>
        <v>14805</v>
      </c>
      <c r="E147" s="849">
        <v>0</v>
      </c>
      <c r="F147" s="849">
        <v>0</v>
      </c>
      <c r="G147" s="849">
        <v>0</v>
      </c>
      <c r="H147" s="849">
        <v>0</v>
      </c>
      <c r="I147" s="850">
        <v>0</v>
      </c>
      <c r="J147" s="850">
        <v>0</v>
      </c>
      <c r="K147" s="846">
        <f t="shared" si="8"/>
        <v>14805</v>
      </c>
      <c r="L147" s="849">
        <v>0</v>
      </c>
      <c r="M147" s="849">
        <v>14805</v>
      </c>
      <c r="N147" s="849">
        <v>0</v>
      </c>
    </row>
    <row r="148" spans="1:14" ht="12.75" x14ac:dyDescent="0.2">
      <c r="A148" s="380">
        <v>136</v>
      </c>
      <c r="B148" s="403" t="s">
        <v>284</v>
      </c>
      <c r="C148" s="404" t="s">
        <v>285</v>
      </c>
      <c r="D148" s="846">
        <f t="shared" si="7"/>
        <v>0</v>
      </c>
      <c r="E148" s="849">
        <v>0</v>
      </c>
      <c r="F148" s="849">
        <v>0</v>
      </c>
      <c r="G148" s="849">
        <v>0</v>
      </c>
      <c r="H148" s="849">
        <v>0</v>
      </c>
      <c r="I148" s="850">
        <v>0</v>
      </c>
      <c r="J148" s="850">
        <v>0</v>
      </c>
      <c r="K148" s="846">
        <f t="shared" si="8"/>
        <v>0</v>
      </c>
      <c r="L148" s="849">
        <v>0</v>
      </c>
      <c r="M148" s="849">
        <v>0</v>
      </c>
      <c r="N148" s="849">
        <v>0</v>
      </c>
    </row>
    <row r="149" spans="1:14" x14ac:dyDescent="0.2">
      <c r="A149" s="380">
        <v>137</v>
      </c>
      <c r="B149" s="58" t="s">
        <v>387</v>
      </c>
      <c r="C149" s="391" t="s">
        <v>388</v>
      </c>
      <c r="D149" s="846">
        <f t="shared" si="7"/>
        <v>0</v>
      </c>
      <c r="E149" s="849">
        <v>0</v>
      </c>
      <c r="F149" s="851">
        <v>0</v>
      </c>
      <c r="G149" s="849"/>
      <c r="H149" s="849"/>
      <c r="I149" s="851"/>
      <c r="J149" s="851"/>
      <c r="K149" s="846">
        <f t="shared" si="8"/>
        <v>0</v>
      </c>
      <c r="L149" s="851">
        <v>0</v>
      </c>
      <c r="M149" s="851"/>
      <c r="N149" s="851">
        <v>0</v>
      </c>
    </row>
    <row r="150" spans="1:14" x14ac:dyDescent="0.2">
      <c r="A150" s="380">
        <v>138</v>
      </c>
      <c r="B150" s="59" t="s">
        <v>389</v>
      </c>
      <c r="C150" s="392" t="s">
        <v>390</v>
      </c>
      <c r="D150" s="846">
        <f t="shared" si="7"/>
        <v>0</v>
      </c>
      <c r="E150" s="849">
        <v>0</v>
      </c>
      <c r="F150" s="852">
        <v>0</v>
      </c>
      <c r="G150" s="849"/>
      <c r="H150" s="849"/>
      <c r="I150" s="852"/>
      <c r="J150" s="852"/>
      <c r="K150" s="846">
        <f t="shared" si="8"/>
        <v>0</v>
      </c>
      <c r="L150" s="851">
        <v>0</v>
      </c>
      <c r="M150" s="851"/>
      <c r="N150" s="851">
        <v>0</v>
      </c>
    </row>
    <row r="151" spans="1:14" x14ac:dyDescent="0.2">
      <c r="A151" s="380">
        <v>139</v>
      </c>
      <c r="B151" s="60" t="s">
        <v>391</v>
      </c>
      <c r="C151" s="393" t="s">
        <v>392</v>
      </c>
      <c r="D151" s="846">
        <f t="shared" si="7"/>
        <v>0</v>
      </c>
      <c r="E151" s="849">
        <v>0</v>
      </c>
      <c r="F151" s="852">
        <v>0</v>
      </c>
      <c r="G151" s="849"/>
      <c r="H151" s="849"/>
      <c r="I151" s="851"/>
      <c r="J151" s="851"/>
      <c r="K151" s="846">
        <f t="shared" si="8"/>
        <v>0</v>
      </c>
      <c r="L151" s="851">
        <v>0</v>
      </c>
      <c r="M151" s="851"/>
      <c r="N151" s="851">
        <v>0</v>
      </c>
    </row>
    <row r="152" spans="1:14" x14ac:dyDescent="0.2">
      <c r="A152" s="380">
        <v>140</v>
      </c>
      <c r="B152" s="380" t="s">
        <v>393</v>
      </c>
      <c r="C152" s="394" t="s">
        <v>394</v>
      </c>
      <c r="D152" s="846">
        <f t="shared" si="7"/>
        <v>0</v>
      </c>
      <c r="E152" s="849">
        <v>0</v>
      </c>
      <c r="F152" s="851">
        <v>0</v>
      </c>
      <c r="G152" s="849"/>
      <c r="H152" s="849"/>
      <c r="I152" s="851"/>
      <c r="J152" s="851"/>
      <c r="K152" s="846">
        <f t="shared" si="8"/>
        <v>0</v>
      </c>
      <c r="L152" s="851">
        <v>0</v>
      </c>
      <c r="M152" s="851"/>
      <c r="N152" s="851">
        <v>0</v>
      </c>
    </row>
    <row r="158" spans="1:14" x14ac:dyDescent="0.2">
      <c r="D158" s="843"/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Normal="100" workbookViewId="0">
      <pane xSplit="1" ySplit="9" topLeftCell="B131" activePane="bottomRight" state="frozen"/>
      <selection pane="topRight" activeCell="D1" sqref="D1"/>
      <selection pane="bottomLeft" activeCell="A10" sqref="A10"/>
      <selection pane="bottomRight" activeCell="E155" sqref="E155"/>
    </sheetView>
  </sheetViews>
  <sheetFormatPr defaultRowHeight="12" x14ac:dyDescent="0.2"/>
  <cols>
    <col min="1" max="2" width="9.140625" style="853"/>
    <col min="3" max="3" width="28" style="853" customWidth="1"/>
    <col min="4" max="4" width="17.42578125" style="853" customWidth="1"/>
    <col min="5" max="5" width="16.28515625" style="853" customWidth="1"/>
    <col min="6" max="6" width="14.7109375" style="853" customWidth="1"/>
    <col min="7" max="7" width="13.42578125" style="853" customWidth="1"/>
    <col min="8" max="8" width="13.85546875" style="853" customWidth="1"/>
    <col min="9" max="16384" width="9.140625" style="853"/>
  </cols>
  <sheetData>
    <row r="1" spans="1:8" ht="45.75" customHeight="1" x14ac:dyDescent="0.2">
      <c r="A1" s="1017" t="s">
        <v>355</v>
      </c>
      <c r="B1" s="1017"/>
      <c r="C1" s="1017"/>
      <c r="D1" s="1017"/>
      <c r="E1" s="1017"/>
      <c r="F1" s="1017"/>
      <c r="G1" s="1017"/>
      <c r="H1" s="1017"/>
    </row>
    <row r="2" spans="1:8" ht="12" customHeight="1" x14ac:dyDescent="0.2">
      <c r="A2" s="1018" t="s">
        <v>0</v>
      </c>
      <c r="B2" s="986" t="s">
        <v>1</v>
      </c>
      <c r="C2" s="1018" t="s">
        <v>2</v>
      </c>
      <c r="D2" s="985" t="s">
        <v>352</v>
      </c>
      <c r="E2" s="985"/>
      <c r="F2" s="985"/>
      <c r="G2" s="985"/>
      <c r="H2" s="985"/>
    </row>
    <row r="3" spans="1:8" ht="12.75" customHeight="1" x14ac:dyDescent="0.2">
      <c r="A3" s="1019"/>
      <c r="B3" s="987"/>
      <c r="C3" s="1019"/>
      <c r="D3" s="1018" t="s">
        <v>3</v>
      </c>
      <c r="E3" s="1021" t="s">
        <v>4</v>
      </c>
      <c r="F3" s="1022"/>
      <c r="G3" s="1022"/>
      <c r="H3" s="1023"/>
    </row>
    <row r="4" spans="1:8" ht="12.75" customHeight="1" x14ac:dyDescent="0.2">
      <c r="A4" s="1019"/>
      <c r="B4" s="987"/>
      <c r="C4" s="1019"/>
      <c r="D4" s="1019"/>
      <c r="E4" s="1024" t="s">
        <v>340</v>
      </c>
      <c r="F4" s="1026" t="s">
        <v>341</v>
      </c>
      <c r="G4" s="1027"/>
      <c r="H4" s="1028" t="s">
        <v>353</v>
      </c>
    </row>
    <row r="5" spans="1:8" ht="36" x14ac:dyDescent="0.2">
      <c r="A5" s="1020"/>
      <c r="B5" s="988"/>
      <c r="C5" s="1020"/>
      <c r="D5" s="1020"/>
      <c r="E5" s="1025"/>
      <c r="F5" s="854" t="s">
        <v>345</v>
      </c>
      <c r="G5" s="855" t="s">
        <v>346</v>
      </c>
      <c r="H5" s="1025"/>
    </row>
    <row r="6" spans="1:8" s="860" customFormat="1" ht="11.25" x14ac:dyDescent="0.2">
      <c r="A6" s="856">
        <v>1</v>
      </c>
      <c r="B6" s="856">
        <v>2</v>
      </c>
      <c r="C6" s="856">
        <v>3</v>
      </c>
      <c r="D6" s="857">
        <v>4</v>
      </c>
      <c r="E6" s="858">
        <v>5</v>
      </c>
      <c r="F6" s="858">
        <v>6</v>
      </c>
      <c r="G6" s="858">
        <v>7</v>
      </c>
      <c r="H6" s="859">
        <v>8</v>
      </c>
    </row>
    <row r="7" spans="1:8" s="860" customFormat="1" x14ac:dyDescent="0.2">
      <c r="A7" s="971" t="s">
        <v>6</v>
      </c>
      <c r="B7" s="971"/>
      <c r="C7" s="971"/>
      <c r="D7" s="861">
        <f>E7+F7+G7+H7</f>
        <v>2371128</v>
      </c>
      <c r="E7" s="861">
        <f>E8+E9</f>
        <v>67170</v>
      </c>
      <c r="F7" s="861">
        <f t="shared" ref="F7:H7" si="0">F8+F9</f>
        <v>445327</v>
      </c>
      <c r="G7" s="861">
        <f t="shared" si="0"/>
        <v>1623661</v>
      </c>
      <c r="H7" s="861">
        <f t="shared" si="0"/>
        <v>234970</v>
      </c>
    </row>
    <row r="8" spans="1:8" s="860" customFormat="1" ht="12" customHeight="1" x14ac:dyDescent="0.2">
      <c r="A8" s="975" t="s">
        <v>14</v>
      </c>
      <c r="B8" s="976"/>
      <c r="C8" s="977"/>
      <c r="D8" s="858">
        <f>E8+F8+G8+H8</f>
        <v>0</v>
      </c>
      <c r="E8" s="858">
        <v>0</v>
      </c>
      <c r="F8" s="858">
        <v>0</v>
      </c>
      <c r="G8" s="858">
        <v>0</v>
      </c>
      <c r="H8" s="857">
        <v>0</v>
      </c>
    </row>
    <row r="9" spans="1:8" s="860" customFormat="1" ht="12" customHeight="1" x14ac:dyDescent="0.2">
      <c r="A9" s="975" t="s">
        <v>15</v>
      </c>
      <c r="B9" s="976"/>
      <c r="C9" s="977"/>
      <c r="D9" s="861">
        <f>E9+F9+G9+H9</f>
        <v>2371128</v>
      </c>
      <c r="E9" s="861">
        <f>SUM(E10:E147)</f>
        <v>67170</v>
      </c>
      <c r="F9" s="861">
        <f>SUM(F10:F147)</f>
        <v>445327</v>
      </c>
      <c r="G9" s="861">
        <f>SUM(G10:G147)</f>
        <v>1623661</v>
      </c>
      <c r="H9" s="861">
        <f>SUM(H10:H147)</f>
        <v>234970</v>
      </c>
    </row>
    <row r="10" spans="1:8" x14ac:dyDescent="0.2">
      <c r="A10" s="380">
        <v>1</v>
      </c>
      <c r="B10" s="395" t="s">
        <v>16</v>
      </c>
      <c r="C10" s="396" t="s">
        <v>17</v>
      </c>
      <c r="D10" s="862">
        <f>E10+F10+G10+H10</f>
        <v>6570</v>
      </c>
      <c r="E10" s="862">
        <v>0</v>
      </c>
      <c r="F10" s="862">
        <v>1900</v>
      </c>
      <c r="G10" s="862">
        <v>4670</v>
      </c>
      <c r="H10" s="862">
        <v>0</v>
      </c>
    </row>
    <row r="11" spans="1:8" x14ac:dyDescent="0.2">
      <c r="A11" s="380">
        <v>2</v>
      </c>
      <c r="B11" s="397" t="s">
        <v>18</v>
      </c>
      <c r="C11" s="396" t="s">
        <v>19</v>
      </c>
      <c r="D11" s="862">
        <f>E11+F11+G11+H11</f>
        <v>3933</v>
      </c>
      <c r="E11" s="862">
        <v>0</v>
      </c>
      <c r="F11" s="862">
        <v>620</v>
      </c>
      <c r="G11" s="862">
        <v>3313</v>
      </c>
      <c r="H11" s="862">
        <v>0</v>
      </c>
    </row>
    <row r="12" spans="1:8" x14ac:dyDescent="0.2">
      <c r="A12" s="380">
        <v>3</v>
      </c>
      <c r="B12" s="398" t="s">
        <v>20</v>
      </c>
      <c r="C12" s="399" t="s">
        <v>21</v>
      </c>
      <c r="D12" s="862">
        <f t="shared" ref="D12:D75" si="1">E12+F12+G12+H12</f>
        <v>28814</v>
      </c>
      <c r="E12" s="862">
        <v>0</v>
      </c>
      <c r="F12" s="862">
        <v>2806</v>
      </c>
      <c r="G12" s="862">
        <v>16717</v>
      </c>
      <c r="H12" s="862">
        <v>9291</v>
      </c>
    </row>
    <row r="13" spans="1:8" x14ac:dyDescent="0.2">
      <c r="A13" s="380">
        <v>4</v>
      </c>
      <c r="B13" s="395" t="s">
        <v>22</v>
      </c>
      <c r="C13" s="396" t="s">
        <v>23</v>
      </c>
      <c r="D13" s="862">
        <f t="shared" si="1"/>
        <v>8721</v>
      </c>
      <c r="E13" s="862">
        <v>0</v>
      </c>
      <c r="F13" s="862">
        <v>1920</v>
      </c>
      <c r="G13" s="862">
        <v>6801</v>
      </c>
      <c r="H13" s="862">
        <v>0</v>
      </c>
    </row>
    <row r="14" spans="1:8" ht="18.75" customHeight="1" x14ac:dyDescent="0.2">
      <c r="A14" s="380">
        <v>5</v>
      </c>
      <c r="B14" s="395" t="s">
        <v>24</v>
      </c>
      <c r="C14" s="396" t="s">
        <v>25</v>
      </c>
      <c r="D14" s="862">
        <f t="shared" si="1"/>
        <v>8613</v>
      </c>
      <c r="E14" s="862">
        <v>0</v>
      </c>
      <c r="F14" s="862">
        <v>4175</v>
      </c>
      <c r="G14" s="862">
        <v>4438</v>
      </c>
      <c r="H14" s="862">
        <v>0</v>
      </c>
    </row>
    <row r="15" spans="1:8" x14ac:dyDescent="0.2">
      <c r="A15" s="380">
        <v>6</v>
      </c>
      <c r="B15" s="398" t="s">
        <v>26</v>
      </c>
      <c r="C15" s="399" t="s">
        <v>27</v>
      </c>
      <c r="D15" s="862">
        <f t="shared" si="1"/>
        <v>114657</v>
      </c>
      <c r="E15" s="862">
        <v>0</v>
      </c>
      <c r="F15" s="862">
        <v>22479</v>
      </c>
      <c r="G15" s="862">
        <v>76082</v>
      </c>
      <c r="H15" s="862">
        <v>16096</v>
      </c>
    </row>
    <row r="16" spans="1:8" x14ac:dyDescent="0.2">
      <c r="A16" s="380">
        <v>7</v>
      </c>
      <c r="B16" s="400" t="s">
        <v>28</v>
      </c>
      <c r="C16" s="50" t="s">
        <v>29</v>
      </c>
      <c r="D16" s="862">
        <f t="shared" si="1"/>
        <v>51955</v>
      </c>
      <c r="E16" s="862">
        <v>0</v>
      </c>
      <c r="F16" s="862">
        <v>4765</v>
      </c>
      <c r="G16" s="862">
        <v>38989</v>
      </c>
      <c r="H16" s="862">
        <v>8201</v>
      </c>
    </row>
    <row r="17" spans="1:8" x14ac:dyDescent="0.2">
      <c r="A17" s="380">
        <v>8</v>
      </c>
      <c r="B17" s="398" t="s">
        <v>30</v>
      </c>
      <c r="C17" s="399" t="s">
        <v>31</v>
      </c>
      <c r="D17" s="862">
        <f t="shared" si="1"/>
        <v>11789</v>
      </c>
      <c r="E17" s="862">
        <v>0</v>
      </c>
      <c r="F17" s="862">
        <v>6160</v>
      </c>
      <c r="G17" s="862">
        <v>5629</v>
      </c>
      <c r="H17" s="862">
        <v>0</v>
      </c>
    </row>
    <row r="18" spans="1:8" x14ac:dyDescent="0.2">
      <c r="A18" s="380">
        <v>9</v>
      </c>
      <c r="B18" s="398" t="s">
        <v>32</v>
      </c>
      <c r="C18" s="399" t="s">
        <v>33</v>
      </c>
      <c r="D18" s="862">
        <f t="shared" si="1"/>
        <v>12163</v>
      </c>
      <c r="E18" s="862">
        <v>0</v>
      </c>
      <c r="F18" s="862">
        <v>1858</v>
      </c>
      <c r="G18" s="862">
        <v>10305</v>
      </c>
      <c r="H18" s="862">
        <v>0</v>
      </c>
    </row>
    <row r="19" spans="1:8" x14ac:dyDescent="0.2">
      <c r="A19" s="380">
        <v>10</v>
      </c>
      <c r="B19" s="398" t="s">
        <v>34</v>
      </c>
      <c r="C19" s="399" t="s">
        <v>35</v>
      </c>
      <c r="D19" s="862">
        <f t="shared" si="1"/>
        <v>9626</v>
      </c>
      <c r="E19" s="862">
        <v>0</v>
      </c>
      <c r="F19" s="862">
        <v>3844</v>
      </c>
      <c r="G19" s="862">
        <v>5782</v>
      </c>
      <c r="H19" s="862">
        <v>0</v>
      </c>
    </row>
    <row r="20" spans="1:8" x14ac:dyDescent="0.2">
      <c r="A20" s="380">
        <v>11</v>
      </c>
      <c r="B20" s="398" t="s">
        <v>36</v>
      </c>
      <c r="C20" s="399" t="s">
        <v>37</v>
      </c>
      <c r="D20" s="862">
        <f t="shared" si="1"/>
        <v>6293</v>
      </c>
      <c r="E20" s="862">
        <v>0</v>
      </c>
      <c r="F20" s="862">
        <v>3496</v>
      </c>
      <c r="G20" s="862">
        <v>2797</v>
      </c>
      <c r="H20" s="862">
        <v>0</v>
      </c>
    </row>
    <row r="21" spans="1:8" x14ac:dyDescent="0.2">
      <c r="A21" s="380">
        <v>12</v>
      </c>
      <c r="B21" s="398" t="s">
        <v>38</v>
      </c>
      <c r="C21" s="399" t="s">
        <v>39</v>
      </c>
      <c r="D21" s="862">
        <f t="shared" si="1"/>
        <v>25572</v>
      </c>
      <c r="E21" s="862">
        <v>0</v>
      </c>
      <c r="F21" s="862">
        <v>3175</v>
      </c>
      <c r="G21" s="862">
        <v>22397</v>
      </c>
      <c r="H21" s="862">
        <v>0</v>
      </c>
    </row>
    <row r="22" spans="1:8" x14ac:dyDescent="0.2">
      <c r="A22" s="2">
        <v>13</v>
      </c>
      <c r="B22" s="398" t="s">
        <v>40</v>
      </c>
      <c r="C22" s="399" t="s">
        <v>41</v>
      </c>
      <c r="D22" s="862">
        <f t="shared" si="1"/>
        <v>0</v>
      </c>
      <c r="E22" s="862">
        <v>0</v>
      </c>
      <c r="F22" s="862">
        <v>0</v>
      </c>
      <c r="G22" s="862">
        <v>0</v>
      </c>
      <c r="H22" s="862">
        <v>0</v>
      </c>
    </row>
    <row r="23" spans="1:8" ht="16.5" customHeight="1" x14ac:dyDescent="0.2">
      <c r="A23" s="380">
        <v>14</v>
      </c>
      <c r="B23" s="395" t="s">
        <v>42</v>
      </c>
      <c r="C23" s="399" t="s">
        <v>43</v>
      </c>
      <c r="D23" s="862">
        <f t="shared" si="1"/>
        <v>0</v>
      </c>
      <c r="E23" s="862">
        <v>0</v>
      </c>
      <c r="F23" s="862">
        <v>0</v>
      </c>
      <c r="G23" s="862">
        <v>0</v>
      </c>
      <c r="H23" s="862">
        <v>0</v>
      </c>
    </row>
    <row r="24" spans="1:8" x14ac:dyDescent="0.2">
      <c r="A24" s="2">
        <v>15</v>
      </c>
      <c r="B24" s="398" t="s">
        <v>44</v>
      </c>
      <c r="C24" s="399" t="s">
        <v>45</v>
      </c>
      <c r="D24" s="862">
        <f t="shared" si="1"/>
        <v>20569</v>
      </c>
      <c r="E24" s="862">
        <v>0</v>
      </c>
      <c r="F24" s="862">
        <v>2309</v>
      </c>
      <c r="G24" s="862">
        <v>18260</v>
      </c>
      <c r="H24" s="862">
        <v>0</v>
      </c>
    </row>
    <row r="25" spans="1:8" x14ac:dyDescent="0.2">
      <c r="A25" s="380">
        <v>16</v>
      </c>
      <c r="B25" s="398" t="s">
        <v>46</v>
      </c>
      <c r="C25" s="399" t="s">
        <v>47</v>
      </c>
      <c r="D25" s="862">
        <f t="shared" si="1"/>
        <v>31723</v>
      </c>
      <c r="E25" s="862">
        <v>0</v>
      </c>
      <c r="F25" s="862">
        <v>15143</v>
      </c>
      <c r="G25" s="862">
        <v>16580</v>
      </c>
      <c r="H25" s="862">
        <v>0</v>
      </c>
    </row>
    <row r="26" spans="1:8" x14ac:dyDescent="0.2">
      <c r="A26" s="2">
        <v>17</v>
      </c>
      <c r="B26" s="398" t="s">
        <v>48</v>
      </c>
      <c r="C26" s="399" t="s">
        <v>49</v>
      </c>
      <c r="D26" s="862">
        <f t="shared" si="1"/>
        <v>33698</v>
      </c>
      <c r="E26" s="862">
        <v>0</v>
      </c>
      <c r="F26" s="862">
        <v>11760</v>
      </c>
      <c r="G26" s="862">
        <v>21938</v>
      </c>
      <c r="H26" s="862">
        <v>0</v>
      </c>
    </row>
    <row r="27" spans="1:8" x14ac:dyDescent="0.2">
      <c r="A27" s="380">
        <v>18</v>
      </c>
      <c r="B27" s="398" t="s">
        <v>50</v>
      </c>
      <c r="C27" s="399" t="s">
        <v>51</v>
      </c>
      <c r="D27" s="862">
        <f t="shared" si="1"/>
        <v>63363</v>
      </c>
      <c r="E27" s="862">
        <v>0</v>
      </c>
      <c r="F27" s="862">
        <v>11900</v>
      </c>
      <c r="G27" s="862">
        <v>37203</v>
      </c>
      <c r="H27" s="862">
        <v>14260</v>
      </c>
    </row>
    <row r="28" spans="1:8" x14ac:dyDescent="0.2">
      <c r="A28" s="2">
        <v>19</v>
      </c>
      <c r="B28" s="395" t="s">
        <v>52</v>
      </c>
      <c r="C28" s="396" t="s">
        <v>53</v>
      </c>
      <c r="D28" s="862">
        <f t="shared" si="1"/>
        <v>6786</v>
      </c>
      <c r="E28" s="862">
        <v>0</v>
      </c>
      <c r="F28" s="862">
        <v>1870</v>
      </c>
      <c r="G28" s="862">
        <v>4916</v>
      </c>
      <c r="H28" s="862">
        <v>0</v>
      </c>
    </row>
    <row r="29" spans="1:8" x14ac:dyDescent="0.2">
      <c r="A29" s="380">
        <v>20</v>
      </c>
      <c r="B29" s="395" t="s">
        <v>54</v>
      </c>
      <c r="C29" s="396" t="s">
        <v>55</v>
      </c>
      <c r="D29" s="862">
        <f t="shared" si="1"/>
        <v>8801</v>
      </c>
      <c r="E29" s="862">
        <v>0</v>
      </c>
      <c r="F29" s="862">
        <v>1940</v>
      </c>
      <c r="G29" s="862">
        <v>6861</v>
      </c>
      <c r="H29" s="862">
        <v>0</v>
      </c>
    </row>
    <row r="30" spans="1:8" x14ac:dyDescent="0.2">
      <c r="A30" s="2">
        <v>21</v>
      </c>
      <c r="B30" s="395" t="s">
        <v>56</v>
      </c>
      <c r="C30" s="396" t="s">
        <v>57</v>
      </c>
      <c r="D30" s="862">
        <f t="shared" si="1"/>
        <v>46053</v>
      </c>
      <c r="E30" s="862">
        <v>0</v>
      </c>
      <c r="F30" s="862">
        <v>14077</v>
      </c>
      <c r="G30" s="862">
        <v>31976</v>
      </c>
      <c r="H30" s="862">
        <v>0</v>
      </c>
    </row>
    <row r="31" spans="1:8" x14ac:dyDescent="0.2">
      <c r="A31" s="380">
        <v>22</v>
      </c>
      <c r="B31" s="395" t="s">
        <v>58</v>
      </c>
      <c r="C31" s="396" t="s">
        <v>59</v>
      </c>
      <c r="D31" s="862">
        <f t="shared" si="1"/>
        <v>43032</v>
      </c>
      <c r="E31" s="862">
        <v>0</v>
      </c>
      <c r="F31" s="862">
        <v>6171</v>
      </c>
      <c r="G31" s="862">
        <v>27695</v>
      </c>
      <c r="H31" s="862">
        <v>9166</v>
      </c>
    </row>
    <row r="32" spans="1:8" x14ac:dyDescent="0.2">
      <c r="A32" s="2">
        <v>23</v>
      </c>
      <c r="B32" s="398" t="s">
        <v>60</v>
      </c>
      <c r="C32" s="399" t="s">
        <v>61</v>
      </c>
      <c r="D32" s="862">
        <f t="shared" si="1"/>
        <v>6367</v>
      </c>
      <c r="E32" s="862">
        <v>0</v>
      </c>
      <c r="F32" s="862">
        <v>1318</v>
      </c>
      <c r="G32" s="862">
        <v>5049</v>
      </c>
      <c r="H32" s="862">
        <v>0</v>
      </c>
    </row>
    <row r="33" spans="1:8" x14ac:dyDescent="0.2">
      <c r="A33" s="380">
        <v>24</v>
      </c>
      <c r="B33" s="398" t="s">
        <v>62</v>
      </c>
      <c r="C33" s="399" t="s">
        <v>63</v>
      </c>
      <c r="D33" s="862">
        <f t="shared" si="1"/>
        <v>0</v>
      </c>
      <c r="E33" s="862">
        <v>0</v>
      </c>
      <c r="F33" s="862">
        <v>0</v>
      </c>
      <c r="G33" s="862">
        <v>0</v>
      </c>
      <c r="H33" s="862">
        <v>0</v>
      </c>
    </row>
    <row r="34" spans="1:8" ht="24" x14ac:dyDescent="0.2">
      <c r="A34" s="2">
        <v>25</v>
      </c>
      <c r="B34" s="398" t="s">
        <v>64</v>
      </c>
      <c r="C34" s="399" t="s">
        <v>65</v>
      </c>
      <c r="D34" s="862">
        <f t="shared" si="1"/>
        <v>0</v>
      </c>
      <c r="E34" s="862">
        <v>0</v>
      </c>
      <c r="F34" s="862">
        <v>0</v>
      </c>
      <c r="G34" s="862">
        <v>0</v>
      </c>
      <c r="H34" s="862">
        <v>0</v>
      </c>
    </row>
    <row r="35" spans="1:8" x14ac:dyDescent="0.2">
      <c r="A35" s="380">
        <v>26</v>
      </c>
      <c r="B35" s="395" t="s">
        <v>66</v>
      </c>
      <c r="C35" s="50" t="s">
        <v>67</v>
      </c>
      <c r="D35" s="862">
        <f t="shared" si="1"/>
        <v>58293</v>
      </c>
      <c r="E35" s="862">
        <v>0</v>
      </c>
      <c r="F35" s="862">
        <v>17190</v>
      </c>
      <c r="G35" s="862">
        <v>20886</v>
      </c>
      <c r="H35" s="862">
        <v>20217</v>
      </c>
    </row>
    <row r="36" spans="1:8" x14ac:dyDescent="0.2">
      <c r="A36" s="2">
        <v>27</v>
      </c>
      <c r="B36" s="398" t="s">
        <v>68</v>
      </c>
      <c r="C36" s="399" t="s">
        <v>69</v>
      </c>
      <c r="D36" s="862">
        <f t="shared" si="1"/>
        <v>29483</v>
      </c>
      <c r="E36" s="862">
        <v>0</v>
      </c>
      <c r="F36" s="862">
        <v>6318</v>
      </c>
      <c r="G36" s="862">
        <v>23165</v>
      </c>
      <c r="H36" s="862">
        <v>0</v>
      </c>
    </row>
    <row r="37" spans="1:8" x14ac:dyDescent="0.2">
      <c r="A37" s="380">
        <v>28</v>
      </c>
      <c r="B37" s="398" t="s">
        <v>70</v>
      </c>
      <c r="C37" s="399" t="s">
        <v>71</v>
      </c>
      <c r="D37" s="862">
        <f t="shared" si="1"/>
        <v>64159</v>
      </c>
      <c r="E37" s="862">
        <v>0</v>
      </c>
      <c r="F37" s="862">
        <v>1224</v>
      </c>
      <c r="G37" s="862">
        <v>56878</v>
      </c>
      <c r="H37" s="862">
        <v>6057</v>
      </c>
    </row>
    <row r="38" spans="1:8" x14ac:dyDescent="0.2">
      <c r="A38" s="2">
        <v>29</v>
      </c>
      <c r="B38" s="397" t="s">
        <v>72</v>
      </c>
      <c r="C38" s="50" t="s">
        <v>73</v>
      </c>
      <c r="D38" s="862">
        <f t="shared" si="1"/>
        <v>0</v>
      </c>
      <c r="E38" s="862">
        <v>0</v>
      </c>
      <c r="F38" s="862">
        <v>0</v>
      </c>
      <c r="G38" s="862">
        <v>0</v>
      </c>
      <c r="H38" s="862">
        <v>0</v>
      </c>
    </row>
    <row r="39" spans="1:8" x14ac:dyDescent="0.2">
      <c r="A39" s="380">
        <v>30</v>
      </c>
      <c r="B39" s="395" t="s">
        <v>74</v>
      </c>
      <c r="C39" s="396" t="s">
        <v>357</v>
      </c>
      <c r="D39" s="862">
        <f t="shared" si="1"/>
        <v>0</v>
      </c>
      <c r="E39" s="862">
        <v>0</v>
      </c>
      <c r="F39" s="862">
        <v>0</v>
      </c>
      <c r="G39" s="862">
        <v>0</v>
      </c>
      <c r="H39" s="862">
        <v>0</v>
      </c>
    </row>
    <row r="40" spans="1:8" ht="24" x14ac:dyDescent="0.2">
      <c r="A40" s="2">
        <v>31</v>
      </c>
      <c r="B40" s="398" t="s">
        <v>75</v>
      </c>
      <c r="C40" s="399" t="s">
        <v>76</v>
      </c>
      <c r="D40" s="862">
        <f t="shared" si="1"/>
        <v>1211</v>
      </c>
      <c r="E40" s="862">
        <v>0</v>
      </c>
      <c r="F40" s="862">
        <v>220</v>
      </c>
      <c r="G40" s="862">
        <v>991</v>
      </c>
      <c r="H40" s="862">
        <v>0</v>
      </c>
    </row>
    <row r="41" spans="1:8" x14ac:dyDescent="0.2">
      <c r="A41" s="380">
        <v>32</v>
      </c>
      <c r="B41" s="397" t="s">
        <v>77</v>
      </c>
      <c r="C41" s="396" t="s">
        <v>78</v>
      </c>
      <c r="D41" s="862">
        <f t="shared" si="1"/>
        <v>64975</v>
      </c>
      <c r="E41" s="862">
        <v>0</v>
      </c>
      <c r="F41" s="862">
        <v>14276</v>
      </c>
      <c r="G41" s="862">
        <v>42695</v>
      </c>
      <c r="H41" s="862">
        <v>8004</v>
      </c>
    </row>
    <row r="42" spans="1:8" x14ac:dyDescent="0.2">
      <c r="A42" s="2">
        <v>33</v>
      </c>
      <c r="B42" s="400" t="s">
        <v>79</v>
      </c>
      <c r="C42" s="50" t="s">
        <v>80</v>
      </c>
      <c r="D42" s="862">
        <f t="shared" si="1"/>
        <v>70079</v>
      </c>
      <c r="E42" s="862">
        <v>0</v>
      </c>
      <c r="F42" s="862">
        <v>13000</v>
      </c>
      <c r="G42" s="862">
        <v>43265</v>
      </c>
      <c r="H42" s="862">
        <v>13814</v>
      </c>
    </row>
    <row r="43" spans="1:8" x14ac:dyDescent="0.2">
      <c r="A43" s="380">
        <v>34</v>
      </c>
      <c r="B43" s="397" t="s">
        <v>81</v>
      </c>
      <c r="C43" s="396" t="s">
        <v>82</v>
      </c>
      <c r="D43" s="862">
        <f t="shared" si="1"/>
        <v>14944</v>
      </c>
      <c r="E43" s="862">
        <v>0</v>
      </c>
      <c r="F43" s="862">
        <v>5310</v>
      </c>
      <c r="G43" s="862">
        <v>9634</v>
      </c>
      <c r="H43" s="862">
        <v>0</v>
      </c>
    </row>
    <row r="44" spans="1:8" x14ac:dyDescent="0.2">
      <c r="A44" s="2">
        <v>35</v>
      </c>
      <c r="B44" s="398" t="s">
        <v>83</v>
      </c>
      <c r="C44" s="399" t="s">
        <v>84</v>
      </c>
      <c r="D44" s="862">
        <f t="shared" si="1"/>
        <v>43765</v>
      </c>
      <c r="E44" s="862">
        <v>0</v>
      </c>
      <c r="F44" s="862">
        <v>10191</v>
      </c>
      <c r="G44" s="862">
        <v>28749</v>
      </c>
      <c r="H44" s="862">
        <v>4825</v>
      </c>
    </row>
    <row r="45" spans="1:8" x14ac:dyDescent="0.2">
      <c r="A45" s="380">
        <v>36</v>
      </c>
      <c r="B45" s="397" t="s">
        <v>85</v>
      </c>
      <c r="C45" s="396" t="s">
        <v>86</v>
      </c>
      <c r="D45" s="862">
        <f t="shared" si="1"/>
        <v>11943</v>
      </c>
      <c r="E45" s="862">
        <v>0</v>
      </c>
      <c r="F45" s="862">
        <v>2677</v>
      </c>
      <c r="G45" s="862">
        <v>9266</v>
      </c>
      <c r="H45" s="862">
        <v>0</v>
      </c>
    </row>
    <row r="46" spans="1:8" x14ac:dyDescent="0.2">
      <c r="A46" s="2">
        <v>37</v>
      </c>
      <c r="B46" s="395" t="s">
        <v>87</v>
      </c>
      <c r="C46" s="396" t="s">
        <v>88</v>
      </c>
      <c r="D46" s="862">
        <f t="shared" si="1"/>
        <v>42021</v>
      </c>
      <c r="E46" s="862">
        <v>0</v>
      </c>
      <c r="F46" s="862">
        <v>2285</v>
      </c>
      <c r="G46" s="862">
        <v>39736</v>
      </c>
      <c r="H46" s="862">
        <v>0</v>
      </c>
    </row>
    <row r="47" spans="1:8" x14ac:dyDescent="0.2">
      <c r="A47" s="380">
        <v>38</v>
      </c>
      <c r="B47" s="386" t="s">
        <v>89</v>
      </c>
      <c r="C47" s="387" t="s">
        <v>90</v>
      </c>
      <c r="D47" s="862">
        <f t="shared" si="1"/>
        <v>19016</v>
      </c>
      <c r="E47" s="862">
        <v>0</v>
      </c>
      <c r="F47" s="862">
        <v>2922</v>
      </c>
      <c r="G47" s="862">
        <v>16094</v>
      </c>
      <c r="H47" s="862">
        <v>0</v>
      </c>
    </row>
    <row r="48" spans="1:8" x14ac:dyDescent="0.2">
      <c r="A48" s="2">
        <v>39</v>
      </c>
      <c r="B48" s="395" t="s">
        <v>91</v>
      </c>
      <c r="C48" s="396" t="s">
        <v>92</v>
      </c>
      <c r="D48" s="862">
        <f t="shared" si="1"/>
        <v>12114</v>
      </c>
      <c r="E48" s="862">
        <v>0</v>
      </c>
      <c r="F48" s="862">
        <v>0</v>
      </c>
      <c r="G48" s="862">
        <v>12114</v>
      </c>
      <c r="H48" s="862">
        <v>0</v>
      </c>
    </row>
    <row r="49" spans="1:8" x14ac:dyDescent="0.2">
      <c r="A49" s="380">
        <v>40</v>
      </c>
      <c r="B49" s="400" t="s">
        <v>93</v>
      </c>
      <c r="C49" s="50" t="s">
        <v>94</v>
      </c>
      <c r="D49" s="862">
        <f t="shared" si="1"/>
        <v>16396</v>
      </c>
      <c r="E49" s="862">
        <v>0</v>
      </c>
      <c r="F49" s="862">
        <v>1622</v>
      </c>
      <c r="G49" s="862">
        <v>14774</v>
      </c>
      <c r="H49" s="862">
        <v>0</v>
      </c>
    </row>
    <row r="50" spans="1:8" x14ac:dyDescent="0.2">
      <c r="A50" s="2">
        <v>41</v>
      </c>
      <c r="B50" s="398" t="s">
        <v>95</v>
      </c>
      <c r="C50" s="399" t="s">
        <v>96</v>
      </c>
      <c r="D50" s="862">
        <f t="shared" si="1"/>
        <v>7023</v>
      </c>
      <c r="E50" s="862">
        <v>0</v>
      </c>
      <c r="F50" s="862">
        <v>1688</v>
      </c>
      <c r="G50" s="862">
        <v>5335</v>
      </c>
      <c r="H50" s="862">
        <v>0</v>
      </c>
    </row>
    <row r="51" spans="1:8" x14ac:dyDescent="0.2">
      <c r="A51" s="380">
        <v>42</v>
      </c>
      <c r="B51" s="397" t="s">
        <v>97</v>
      </c>
      <c r="C51" s="396" t="s">
        <v>98</v>
      </c>
      <c r="D51" s="862">
        <f t="shared" si="1"/>
        <v>3150</v>
      </c>
      <c r="E51" s="862">
        <v>0</v>
      </c>
      <c r="F51" s="862">
        <v>20</v>
      </c>
      <c r="G51" s="862">
        <v>3130</v>
      </c>
      <c r="H51" s="862">
        <v>0</v>
      </c>
    </row>
    <row r="52" spans="1:8" x14ac:dyDescent="0.2">
      <c r="A52" s="2">
        <v>43</v>
      </c>
      <c r="B52" s="398" t="s">
        <v>99</v>
      </c>
      <c r="C52" s="399" t="s">
        <v>100</v>
      </c>
      <c r="D52" s="862">
        <f t="shared" si="1"/>
        <v>82024</v>
      </c>
      <c r="E52" s="862">
        <v>0</v>
      </c>
      <c r="F52" s="862">
        <v>12926</v>
      </c>
      <c r="G52" s="862">
        <v>47120</v>
      </c>
      <c r="H52" s="862">
        <v>21978</v>
      </c>
    </row>
    <row r="53" spans="1:8" x14ac:dyDescent="0.2">
      <c r="A53" s="380">
        <v>44</v>
      </c>
      <c r="B53" s="395" t="s">
        <v>101</v>
      </c>
      <c r="C53" s="396" t="s">
        <v>102</v>
      </c>
      <c r="D53" s="862">
        <f t="shared" si="1"/>
        <v>9407</v>
      </c>
      <c r="E53" s="862">
        <v>0</v>
      </c>
      <c r="F53" s="862">
        <v>1790</v>
      </c>
      <c r="G53" s="862">
        <v>7617</v>
      </c>
      <c r="H53" s="862">
        <v>0</v>
      </c>
    </row>
    <row r="54" spans="1:8" x14ac:dyDescent="0.2">
      <c r="A54" s="2">
        <v>45</v>
      </c>
      <c r="B54" s="395" t="s">
        <v>103</v>
      </c>
      <c r="C54" s="396" t="s">
        <v>104</v>
      </c>
      <c r="D54" s="862">
        <f t="shared" si="1"/>
        <v>55068</v>
      </c>
      <c r="E54" s="862">
        <v>0</v>
      </c>
      <c r="F54" s="862">
        <v>12396</v>
      </c>
      <c r="G54" s="862">
        <v>42672</v>
      </c>
      <c r="H54" s="862">
        <v>0</v>
      </c>
    </row>
    <row r="55" spans="1:8" x14ac:dyDescent="0.2">
      <c r="A55" s="380">
        <v>46</v>
      </c>
      <c r="B55" s="398" t="s">
        <v>105</v>
      </c>
      <c r="C55" s="399" t="s">
        <v>106</v>
      </c>
      <c r="D55" s="862">
        <f t="shared" si="1"/>
        <v>12112</v>
      </c>
      <c r="E55" s="862">
        <v>0</v>
      </c>
      <c r="F55" s="862">
        <v>3700</v>
      </c>
      <c r="G55" s="862">
        <v>8412</v>
      </c>
      <c r="H55" s="862">
        <v>0</v>
      </c>
    </row>
    <row r="56" spans="1:8" x14ac:dyDescent="0.2">
      <c r="A56" s="2">
        <v>47</v>
      </c>
      <c r="B56" s="398" t="s">
        <v>107</v>
      </c>
      <c r="C56" s="399" t="s">
        <v>108</v>
      </c>
      <c r="D56" s="862">
        <f t="shared" si="1"/>
        <v>21540</v>
      </c>
      <c r="E56" s="862">
        <v>0</v>
      </c>
      <c r="F56" s="862">
        <v>8359</v>
      </c>
      <c r="G56" s="862">
        <v>13181</v>
      </c>
      <c r="H56" s="862">
        <v>0</v>
      </c>
    </row>
    <row r="57" spans="1:8" x14ac:dyDescent="0.2">
      <c r="A57" s="380">
        <v>48</v>
      </c>
      <c r="B57" s="397" t="s">
        <v>109</v>
      </c>
      <c r="C57" s="396" t="s">
        <v>110</v>
      </c>
      <c r="D57" s="862">
        <f t="shared" si="1"/>
        <v>12282</v>
      </c>
      <c r="E57" s="862">
        <v>0</v>
      </c>
      <c r="F57" s="862">
        <v>952</v>
      </c>
      <c r="G57" s="862">
        <v>11330</v>
      </c>
      <c r="H57" s="862">
        <v>0</v>
      </c>
    </row>
    <row r="58" spans="1:8" x14ac:dyDescent="0.2">
      <c r="A58" s="2">
        <v>49</v>
      </c>
      <c r="B58" s="398" t="s">
        <v>111</v>
      </c>
      <c r="C58" s="399" t="s">
        <v>112</v>
      </c>
      <c r="D58" s="862">
        <f t="shared" si="1"/>
        <v>9273</v>
      </c>
      <c r="E58" s="862">
        <v>0</v>
      </c>
      <c r="F58" s="862">
        <v>1984</v>
      </c>
      <c r="G58" s="862">
        <v>7289</v>
      </c>
      <c r="H58" s="862">
        <v>0</v>
      </c>
    </row>
    <row r="59" spans="1:8" x14ac:dyDescent="0.2">
      <c r="A59" s="380">
        <v>50</v>
      </c>
      <c r="B59" s="397" t="s">
        <v>113</v>
      </c>
      <c r="C59" s="396" t="s">
        <v>114</v>
      </c>
      <c r="D59" s="862">
        <f t="shared" si="1"/>
        <v>12071</v>
      </c>
      <c r="E59" s="862">
        <v>0</v>
      </c>
      <c r="F59" s="862">
        <v>4044</v>
      </c>
      <c r="G59" s="862">
        <v>8027</v>
      </c>
      <c r="H59" s="862">
        <v>0</v>
      </c>
    </row>
    <row r="60" spans="1:8" x14ac:dyDescent="0.2">
      <c r="A60" s="2">
        <v>51</v>
      </c>
      <c r="B60" s="398" t="s">
        <v>115</v>
      </c>
      <c r="C60" s="399" t="s">
        <v>116</v>
      </c>
      <c r="D60" s="862">
        <f t="shared" si="1"/>
        <v>24077</v>
      </c>
      <c r="E60" s="862">
        <v>0</v>
      </c>
      <c r="F60" s="862">
        <v>6958</v>
      </c>
      <c r="G60" s="862">
        <v>17119</v>
      </c>
      <c r="H60" s="862">
        <v>0</v>
      </c>
    </row>
    <row r="61" spans="1:8" x14ac:dyDescent="0.2">
      <c r="A61" s="380">
        <v>52</v>
      </c>
      <c r="B61" s="398" t="s">
        <v>117</v>
      </c>
      <c r="C61" s="399" t="s">
        <v>118</v>
      </c>
      <c r="D61" s="862">
        <f t="shared" si="1"/>
        <v>66434</v>
      </c>
      <c r="E61" s="862">
        <v>0</v>
      </c>
      <c r="F61" s="862">
        <v>15612</v>
      </c>
      <c r="G61" s="862">
        <v>47755</v>
      </c>
      <c r="H61" s="862">
        <v>3067</v>
      </c>
    </row>
    <row r="62" spans="1:8" x14ac:dyDescent="0.2">
      <c r="A62" s="2">
        <v>53</v>
      </c>
      <c r="B62" s="398" t="s">
        <v>119</v>
      </c>
      <c r="C62" s="399" t="s">
        <v>120</v>
      </c>
      <c r="D62" s="862">
        <f t="shared" si="1"/>
        <v>15636</v>
      </c>
      <c r="E62" s="862">
        <v>0</v>
      </c>
      <c r="F62" s="862">
        <v>5277</v>
      </c>
      <c r="G62" s="862">
        <v>10359</v>
      </c>
      <c r="H62" s="862">
        <v>0</v>
      </c>
    </row>
    <row r="63" spans="1:8" x14ac:dyDescent="0.2">
      <c r="A63" s="380">
        <v>54</v>
      </c>
      <c r="B63" s="398" t="s">
        <v>121</v>
      </c>
      <c r="C63" s="399" t="s">
        <v>122</v>
      </c>
      <c r="D63" s="862">
        <f t="shared" si="1"/>
        <v>0</v>
      </c>
      <c r="E63" s="862">
        <v>0</v>
      </c>
      <c r="F63" s="862">
        <v>0</v>
      </c>
      <c r="G63" s="862">
        <v>0</v>
      </c>
      <c r="H63" s="862">
        <v>0</v>
      </c>
    </row>
    <row r="64" spans="1:8" x14ac:dyDescent="0.2">
      <c r="A64" s="2">
        <v>55</v>
      </c>
      <c r="B64" s="398" t="s">
        <v>123</v>
      </c>
      <c r="C64" s="399" t="s">
        <v>124</v>
      </c>
      <c r="D64" s="862">
        <f t="shared" si="1"/>
        <v>0</v>
      </c>
      <c r="E64" s="862">
        <v>0</v>
      </c>
      <c r="F64" s="862">
        <v>0</v>
      </c>
      <c r="G64" s="862">
        <v>0</v>
      </c>
      <c r="H64" s="862">
        <v>0</v>
      </c>
    </row>
    <row r="65" spans="1:8" ht="24" x14ac:dyDescent="0.2">
      <c r="A65" s="380">
        <v>56</v>
      </c>
      <c r="B65" s="401" t="s">
        <v>125</v>
      </c>
      <c r="C65" s="50" t="s">
        <v>126</v>
      </c>
      <c r="D65" s="862">
        <f t="shared" si="1"/>
        <v>0</v>
      </c>
      <c r="E65" s="862">
        <v>0</v>
      </c>
      <c r="F65" s="862">
        <v>0</v>
      </c>
      <c r="G65" s="862">
        <v>0</v>
      </c>
      <c r="H65" s="862">
        <v>0</v>
      </c>
    </row>
    <row r="66" spans="1:8" ht="24" x14ac:dyDescent="0.2">
      <c r="A66" s="2">
        <v>57</v>
      </c>
      <c r="B66" s="398" t="s">
        <v>127</v>
      </c>
      <c r="C66" s="399" t="s">
        <v>128</v>
      </c>
      <c r="D66" s="862">
        <f t="shared" si="1"/>
        <v>70813</v>
      </c>
      <c r="E66" s="862">
        <v>0</v>
      </c>
      <c r="F66" s="862">
        <v>3631</v>
      </c>
      <c r="G66" s="862">
        <v>67182</v>
      </c>
      <c r="H66" s="862">
        <v>0</v>
      </c>
    </row>
    <row r="67" spans="1:8" ht="24" x14ac:dyDescent="0.2">
      <c r="A67" s="380">
        <v>58</v>
      </c>
      <c r="B67" s="397" t="s">
        <v>129</v>
      </c>
      <c r="C67" s="399" t="s">
        <v>130</v>
      </c>
      <c r="D67" s="862">
        <f t="shared" si="1"/>
        <v>48850</v>
      </c>
      <c r="E67" s="862">
        <v>0</v>
      </c>
      <c r="F67" s="862">
        <v>1020</v>
      </c>
      <c r="G67" s="862">
        <v>47830</v>
      </c>
      <c r="H67" s="862">
        <v>0</v>
      </c>
    </row>
    <row r="68" spans="1:8" ht="24" x14ac:dyDescent="0.2">
      <c r="A68" s="2">
        <v>59</v>
      </c>
      <c r="B68" s="400" t="s">
        <v>131</v>
      </c>
      <c r="C68" s="50" t="s">
        <v>132</v>
      </c>
      <c r="D68" s="862">
        <f t="shared" si="1"/>
        <v>61058</v>
      </c>
      <c r="E68" s="862">
        <v>0</v>
      </c>
      <c r="F68" s="862">
        <v>360</v>
      </c>
      <c r="G68" s="862">
        <v>60698</v>
      </c>
      <c r="H68" s="862">
        <v>0</v>
      </c>
    </row>
    <row r="69" spans="1:8" ht="24" x14ac:dyDescent="0.2">
      <c r="A69" s="380">
        <v>60</v>
      </c>
      <c r="B69" s="397" t="s">
        <v>133</v>
      </c>
      <c r="C69" s="399" t="s">
        <v>134</v>
      </c>
      <c r="D69" s="862">
        <f t="shared" si="1"/>
        <v>110392</v>
      </c>
      <c r="E69" s="862">
        <v>0</v>
      </c>
      <c r="F69" s="862">
        <v>12352</v>
      </c>
      <c r="G69" s="862">
        <v>88607</v>
      </c>
      <c r="H69" s="862">
        <v>9433</v>
      </c>
    </row>
    <row r="70" spans="1:8" ht="24" x14ac:dyDescent="0.2">
      <c r="A70" s="2">
        <v>61</v>
      </c>
      <c r="B70" s="398" t="s">
        <v>135</v>
      </c>
      <c r="C70" s="399" t="s">
        <v>136</v>
      </c>
      <c r="D70" s="862">
        <f t="shared" si="1"/>
        <v>24449</v>
      </c>
      <c r="E70" s="862">
        <v>0</v>
      </c>
      <c r="F70" s="862">
        <v>3110</v>
      </c>
      <c r="G70" s="862">
        <v>21339</v>
      </c>
      <c r="H70" s="862">
        <v>0</v>
      </c>
    </row>
    <row r="71" spans="1:8" ht="36" x14ac:dyDescent="0.2">
      <c r="A71" s="380">
        <v>62</v>
      </c>
      <c r="B71" s="395" t="s">
        <v>137</v>
      </c>
      <c r="C71" s="399" t="s">
        <v>138</v>
      </c>
      <c r="D71" s="862">
        <f t="shared" si="1"/>
        <v>0</v>
      </c>
      <c r="E71" s="862">
        <v>0</v>
      </c>
      <c r="F71" s="862">
        <v>0</v>
      </c>
      <c r="G71" s="862">
        <v>0</v>
      </c>
      <c r="H71" s="862">
        <v>0</v>
      </c>
    </row>
    <row r="72" spans="1:8" ht="36" x14ac:dyDescent="0.2">
      <c r="A72" s="2">
        <v>63</v>
      </c>
      <c r="B72" s="395" t="s">
        <v>139</v>
      </c>
      <c r="C72" s="399" t="s">
        <v>140</v>
      </c>
      <c r="D72" s="862">
        <f t="shared" si="1"/>
        <v>0</v>
      </c>
      <c r="E72" s="862">
        <v>0</v>
      </c>
      <c r="F72" s="862">
        <v>0</v>
      </c>
      <c r="G72" s="862">
        <v>0</v>
      </c>
      <c r="H72" s="862">
        <v>0</v>
      </c>
    </row>
    <row r="73" spans="1:8" x14ac:dyDescent="0.2">
      <c r="A73" s="380">
        <v>64</v>
      </c>
      <c r="B73" s="397" t="s">
        <v>141</v>
      </c>
      <c r="C73" s="399" t="s">
        <v>142</v>
      </c>
      <c r="D73" s="862">
        <f t="shared" si="1"/>
        <v>10468</v>
      </c>
      <c r="E73" s="862">
        <v>0</v>
      </c>
      <c r="F73" s="862">
        <v>1644</v>
      </c>
      <c r="G73" s="862">
        <v>8824</v>
      </c>
      <c r="H73" s="862">
        <v>0</v>
      </c>
    </row>
    <row r="74" spans="1:8" x14ac:dyDescent="0.2">
      <c r="A74" s="2">
        <v>65</v>
      </c>
      <c r="B74" s="397" t="s">
        <v>143</v>
      </c>
      <c r="C74" s="396" t="s">
        <v>144</v>
      </c>
      <c r="D74" s="862">
        <f t="shared" si="1"/>
        <v>16915</v>
      </c>
      <c r="E74" s="862">
        <v>0</v>
      </c>
      <c r="F74" s="862">
        <v>2658</v>
      </c>
      <c r="G74" s="862">
        <v>3894</v>
      </c>
      <c r="H74" s="862">
        <v>10363</v>
      </c>
    </row>
    <row r="75" spans="1:8" x14ac:dyDescent="0.2">
      <c r="A75" s="380">
        <v>66</v>
      </c>
      <c r="B75" s="397" t="s">
        <v>145</v>
      </c>
      <c r="C75" s="399" t="s">
        <v>146</v>
      </c>
      <c r="D75" s="862">
        <f t="shared" si="1"/>
        <v>10970</v>
      </c>
      <c r="E75" s="862">
        <v>0</v>
      </c>
      <c r="F75" s="862">
        <v>7555</v>
      </c>
      <c r="G75" s="862">
        <v>3415</v>
      </c>
      <c r="H75" s="862">
        <v>0</v>
      </c>
    </row>
    <row r="76" spans="1:8" ht="24" x14ac:dyDescent="0.2">
      <c r="A76" s="2">
        <v>67</v>
      </c>
      <c r="B76" s="397" t="s">
        <v>147</v>
      </c>
      <c r="C76" s="399" t="s">
        <v>148</v>
      </c>
      <c r="D76" s="862">
        <f t="shared" ref="D76:D139" si="2">E76+F76+G76+H76</f>
        <v>300</v>
      </c>
      <c r="E76" s="862">
        <v>300</v>
      </c>
      <c r="F76" s="862">
        <v>0</v>
      </c>
      <c r="G76" s="862">
        <v>0</v>
      </c>
      <c r="H76" s="862">
        <v>0</v>
      </c>
    </row>
    <row r="77" spans="1:8" ht="24" x14ac:dyDescent="0.2">
      <c r="A77" s="380">
        <v>68</v>
      </c>
      <c r="B77" s="395" t="s">
        <v>149</v>
      </c>
      <c r="C77" s="399" t="s">
        <v>150</v>
      </c>
      <c r="D77" s="862">
        <f t="shared" si="2"/>
        <v>100</v>
      </c>
      <c r="E77" s="862">
        <v>100</v>
      </c>
      <c r="F77" s="862">
        <v>0</v>
      </c>
      <c r="G77" s="862">
        <v>0</v>
      </c>
      <c r="H77" s="862">
        <v>0</v>
      </c>
    </row>
    <row r="78" spans="1:8" ht="24" x14ac:dyDescent="0.2">
      <c r="A78" s="2">
        <v>69</v>
      </c>
      <c r="B78" s="397" t="s">
        <v>151</v>
      </c>
      <c r="C78" s="399" t="s">
        <v>152</v>
      </c>
      <c r="D78" s="862">
        <f t="shared" si="2"/>
        <v>50</v>
      </c>
      <c r="E78" s="862">
        <v>50</v>
      </c>
      <c r="F78" s="862">
        <v>0</v>
      </c>
      <c r="G78" s="862">
        <v>0</v>
      </c>
      <c r="H78" s="862">
        <v>0</v>
      </c>
    </row>
    <row r="79" spans="1:8" ht="24" x14ac:dyDescent="0.2">
      <c r="A79" s="380">
        <v>70</v>
      </c>
      <c r="B79" s="397" t="s">
        <v>153</v>
      </c>
      <c r="C79" s="399" t="s">
        <v>154</v>
      </c>
      <c r="D79" s="862">
        <f t="shared" si="2"/>
        <v>290</v>
      </c>
      <c r="E79" s="862">
        <v>290</v>
      </c>
      <c r="F79" s="862">
        <v>0</v>
      </c>
      <c r="G79" s="862">
        <v>0</v>
      </c>
      <c r="H79" s="862">
        <v>0</v>
      </c>
    </row>
    <row r="80" spans="1:8" ht="24" x14ac:dyDescent="0.2">
      <c r="A80" s="2">
        <v>71</v>
      </c>
      <c r="B80" s="395" t="s">
        <v>155</v>
      </c>
      <c r="C80" s="399" t="s">
        <v>156</v>
      </c>
      <c r="D80" s="862">
        <f t="shared" si="2"/>
        <v>1600</v>
      </c>
      <c r="E80" s="862">
        <v>1600</v>
      </c>
      <c r="F80" s="862">
        <v>0</v>
      </c>
      <c r="G80" s="862">
        <v>0</v>
      </c>
      <c r="H80" s="862">
        <v>0</v>
      </c>
    </row>
    <row r="81" spans="1:8" ht="24" x14ac:dyDescent="0.2">
      <c r="A81" s="380">
        <v>72</v>
      </c>
      <c r="B81" s="395" t="s">
        <v>157</v>
      </c>
      <c r="C81" s="399" t="s">
        <v>158</v>
      </c>
      <c r="D81" s="862">
        <f t="shared" si="2"/>
        <v>150</v>
      </c>
      <c r="E81" s="862">
        <v>150</v>
      </c>
      <c r="F81" s="862">
        <v>0</v>
      </c>
      <c r="G81" s="862">
        <v>0</v>
      </c>
      <c r="H81" s="862">
        <v>0</v>
      </c>
    </row>
    <row r="82" spans="1:8" ht="24" x14ac:dyDescent="0.2">
      <c r="A82" s="2">
        <v>73</v>
      </c>
      <c r="B82" s="395" t="s">
        <v>159</v>
      </c>
      <c r="C82" s="399" t="s">
        <v>160</v>
      </c>
      <c r="D82" s="862">
        <f t="shared" si="2"/>
        <v>0</v>
      </c>
      <c r="E82" s="862">
        <v>0</v>
      </c>
      <c r="F82" s="862">
        <v>0</v>
      </c>
      <c r="G82" s="862">
        <v>0</v>
      </c>
      <c r="H82" s="862">
        <v>0</v>
      </c>
    </row>
    <row r="83" spans="1:8" ht="24" x14ac:dyDescent="0.2">
      <c r="A83" s="380">
        <v>74</v>
      </c>
      <c r="B83" s="398" t="s">
        <v>161</v>
      </c>
      <c r="C83" s="399" t="s">
        <v>162</v>
      </c>
      <c r="D83" s="862">
        <f t="shared" si="2"/>
        <v>72242</v>
      </c>
      <c r="E83" s="862">
        <v>0</v>
      </c>
      <c r="F83" s="862">
        <v>8645</v>
      </c>
      <c r="G83" s="862">
        <v>54346</v>
      </c>
      <c r="H83" s="862">
        <v>9251</v>
      </c>
    </row>
    <row r="84" spans="1:8" x14ac:dyDescent="0.2">
      <c r="A84" s="2">
        <v>75</v>
      </c>
      <c r="B84" s="395" t="s">
        <v>163</v>
      </c>
      <c r="C84" s="399" t="s">
        <v>164</v>
      </c>
      <c r="D84" s="862">
        <f t="shared" si="2"/>
        <v>34808</v>
      </c>
      <c r="E84" s="862">
        <v>0</v>
      </c>
      <c r="F84" s="862">
        <v>21500</v>
      </c>
      <c r="G84" s="862">
        <v>13308</v>
      </c>
      <c r="H84" s="862">
        <v>0</v>
      </c>
    </row>
    <row r="85" spans="1:8" x14ac:dyDescent="0.2">
      <c r="A85" s="380">
        <v>76</v>
      </c>
      <c r="B85" s="398" t="s">
        <v>165</v>
      </c>
      <c r="C85" s="399" t="s">
        <v>166</v>
      </c>
      <c r="D85" s="862">
        <f t="shared" si="2"/>
        <v>22715</v>
      </c>
      <c r="E85" s="862">
        <v>0</v>
      </c>
      <c r="F85" s="862">
        <v>5411</v>
      </c>
      <c r="G85" s="862">
        <v>8232</v>
      </c>
      <c r="H85" s="862">
        <v>9072</v>
      </c>
    </row>
    <row r="86" spans="1:8" x14ac:dyDescent="0.2">
      <c r="A86" s="2">
        <v>77</v>
      </c>
      <c r="B86" s="400" t="s">
        <v>167</v>
      </c>
      <c r="C86" s="50" t="s">
        <v>168</v>
      </c>
      <c r="D86" s="862">
        <f t="shared" si="2"/>
        <v>1783</v>
      </c>
      <c r="E86" s="862">
        <v>0</v>
      </c>
      <c r="F86" s="862">
        <v>927</v>
      </c>
      <c r="G86" s="862">
        <v>856</v>
      </c>
      <c r="H86" s="862">
        <v>0</v>
      </c>
    </row>
    <row r="87" spans="1:8" x14ac:dyDescent="0.2">
      <c r="A87" s="380">
        <v>78</v>
      </c>
      <c r="B87" s="395" t="s">
        <v>169</v>
      </c>
      <c r="C87" s="399" t="s">
        <v>170</v>
      </c>
      <c r="D87" s="862">
        <f t="shared" si="2"/>
        <v>48834</v>
      </c>
      <c r="E87" s="862">
        <v>0</v>
      </c>
      <c r="F87" s="862">
        <v>12510</v>
      </c>
      <c r="G87" s="862">
        <v>36324</v>
      </c>
      <c r="H87" s="862">
        <v>0</v>
      </c>
    </row>
    <row r="88" spans="1:8" x14ac:dyDescent="0.2">
      <c r="A88" s="2">
        <v>79</v>
      </c>
      <c r="B88" s="400" t="s">
        <v>171</v>
      </c>
      <c r="C88" s="50" t="s">
        <v>172</v>
      </c>
      <c r="D88" s="862">
        <f t="shared" si="2"/>
        <v>41320</v>
      </c>
      <c r="E88" s="862">
        <v>0</v>
      </c>
      <c r="F88" s="862">
        <v>2340</v>
      </c>
      <c r="G88" s="862">
        <v>32873</v>
      </c>
      <c r="H88" s="862">
        <v>6107</v>
      </c>
    </row>
    <row r="89" spans="1:8" x14ac:dyDescent="0.2">
      <c r="A89" s="380">
        <v>80</v>
      </c>
      <c r="B89" s="395" t="s">
        <v>173</v>
      </c>
      <c r="C89" s="399" t="s">
        <v>174</v>
      </c>
      <c r="D89" s="862">
        <f t="shared" si="2"/>
        <v>61357</v>
      </c>
      <c r="E89" s="862">
        <v>0</v>
      </c>
      <c r="F89" s="862">
        <v>8000</v>
      </c>
      <c r="G89" s="862">
        <v>15575</v>
      </c>
      <c r="H89" s="862">
        <v>37782</v>
      </c>
    </row>
    <row r="90" spans="1:8" x14ac:dyDescent="0.2">
      <c r="A90" s="2">
        <v>81</v>
      </c>
      <c r="B90" s="400" t="s">
        <v>175</v>
      </c>
      <c r="C90" s="50" t="s">
        <v>749</v>
      </c>
      <c r="D90" s="862">
        <f t="shared" si="2"/>
        <v>28748</v>
      </c>
      <c r="E90" s="862">
        <v>28748</v>
      </c>
      <c r="F90" s="862">
        <v>0</v>
      </c>
      <c r="G90" s="862">
        <v>0</v>
      </c>
      <c r="H90" s="862">
        <v>0</v>
      </c>
    </row>
    <row r="91" spans="1:8" x14ac:dyDescent="0.2">
      <c r="A91" s="380">
        <v>82</v>
      </c>
      <c r="B91" s="397" t="s">
        <v>177</v>
      </c>
      <c r="C91" s="399" t="s">
        <v>358</v>
      </c>
      <c r="D91" s="862">
        <f t="shared" si="2"/>
        <v>0</v>
      </c>
      <c r="E91" s="862">
        <v>0</v>
      </c>
      <c r="F91" s="862">
        <v>0</v>
      </c>
      <c r="G91" s="862">
        <v>0</v>
      </c>
      <c r="H91" s="862">
        <v>0</v>
      </c>
    </row>
    <row r="92" spans="1:8" ht="48" x14ac:dyDescent="0.2">
      <c r="A92" s="978">
        <v>83</v>
      </c>
      <c r="B92" s="993" t="s">
        <v>178</v>
      </c>
      <c r="C92" s="1" t="s">
        <v>747</v>
      </c>
      <c r="D92" s="862">
        <f t="shared" si="2"/>
        <v>1186</v>
      </c>
      <c r="E92" s="862">
        <v>0</v>
      </c>
      <c r="F92" s="862">
        <v>0</v>
      </c>
      <c r="G92" s="862">
        <v>1186</v>
      </c>
      <c r="H92" s="862">
        <v>0</v>
      </c>
    </row>
    <row r="93" spans="1:8" ht="24" x14ac:dyDescent="0.2">
      <c r="A93" s="979"/>
      <c r="B93" s="994"/>
      <c r="C93" s="399" t="s">
        <v>180</v>
      </c>
      <c r="D93" s="862">
        <f t="shared" si="2"/>
        <v>0</v>
      </c>
      <c r="E93" s="862">
        <v>0</v>
      </c>
      <c r="F93" s="862">
        <v>0</v>
      </c>
      <c r="G93" s="862">
        <v>0</v>
      </c>
      <c r="H93" s="862">
        <v>0</v>
      </c>
    </row>
    <row r="94" spans="1:8" ht="48" x14ac:dyDescent="0.2">
      <c r="A94" s="980"/>
      <c r="B94" s="995"/>
      <c r="C94" s="339" t="s">
        <v>509</v>
      </c>
      <c r="D94" s="862">
        <f t="shared" si="2"/>
        <v>0</v>
      </c>
      <c r="E94" s="862">
        <v>0</v>
      </c>
      <c r="F94" s="862">
        <v>0</v>
      </c>
      <c r="G94" s="862">
        <v>0</v>
      </c>
      <c r="H94" s="862">
        <v>0</v>
      </c>
    </row>
    <row r="95" spans="1:8" ht="24" x14ac:dyDescent="0.2">
      <c r="A95" s="380">
        <v>84</v>
      </c>
      <c r="B95" s="397" t="s">
        <v>181</v>
      </c>
      <c r="C95" s="396" t="s">
        <v>182</v>
      </c>
      <c r="D95" s="862">
        <f t="shared" si="2"/>
        <v>0</v>
      </c>
      <c r="E95" s="862">
        <v>0</v>
      </c>
      <c r="F95" s="862">
        <v>0</v>
      </c>
      <c r="G95" s="862">
        <v>0</v>
      </c>
      <c r="H95" s="862">
        <v>0</v>
      </c>
    </row>
    <row r="96" spans="1:8" x14ac:dyDescent="0.2">
      <c r="A96" s="380">
        <v>85</v>
      </c>
      <c r="B96" s="397" t="s">
        <v>183</v>
      </c>
      <c r="C96" s="50" t="s">
        <v>184</v>
      </c>
      <c r="D96" s="862">
        <f t="shared" si="2"/>
        <v>3163</v>
      </c>
      <c r="E96" s="862">
        <v>0</v>
      </c>
      <c r="F96" s="862">
        <v>300</v>
      </c>
      <c r="G96" s="862">
        <v>2863</v>
      </c>
      <c r="H96" s="862">
        <v>0</v>
      </c>
    </row>
    <row r="97" spans="1:8" x14ac:dyDescent="0.2">
      <c r="A97" s="380">
        <v>86</v>
      </c>
      <c r="B97" s="398" t="s">
        <v>185</v>
      </c>
      <c r="C97" s="399" t="s">
        <v>186</v>
      </c>
      <c r="D97" s="862">
        <f t="shared" si="2"/>
        <v>3987</v>
      </c>
      <c r="E97" s="862">
        <v>0</v>
      </c>
      <c r="F97" s="862">
        <v>788</v>
      </c>
      <c r="G97" s="862">
        <v>3199</v>
      </c>
      <c r="H97" s="862">
        <v>0</v>
      </c>
    </row>
    <row r="98" spans="1:8" x14ac:dyDescent="0.2">
      <c r="A98" s="380">
        <v>87</v>
      </c>
      <c r="B98" s="397" t="s">
        <v>187</v>
      </c>
      <c r="C98" s="396" t="s">
        <v>188</v>
      </c>
      <c r="D98" s="862">
        <f t="shared" si="2"/>
        <v>8934</v>
      </c>
      <c r="E98" s="862">
        <v>0</v>
      </c>
      <c r="F98" s="862">
        <v>2019</v>
      </c>
      <c r="G98" s="862">
        <v>6915</v>
      </c>
      <c r="H98" s="862">
        <v>0</v>
      </c>
    </row>
    <row r="99" spans="1:8" x14ac:dyDescent="0.2">
      <c r="A99" s="380">
        <v>88</v>
      </c>
      <c r="B99" s="398" t="s">
        <v>189</v>
      </c>
      <c r="C99" s="399" t="s">
        <v>190</v>
      </c>
      <c r="D99" s="862">
        <f t="shared" si="2"/>
        <v>8356</v>
      </c>
      <c r="E99" s="862">
        <v>0</v>
      </c>
      <c r="F99" s="862">
        <v>1368</v>
      </c>
      <c r="G99" s="862">
        <v>6988</v>
      </c>
      <c r="H99" s="862">
        <v>0</v>
      </c>
    </row>
    <row r="100" spans="1:8" x14ac:dyDescent="0.2">
      <c r="A100" s="380">
        <v>89</v>
      </c>
      <c r="B100" s="398" t="s">
        <v>191</v>
      </c>
      <c r="C100" s="399" t="s">
        <v>192</v>
      </c>
      <c r="D100" s="862">
        <f t="shared" si="2"/>
        <v>27763</v>
      </c>
      <c r="E100" s="862">
        <v>0</v>
      </c>
      <c r="F100" s="862">
        <v>6300</v>
      </c>
      <c r="G100" s="862">
        <v>21463</v>
      </c>
      <c r="H100" s="862">
        <v>0</v>
      </c>
    </row>
    <row r="101" spans="1:8" x14ac:dyDescent="0.2">
      <c r="A101" s="380">
        <v>90</v>
      </c>
      <c r="B101" s="397" t="s">
        <v>193</v>
      </c>
      <c r="C101" s="50" t="s">
        <v>194</v>
      </c>
      <c r="D101" s="862">
        <f t="shared" si="2"/>
        <v>11202</v>
      </c>
      <c r="E101" s="862">
        <v>0</v>
      </c>
      <c r="F101" s="862">
        <v>1662</v>
      </c>
      <c r="G101" s="862">
        <v>9540</v>
      </c>
      <c r="H101" s="862">
        <v>0</v>
      </c>
    </row>
    <row r="102" spans="1:8" x14ac:dyDescent="0.2">
      <c r="A102" s="380">
        <v>91</v>
      </c>
      <c r="B102" s="397" t="s">
        <v>195</v>
      </c>
      <c r="C102" s="396" t="s">
        <v>196</v>
      </c>
      <c r="D102" s="862">
        <f t="shared" si="2"/>
        <v>10628</v>
      </c>
      <c r="E102" s="862">
        <v>0</v>
      </c>
      <c r="F102" s="862">
        <v>6541</v>
      </c>
      <c r="G102" s="862">
        <v>4087</v>
      </c>
      <c r="H102" s="862">
        <v>0</v>
      </c>
    </row>
    <row r="103" spans="1:8" x14ac:dyDescent="0.2">
      <c r="A103" s="380">
        <v>92</v>
      </c>
      <c r="B103" s="395" t="s">
        <v>197</v>
      </c>
      <c r="C103" s="396" t="s">
        <v>198</v>
      </c>
      <c r="D103" s="862">
        <f t="shared" si="2"/>
        <v>38906</v>
      </c>
      <c r="E103" s="862">
        <v>0</v>
      </c>
      <c r="F103" s="862">
        <v>2775</v>
      </c>
      <c r="G103" s="862">
        <v>36131</v>
      </c>
      <c r="H103" s="862">
        <v>0</v>
      </c>
    </row>
    <row r="104" spans="1:8" x14ac:dyDescent="0.2">
      <c r="A104" s="380">
        <v>93</v>
      </c>
      <c r="B104" s="395" t="s">
        <v>199</v>
      </c>
      <c r="C104" s="396" t="s">
        <v>200</v>
      </c>
      <c r="D104" s="862">
        <f t="shared" si="2"/>
        <v>25358</v>
      </c>
      <c r="E104" s="862">
        <v>0</v>
      </c>
      <c r="F104" s="862">
        <v>13653</v>
      </c>
      <c r="G104" s="862">
        <v>11705</v>
      </c>
      <c r="H104" s="862">
        <v>0</v>
      </c>
    </row>
    <row r="105" spans="1:8" x14ac:dyDescent="0.2">
      <c r="A105" s="380">
        <v>94</v>
      </c>
      <c r="B105" s="398" t="s">
        <v>201</v>
      </c>
      <c r="C105" s="399" t="s">
        <v>202</v>
      </c>
      <c r="D105" s="862">
        <f t="shared" si="2"/>
        <v>10500</v>
      </c>
      <c r="E105" s="862">
        <v>0</v>
      </c>
      <c r="F105" s="862">
        <v>1400</v>
      </c>
      <c r="G105" s="862">
        <v>9100</v>
      </c>
      <c r="H105" s="862">
        <v>0</v>
      </c>
    </row>
    <row r="106" spans="1:8" x14ac:dyDescent="0.2">
      <c r="A106" s="380">
        <v>95</v>
      </c>
      <c r="B106" s="400" t="s">
        <v>203</v>
      </c>
      <c r="C106" s="50" t="s">
        <v>204</v>
      </c>
      <c r="D106" s="862">
        <f t="shared" si="2"/>
        <v>16034</v>
      </c>
      <c r="E106" s="862">
        <v>0</v>
      </c>
      <c r="F106" s="862">
        <v>2905</v>
      </c>
      <c r="G106" s="862">
        <v>13129</v>
      </c>
      <c r="H106" s="862">
        <v>0</v>
      </c>
    </row>
    <row r="107" spans="1:8" x14ac:dyDescent="0.2">
      <c r="A107" s="380">
        <v>96</v>
      </c>
      <c r="B107" s="395" t="s">
        <v>205</v>
      </c>
      <c r="C107" s="396" t="s">
        <v>206</v>
      </c>
      <c r="D107" s="862">
        <f t="shared" si="2"/>
        <v>11431</v>
      </c>
      <c r="E107" s="862">
        <v>0</v>
      </c>
      <c r="F107" s="862">
        <v>2521</v>
      </c>
      <c r="G107" s="862">
        <v>8910</v>
      </c>
      <c r="H107" s="862">
        <v>0</v>
      </c>
    </row>
    <row r="108" spans="1:8" x14ac:dyDescent="0.2">
      <c r="A108" s="380">
        <v>97</v>
      </c>
      <c r="B108" s="397" t="s">
        <v>207</v>
      </c>
      <c r="C108" s="396" t="s">
        <v>208</v>
      </c>
      <c r="D108" s="862">
        <f t="shared" si="2"/>
        <v>24820</v>
      </c>
      <c r="E108" s="862">
        <v>0</v>
      </c>
      <c r="F108" s="862">
        <v>2830</v>
      </c>
      <c r="G108" s="862">
        <v>15699</v>
      </c>
      <c r="H108" s="862">
        <v>6291</v>
      </c>
    </row>
    <row r="109" spans="1:8" x14ac:dyDescent="0.2">
      <c r="A109" s="380">
        <v>98</v>
      </c>
      <c r="B109" s="398" t="s">
        <v>209</v>
      </c>
      <c r="C109" s="399" t="s">
        <v>210</v>
      </c>
      <c r="D109" s="862">
        <f t="shared" si="2"/>
        <v>12597</v>
      </c>
      <c r="E109" s="862">
        <v>0</v>
      </c>
      <c r="F109" s="862">
        <v>5443</v>
      </c>
      <c r="G109" s="862">
        <v>7154</v>
      </c>
      <c r="H109" s="862">
        <v>0</v>
      </c>
    </row>
    <row r="110" spans="1:8" x14ac:dyDescent="0.2">
      <c r="A110" s="380">
        <v>99</v>
      </c>
      <c r="B110" s="398" t="s">
        <v>211</v>
      </c>
      <c r="C110" s="399" t="s">
        <v>212</v>
      </c>
      <c r="D110" s="862">
        <f t="shared" si="2"/>
        <v>12286</v>
      </c>
      <c r="E110" s="862">
        <v>0</v>
      </c>
      <c r="F110" s="862">
        <v>3290</v>
      </c>
      <c r="G110" s="862">
        <v>8996</v>
      </c>
      <c r="H110" s="862">
        <v>0</v>
      </c>
    </row>
    <row r="111" spans="1:8" x14ac:dyDescent="0.2">
      <c r="A111" s="380">
        <v>100</v>
      </c>
      <c r="B111" s="395" t="s">
        <v>213</v>
      </c>
      <c r="C111" s="396" t="s">
        <v>214</v>
      </c>
      <c r="D111" s="862">
        <f>E111+F111+G111+H111</f>
        <v>25359</v>
      </c>
      <c r="E111" s="862">
        <v>0</v>
      </c>
      <c r="F111" s="862">
        <v>4765</v>
      </c>
      <c r="G111" s="862">
        <v>20594</v>
      </c>
      <c r="H111" s="862">
        <v>0</v>
      </c>
    </row>
    <row r="112" spans="1:8" x14ac:dyDescent="0.2">
      <c r="A112" s="380">
        <v>101</v>
      </c>
      <c r="B112" s="397" t="s">
        <v>215</v>
      </c>
      <c r="C112" s="396" t="s">
        <v>216</v>
      </c>
      <c r="D112" s="862">
        <f t="shared" si="2"/>
        <v>5473</v>
      </c>
      <c r="E112" s="862">
        <v>0</v>
      </c>
      <c r="F112" s="862">
        <v>1165</v>
      </c>
      <c r="G112" s="862">
        <v>4308</v>
      </c>
      <c r="H112" s="862">
        <v>0</v>
      </c>
    </row>
    <row r="113" spans="1:8" x14ac:dyDescent="0.2">
      <c r="A113" s="380">
        <v>102</v>
      </c>
      <c r="B113" s="395" t="s">
        <v>217</v>
      </c>
      <c r="C113" s="399" t="s">
        <v>218</v>
      </c>
      <c r="D113" s="862">
        <f t="shared" si="2"/>
        <v>0</v>
      </c>
      <c r="E113" s="862">
        <v>0</v>
      </c>
      <c r="F113" s="862">
        <v>0</v>
      </c>
      <c r="G113" s="862">
        <v>0</v>
      </c>
      <c r="H113" s="862">
        <v>0</v>
      </c>
    </row>
    <row r="114" spans="1:8" x14ac:dyDescent="0.2">
      <c r="A114" s="380">
        <v>103</v>
      </c>
      <c r="B114" s="395" t="s">
        <v>219</v>
      </c>
      <c r="C114" s="396" t="s">
        <v>220</v>
      </c>
      <c r="D114" s="862">
        <f t="shared" si="2"/>
        <v>0</v>
      </c>
      <c r="E114" s="862">
        <v>0</v>
      </c>
      <c r="F114" s="862">
        <v>0</v>
      </c>
      <c r="G114" s="862">
        <v>0</v>
      </c>
      <c r="H114" s="862"/>
    </row>
    <row r="115" spans="1:8" x14ac:dyDescent="0.2">
      <c r="A115" s="380">
        <v>104</v>
      </c>
      <c r="B115" s="398" t="s">
        <v>221</v>
      </c>
      <c r="C115" s="399" t="s">
        <v>222</v>
      </c>
      <c r="D115" s="862">
        <f t="shared" si="2"/>
        <v>0</v>
      </c>
      <c r="E115" s="862">
        <v>0</v>
      </c>
      <c r="F115" s="862">
        <v>0</v>
      </c>
      <c r="G115" s="862">
        <v>0</v>
      </c>
      <c r="H115" s="862">
        <v>0</v>
      </c>
    </row>
    <row r="116" spans="1:8" x14ac:dyDescent="0.2">
      <c r="A116" s="380">
        <v>105</v>
      </c>
      <c r="B116" s="398" t="s">
        <v>223</v>
      </c>
      <c r="C116" s="399" t="s">
        <v>224</v>
      </c>
      <c r="D116" s="862">
        <f t="shared" si="2"/>
        <v>0</v>
      </c>
      <c r="E116" s="862">
        <v>0</v>
      </c>
      <c r="F116" s="862">
        <v>0</v>
      </c>
      <c r="G116" s="862">
        <v>0</v>
      </c>
      <c r="H116" s="862">
        <v>0</v>
      </c>
    </row>
    <row r="117" spans="1:8" x14ac:dyDescent="0.2">
      <c r="A117" s="380">
        <v>106</v>
      </c>
      <c r="B117" s="398" t="s">
        <v>225</v>
      </c>
      <c r="C117" s="399" t="s">
        <v>226</v>
      </c>
      <c r="D117" s="862">
        <f t="shared" si="2"/>
        <v>0</v>
      </c>
      <c r="E117" s="862">
        <v>0</v>
      </c>
      <c r="F117" s="862">
        <v>0</v>
      </c>
      <c r="G117" s="862">
        <v>0</v>
      </c>
      <c r="H117" s="862">
        <v>0</v>
      </c>
    </row>
    <row r="118" spans="1:8" ht="24" x14ac:dyDescent="0.2">
      <c r="A118" s="380">
        <v>107</v>
      </c>
      <c r="B118" s="398" t="s">
        <v>227</v>
      </c>
      <c r="C118" s="399" t="s">
        <v>228</v>
      </c>
      <c r="D118" s="862">
        <f t="shared" si="2"/>
        <v>0</v>
      </c>
      <c r="E118" s="862">
        <v>0</v>
      </c>
      <c r="F118" s="862">
        <v>0</v>
      </c>
      <c r="G118" s="862">
        <v>0</v>
      </c>
      <c r="H118" s="862">
        <v>0</v>
      </c>
    </row>
    <row r="119" spans="1:8" x14ac:dyDescent="0.2">
      <c r="A119" s="380">
        <v>108</v>
      </c>
      <c r="B119" s="398" t="s">
        <v>229</v>
      </c>
      <c r="C119" s="399" t="s">
        <v>230</v>
      </c>
      <c r="D119" s="862">
        <f t="shared" si="2"/>
        <v>0</v>
      </c>
      <c r="E119" s="862">
        <v>0</v>
      </c>
      <c r="F119" s="862">
        <v>0</v>
      </c>
      <c r="G119" s="862">
        <v>0</v>
      </c>
      <c r="H119" s="862">
        <v>0</v>
      </c>
    </row>
    <row r="120" spans="1:8" x14ac:dyDescent="0.2">
      <c r="A120" s="380">
        <v>109</v>
      </c>
      <c r="B120" s="398" t="s">
        <v>231</v>
      </c>
      <c r="C120" s="399" t="s">
        <v>232</v>
      </c>
      <c r="D120" s="862">
        <f t="shared" si="2"/>
        <v>0</v>
      </c>
      <c r="E120" s="862">
        <v>0</v>
      </c>
      <c r="F120" s="862">
        <v>0</v>
      </c>
      <c r="G120" s="862">
        <v>0</v>
      </c>
      <c r="H120" s="862">
        <v>0</v>
      </c>
    </row>
    <row r="121" spans="1:8" x14ac:dyDescent="0.2">
      <c r="A121" s="380">
        <v>110</v>
      </c>
      <c r="B121" s="388" t="s">
        <v>233</v>
      </c>
      <c r="C121" s="389" t="s">
        <v>234</v>
      </c>
      <c r="D121" s="862">
        <f t="shared" si="2"/>
        <v>0</v>
      </c>
      <c r="E121" s="862">
        <v>0</v>
      </c>
      <c r="F121" s="862">
        <v>0</v>
      </c>
      <c r="G121" s="862">
        <v>0</v>
      </c>
      <c r="H121" s="862">
        <v>0</v>
      </c>
    </row>
    <row r="122" spans="1:8" x14ac:dyDescent="0.2">
      <c r="A122" s="380">
        <v>111</v>
      </c>
      <c r="B122" s="388" t="s">
        <v>235</v>
      </c>
      <c r="C122" s="389" t="s">
        <v>236</v>
      </c>
      <c r="D122" s="862">
        <f t="shared" si="2"/>
        <v>0</v>
      </c>
      <c r="E122" s="862">
        <v>0</v>
      </c>
      <c r="F122" s="862">
        <v>0</v>
      </c>
      <c r="G122" s="862">
        <v>0</v>
      </c>
      <c r="H122" s="862">
        <v>0</v>
      </c>
    </row>
    <row r="123" spans="1:8" x14ac:dyDescent="0.2">
      <c r="A123" s="380">
        <v>112</v>
      </c>
      <c r="B123" s="397" t="s">
        <v>237</v>
      </c>
      <c r="C123" s="396" t="s">
        <v>238</v>
      </c>
      <c r="D123" s="862">
        <f t="shared" si="2"/>
        <v>0</v>
      </c>
      <c r="E123" s="862">
        <v>0</v>
      </c>
      <c r="F123" s="862">
        <v>0</v>
      </c>
      <c r="G123" s="862">
        <v>0</v>
      </c>
      <c r="H123" s="862">
        <v>0</v>
      </c>
    </row>
    <row r="124" spans="1:8" x14ac:dyDescent="0.2">
      <c r="A124" s="380">
        <v>113</v>
      </c>
      <c r="B124" s="398" t="s">
        <v>239</v>
      </c>
      <c r="C124" s="399" t="s">
        <v>240</v>
      </c>
      <c r="D124" s="862">
        <f t="shared" si="2"/>
        <v>0</v>
      </c>
      <c r="E124" s="862">
        <v>0</v>
      </c>
      <c r="F124" s="862">
        <v>0</v>
      </c>
      <c r="G124" s="862">
        <v>0</v>
      </c>
      <c r="H124" s="862">
        <v>0</v>
      </c>
    </row>
    <row r="125" spans="1:8" ht="24" x14ac:dyDescent="0.2">
      <c r="A125" s="380">
        <v>114</v>
      </c>
      <c r="B125" s="395" t="s">
        <v>241</v>
      </c>
      <c r="C125" s="402" t="s">
        <v>242</v>
      </c>
      <c r="D125" s="862">
        <f t="shared" si="2"/>
        <v>0</v>
      </c>
      <c r="E125" s="862">
        <v>0</v>
      </c>
      <c r="F125" s="862">
        <v>0</v>
      </c>
      <c r="G125" s="862">
        <v>0</v>
      </c>
      <c r="H125" s="862">
        <v>0</v>
      </c>
    </row>
    <row r="126" spans="1:8" x14ac:dyDescent="0.2">
      <c r="A126" s="380">
        <v>115</v>
      </c>
      <c r="B126" s="398" t="s">
        <v>243</v>
      </c>
      <c r="C126" s="50" t="s">
        <v>385</v>
      </c>
      <c r="D126" s="862">
        <f t="shared" si="2"/>
        <v>0</v>
      </c>
      <c r="E126" s="862">
        <v>0</v>
      </c>
      <c r="F126" s="862">
        <v>0</v>
      </c>
      <c r="G126" s="862">
        <v>0</v>
      </c>
      <c r="H126" s="862">
        <v>0</v>
      </c>
    </row>
    <row r="127" spans="1:8" x14ac:dyDescent="0.2">
      <c r="A127" s="380">
        <v>116</v>
      </c>
      <c r="B127" s="397" t="s">
        <v>244</v>
      </c>
      <c r="C127" s="399" t="s">
        <v>245</v>
      </c>
      <c r="D127" s="862">
        <f t="shared" si="2"/>
        <v>0</v>
      </c>
      <c r="E127" s="862">
        <v>0</v>
      </c>
      <c r="F127" s="862">
        <v>0</v>
      </c>
      <c r="G127" s="862">
        <v>0</v>
      </c>
      <c r="H127" s="862">
        <v>0</v>
      </c>
    </row>
    <row r="128" spans="1:8" x14ac:dyDescent="0.2">
      <c r="A128" s="380">
        <v>117</v>
      </c>
      <c r="B128" s="397" t="s">
        <v>246</v>
      </c>
      <c r="C128" s="399" t="s">
        <v>247</v>
      </c>
      <c r="D128" s="862">
        <f t="shared" si="2"/>
        <v>0</v>
      </c>
      <c r="E128" s="862">
        <v>0</v>
      </c>
      <c r="F128" s="862">
        <v>0</v>
      </c>
      <c r="G128" s="862">
        <v>0</v>
      </c>
      <c r="H128" s="862">
        <v>0</v>
      </c>
    </row>
    <row r="129" spans="1:8" x14ac:dyDescent="0.2">
      <c r="A129" s="380">
        <v>118</v>
      </c>
      <c r="B129" s="397" t="s">
        <v>248</v>
      </c>
      <c r="C129" s="399" t="s">
        <v>249</v>
      </c>
      <c r="D129" s="862">
        <f t="shared" si="2"/>
        <v>0</v>
      </c>
      <c r="E129" s="862">
        <v>0</v>
      </c>
      <c r="F129" s="862">
        <v>0</v>
      </c>
      <c r="G129" s="862">
        <v>0</v>
      </c>
      <c r="H129" s="862">
        <v>0</v>
      </c>
    </row>
    <row r="130" spans="1:8" x14ac:dyDescent="0.2">
      <c r="A130" s="380">
        <v>119</v>
      </c>
      <c r="B130" s="395" t="s">
        <v>250</v>
      </c>
      <c r="C130" s="396" t="s">
        <v>251</v>
      </c>
      <c r="D130" s="862">
        <f t="shared" si="2"/>
        <v>0</v>
      </c>
      <c r="E130" s="862">
        <v>0</v>
      </c>
      <c r="F130" s="862">
        <v>0</v>
      </c>
      <c r="G130" s="862">
        <v>0</v>
      </c>
      <c r="H130" s="862">
        <v>0</v>
      </c>
    </row>
    <row r="131" spans="1:8" x14ac:dyDescent="0.2">
      <c r="A131" s="380">
        <v>120</v>
      </c>
      <c r="B131" s="397" t="s">
        <v>252</v>
      </c>
      <c r="C131" s="396" t="s">
        <v>253</v>
      </c>
      <c r="D131" s="862">
        <f t="shared" si="2"/>
        <v>0</v>
      </c>
      <c r="E131" s="862">
        <v>0</v>
      </c>
      <c r="F131" s="862">
        <v>0</v>
      </c>
      <c r="G131" s="862">
        <v>0</v>
      </c>
      <c r="H131" s="862">
        <v>0</v>
      </c>
    </row>
    <row r="132" spans="1:8" x14ac:dyDescent="0.2">
      <c r="A132" s="380">
        <v>121</v>
      </c>
      <c r="B132" s="398" t="s">
        <v>254</v>
      </c>
      <c r="C132" s="399" t="s">
        <v>255</v>
      </c>
      <c r="D132" s="862">
        <f t="shared" si="2"/>
        <v>0</v>
      </c>
      <c r="E132" s="862">
        <v>0</v>
      </c>
      <c r="F132" s="862">
        <v>0</v>
      </c>
      <c r="G132" s="862">
        <v>0</v>
      </c>
      <c r="H132" s="862">
        <v>0</v>
      </c>
    </row>
    <row r="133" spans="1:8" x14ac:dyDescent="0.2">
      <c r="A133" s="380">
        <v>122</v>
      </c>
      <c r="B133" s="398" t="s">
        <v>256</v>
      </c>
      <c r="C133" s="399" t="s">
        <v>257</v>
      </c>
      <c r="D133" s="862">
        <f t="shared" si="2"/>
        <v>0</v>
      </c>
      <c r="E133" s="862">
        <v>0</v>
      </c>
      <c r="F133" s="862">
        <v>0</v>
      </c>
      <c r="G133" s="862">
        <v>0</v>
      </c>
      <c r="H133" s="862">
        <v>0</v>
      </c>
    </row>
    <row r="134" spans="1:8" x14ac:dyDescent="0.2">
      <c r="A134" s="380">
        <v>123</v>
      </c>
      <c r="B134" s="398" t="s">
        <v>258</v>
      </c>
      <c r="C134" s="399" t="s">
        <v>259</v>
      </c>
      <c r="D134" s="862">
        <f t="shared" si="2"/>
        <v>0</v>
      </c>
      <c r="E134" s="862">
        <v>0</v>
      </c>
      <c r="F134" s="862">
        <v>0</v>
      </c>
      <c r="G134" s="862">
        <v>0</v>
      </c>
      <c r="H134" s="862">
        <v>0</v>
      </c>
    </row>
    <row r="135" spans="1:8" x14ac:dyDescent="0.2">
      <c r="A135" s="380">
        <v>124</v>
      </c>
      <c r="B135" s="398" t="s">
        <v>260</v>
      </c>
      <c r="C135" s="399" t="s">
        <v>261</v>
      </c>
      <c r="D135" s="862">
        <f t="shared" si="2"/>
        <v>0</v>
      </c>
      <c r="E135" s="862">
        <v>0</v>
      </c>
      <c r="F135" s="862">
        <v>0</v>
      </c>
      <c r="G135" s="862">
        <v>0</v>
      </c>
      <c r="H135" s="862">
        <v>0</v>
      </c>
    </row>
    <row r="136" spans="1:8" x14ac:dyDescent="0.2">
      <c r="A136" s="380">
        <v>125</v>
      </c>
      <c r="B136" s="398" t="s">
        <v>262</v>
      </c>
      <c r="C136" s="399" t="s">
        <v>263</v>
      </c>
      <c r="D136" s="862">
        <f t="shared" si="2"/>
        <v>0</v>
      </c>
      <c r="E136" s="862">
        <v>0</v>
      </c>
      <c r="F136" s="862">
        <v>0</v>
      </c>
      <c r="G136" s="862">
        <v>0</v>
      </c>
      <c r="H136" s="862">
        <v>0</v>
      </c>
    </row>
    <row r="137" spans="1:8" x14ac:dyDescent="0.2">
      <c r="A137" s="380">
        <v>126</v>
      </c>
      <c r="B137" s="395" t="s">
        <v>264</v>
      </c>
      <c r="C137" s="396" t="s">
        <v>265</v>
      </c>
      <c r="D137" s="862">
        <f t="shared" si="2"/>
        <v>0</v>
      </c>
      <c r="E137" s="862">
        <v>0</v>
      </c>
      <c r="F137" s="862">
        <v>0</v>
      </c>
      <c r="G137" s="862">
        <v>0</v>
      </c>
      <c r="H137" s="862">
        <v>0</v>
      </c>
    </row>
    <row r="138" spans="1:8" x14ac:dyDescent="0.2">
      <c r="A138" s="380">
        <v>127</v>
      </c>
      <c r="B138" s="395" t="s">
        <v>266</v>
      </c>
      <c r="C138" s="399" t="s">
        <v>267</v>
      </c>
      <c r="D138" s="862">
        <f t="shared" si="2"/>
        <v>11801</v>
      </c>
      <c r="E138" s="862">
        <v>11801</v>
      </c>
      <c r="F138" s="862">
        <v>0</v>
      </c>
      <c r="G138" s="862">
        <v>0</v>
      </c>
      <c r="H138" s="862">
        <v>0</v>
      </c>
    </row>
    <row r="139" spans="1:8" x14ac:dyDescent="0.2">
      <c r="A139" s="380">
        <v>128</v>
      </c>
      <c r="B139" s="400" t="s">
        <v>268</v>
      </c>
      <c r="C139" s="50" t="s">
        <v>269</v>
      </c>
      <c r="D139" s="862">
        <f t="shared" si="2"/>
        <v>24131</v>
      </c>
      <c r="E139" s="862">
        <v>24131</v>
      </c>
      <c r="F139" s="862">
        <v>0</v>
      </c>
      <c r="G139" s="862">
        <v>0</v>
      </c>
      <c r="H139" s="862">
        <v>0</v>
      </c>
    </row>
    <row r="140" spans="1:8" x14ac:dyDescent="0.2">
      <c r="A140" s="380">
        <v>129</v>
      </c>
      <c r="B140" s="398" t="s">
        <v>270</v>
      </c>
      <c r="C140" s="399" t="s">
        <v>271</v>
      </c>
      <c r="D140" s="862">
        <f t="shared" ref="D140:D151" si="3">E140+F140+G140+H140</f>
        <v>0</v>
      </c>
      <c r="E140" s="862">
        <v>0</v>
      </c>
      <c r="F140" s="862">
        <v>0</v>
      </c>
      <c r="G140" s="862">
        <v>0</v>
      </c>
      <c r="H140" s="862">
        <v>0</v>
      </c>
    </row>
    <row r="141" spans="1:8" x14ac:dyDescent="0.2">
      <c r="A141" s="380">
        <v>130</v>
      </c>
      <c r="B141" s="398" t="s">
        <v>272</v>
      </c>
      <c r="C141" s="399" t="s">
        <v>273</v>
      </c>
      <c r="D141" s="862">
        <f t="shared" si="3"/>
        <v>11695</v>
      </c>
      <c r="E141" s="862">
        <v>0</v>
      </c>
      <c r="F141" s="862">
        <v>0</v>
      </c>
      <c r="G141" s="862">
        <v>0</v>
      </c>
      <c r="H141" s="862">
        <v>11695</v>
      </c>
    </row>
    <row r="142" spans="1:8" x14ac:dyDescent="0.2">
      <c r="A142" s="380">
        <v>131</v>
      </c>
      <c r="B142" s="398" t="s">
        <v>274</v>
      </c>
      <c r="C142" s="399" t="s">
        <v>275</v>
      </c>
      <c r="D142" s="862">
        <f t="shared" si="3"/>
        <v>0</v>
      </c>
      <c r="E142" s="862">
        <v>0</v>
      </c>
      <c r="F142" s="862">
        <v>0</v>
      </c>
      <c r="G142" s="862">
        <v>0</v>
      </c>
      <c r="H142" s="862">
        <v>0</v>
      </c>
    </row>
    <row r="143" spans="1:8" x14ac:dyDescent="0.2">
      <c r="A143" s="380">
        <v>132</v>
      </c>
      <c r="B143" s="400" t="s">
        <v>276</v>
      </c>
      <c r="C143" s="50" t="s">
        <v>277</v>
      </c>
      <c r="D143" s="862">
        <f t="shared" si="3"/>
        <v>7822</v>
      </c>
      <c r="E143" s="862">
        <v>0</v>
      </c>
      <c r="F143" s="862">
        <v>3836</v>
      </c>
      <c r="G143" s="862">
        <v>3986</v>
      </c>
      <c r="H143" s="862">
        <v>0</v>
      </c>
    </row>
    <row r="144" spans="1:8" x14ac:dyDescent="0.2">
      <c r="A144" s="380">
        <v>133</v>
      </c>
      <c r="B144" s="397" t="s">
        <v>278</v>
      </c>
      <c r="C144" s="50" t="s">
        <v>279</v>
      </c>
      <c r="D144" s="862">
        <f t="shared" si="3"/>
        <v>61890</v>
      </c>
      <c r="E144" s="862">
        <v>0</v>
      </c>
      <c r="F144" s="862">
        <v>13476</v>
      </c>
      <c r="G144" s="862">
        <v>48414</v>
      </c>
      <c r="H144" s="862">
        <v>0</v>
      </c>
    </row>
    <row r="145" spans="1:8" x14ac:dyDescent="0.2">
      <c r="A145" s="380">
        <v>134</v>
      </c>
      <c r="B145" s="398" t="s">
        <v>280</v>
      </c>
      <c r="C145" s="399" t="s">
        <v>281</v>
      </c>
      <c r="D145" s="862">
        <f t="shared" si="3"/>
        <v>0</v>
      </c>
      <c r="E145" s="862">
        <v>0</v>
      </c>
      <c r="F145" s="862">
        <v>0</v>
      </c>
      <c r="G145" s="862">
        <v>0</v>
      </c>
      <c r="H145" s="862">
        <v>0</v>
      </c>
    </row>
    <row r="146" spans="1:8" x14ac:dyDescent="0.2">
      <c r="A146" s="380">
        <v>135</v>
      </c>
      <c r="B146" s="395" t="s">
        <v>282</v>
      </c>
      <c r="C146" s="396" t="s">
        <v>283</v>
      </c>
      <c r="D146" s="862">
        <f t="shared" si="3"/>
        <v>0</v>
      </c>
      <c r="E146" s="862">
        <v>0</v>
      </c>
      <c r="F146" s="862">
        <v>0</v>
      </c>
      <c r="G146" s="862">
        <v>0</v>
      </c>
      <c r="H146" s="862">
        <v>0</v>
      </c>
    </row>
    <row r="147" spans="1:8" ht="12.75" x14ac:dyDescent="0.2">
      <c r="A147" s="380">
        <v>136</v>
      </c>
      <c r="B147" s="403" t="s">
        <v>284</v>
      </c>
      <c r="C147" s="404" t="s">
        <v>285</v>
      </c>
      <c r="D147" s="862">
        <f t="shared" si="3"/>
        <v>0</v>
      </c>
      <c r="E147" s="862">
        <v>0</v>
      </c>
      <c r="F147" s="862">
        <v>0</v>
      </c>
      <c r="G147" s="862">
        <v>0</v>
      </c>
      <c r="H147" s="862">
        <v>0</v>
      </c>
    </row>
    <row r="148" spans="1:8" x14ac:dyDescent="0.2">
      <c r="A148" s="380">
        <v>137</v>
      </c>
      <c r="B148" s="58" t="s">
        <v>387</v>
      </c>
      <c r="C148" s="391" t="s">
        <v>388</v>
      </c>
      <c r="D148" s="862">
        <f t="shared" si="3"/>
        <v>0</v>
      </c>
      <c r="E148" s="862"/>
      <c r="F148" s="862"/>
      <c r="G148" s="862"/>
      <c r="H148" s="863">
        <v>0</v>
      </c>
    </row>
    <row r="149" spans="1:8" x14ac:dyDescent="0.2">
      <c r="A149" s="380">
        <v>138</v>
      </c>
      <c r="B149" s="59" t="s">
        <v>389</v>
      </c>
      <c r="C149" s="392" t="s">
        <v>390</v>
      </c>
      <c r="D149" s="862">
        <f t="shared" si="3"/>
        <v>0</v>
      </c>
      <c r="E149" s="862"/>
      <c r="F149" s="862"/>
      <c r="G149" s="862"/>
      <c r="H149" s="863">
        <v>0</v>
      </c>
    </row>
    <row r="150" spans="1:8" x14ac:dyDescent="0.2">
      <c r="A150" s="380">
        <v>139</v>
      </c>
      <c r="B150" s="60" t="s">
        <v>391</v>
      </c>
      <c r="C150" s="393" t="s">
        <v>392</v>
      </c>
      <c r="D150" s="862">
        <f t="shared" si="3"/>
        <v>0</v>
      </c>
      <c r="E150" s="862"/>
      <c r="F150" s="862"/>
      <c r="G150" s="862"/>
      <c r="H150" s="863">
        <v>0</v>
      </c>
    </row>
    <row r="151" spans="1:8" x14ac:dyDescent="0.2">
      <c r="A151" s="380">
        <v>140</v>
      </c>
      <c r="B151" s="380" t="s">
        <v>393</v>
      </c>
      <c r="C151" s="394" t="s">
        <v>394</v>
      </c>
      <c r="D151" s="862">
        <f t="shared" si="3"/>
        <v>0</v>
      </c>
      <c r="E151" s="862"/>
      <c r="F151" s="862"/>
      <c r="G151" s="862"/>
      <c r="H151" s="863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pane xSplit="4" ySplit="9" topLeftCell="E137" activePane="bottomRight" state="frozen"/>
      <selection pane="topRight" activeCell="E1" sqref="E1"/>
      <selection pane="bottomLeft" activeCell="A10" sqref="A10"/>
      <selection pane="bottomRight" sqref="A1:H1"/>
    </sheetView>
  </sheetViews>
  <sheetFormatPr defaultRowHeight="15" x14ac:dyDescent="0.25"/>
  <cols>
    <col min="1" max="2" width="9.140625" style="325"/>
    <col min="3" max="3" width="46.7109375" style="325" customWidth="1"/>
    <col min="4" max="4" width="14" style="325" customWidth="1"/>
    <col min="5" max="5" width="17.28515625" style="325" customWidth="1"/>
    <col min="6" max="6" width="9.140625" style="325"/>
    <col min="7" max="7" width="14.85546875" style="325" customWidth="1"/>
    <col min="8" max="8" width="16.7109375" style="325" customWidth="1"/>
    <col min="9" max="16384" width="9.140625" style="325"/>
  </cols>
  <sheetData>
    <row r="1" spans="1:8" ht="43.5" customHeight="1" x14ac:dyDescent="0.25">
      <c r="A1" s="1029" t="s">
        <v>750</v>
      </c>
      <c r="B1" s="1029"/>
      <c r="C1" s="1029"/>
      <c r="D1" s="1029"/>
      <c r="E1" s="1029"/>
      <c r="F1" s="1029"/>
      <c r="G1" s="1029"/>
      <c r="H1" s="1029"/>
    </row>
    <row r="2" spans="1:8" ht="32.25" customHeight="1" x14ac:dyDescent="0.25">
      <c r="A2" s="1030" t="s">
        <v>0</v>
      </c>
      <c r="B2" s="1031" t="s">
        <v>1</v>
      </c>
      <c r="C2" s="1030" t="s">
        <v>2</v>
      </c>
      <c r="D2" s="1033" t="s">
        <v>751</v>
      </c>
      <c r="E2" s="1034"/>
      <c r="F2" s="1034"/>
      <c r="G2" s="1034"/>
      <c r="H2" s="1035"/>
    </row>
    <row r="3" spans="1:8" x14ac:dyDescent="0.25">
      <c r="A3" s="1030"/>
      <c r="B3" s="1032"/>
      <c r="C3" s="1030"/>
      <c r="D3" s="1036" t="s">
        <v>3</v>
      </c>
      <c r="E3" s="1030" t="s">
        <v>4</v>
      </c>
      <c r="F3" s="1030"/>
      <c r="G3" s="1030"/>
      <c r="H3" s="1030"/>
    </row>
    <row r="4" spans="1:8" ht="39" customHeight="1" x14ac:dyDescent="0.25">
      <c r="A4" s="1030"/>
      <c r="B4" s="1032"/>
      <c r="C4" s="1030"/>
      <c r="D4" s="1036"/>
      <c r="E4" s="1037" t="s">
        <v>340</v>
      </c>
      <c r="F4" s="990" t="s">
        <v>341</v>
      </c>
      <c r="G4" s="990"/>
      <c r="H4" s="990"/>
    </row>
    <row r="5" spans="1:8" ht="36" x14ac:dyDescent="0.25">
      <c r="A5" s="1030"/>
      <c r="B5" s="1032"/>
      <c r="C5" s="1030"/>
      <c r="D5" s="1036"/>
      <c r="E5" s="1038"/>
      <c r="F5" s="864" t="s">
        <v>297</v>
      </c>
      <c r="G5" s="865" t="s">
        <v>345</v>
      </c>
      <c r="H5" s="866" t="s">
        <v>346</v>
      </c>
    </row>
    <row r="6" spans="1:8" x14ac:dyDescent="0.25">
      <c r="A6" s="867">
        <v>1</v>
      </c>
      <c r="B6" s="867">
        <v>2</v>
      </c>
      <c r="C6" s="867">
        <v>3</v>
      </c>
      <c r="D6" s="868">
        <v>4</v>
      </c>
      <c r="E6" s="869">
        <v>5</v>
      </c>
      <c r="F6" s="869">
        <v>6</v>
      </c>
      <c r="G6" s="869">
        <v>7</v>
      </c>
      <c r="H6" s="869">
        <v>8</v>
      </c>
    </row>
    <row r="7" spans="1:8" x14ac:dyDescent="0.25">
      <c r="A7" s="1039" t="s">
        <v>6</v>
      </c>
      <c r="B7" s="1039"/>
      <c r="C7" s="1039"/>
      <c r="D7" s="870">
        <f>D8+D9</f>
        <v>571078</v>
      </c>
      <c r="E7" s="870">
        <f>E8+E9</f>
        <v>32593</v>
      </c>
      <c r="F7" s="870">
        <f>F8+F9</f>
        <v>538485</v>
      </c>
      <c r="G7" s="870">
        <f>G8+G9</f>
        <v>94686</v>
      </c>
      <c r="H7" s="870">
        <f t="shared" ref="H7" si="0">H8+H9</f>
        <v>443799</v>
      </c>
    </row>
    <row r="8" spans="1:8" x14ac:dyDescent="0.25">
      <c r="A8" s="1040" t="s">
        <v>14</v>
      </c>
      <c r="B8" s="1041"/>
      <c r="C8" s="1042"/>
      <c r="D8" s="868">
        <f t="shared" ref="D8" si="1">E8+F8</f>
        <v>0</v>
      </c>
      <c r="E8" s="869"/>
      <c r="F8" s="869"/>
      <c r="G8" s="869"/>
      <c r="H8" s="869"/>
    </row>
    <row r="9" spans="1:8" x14ac:dyDescent="0.25">
      <c r="A9" s="1040" t="s">
        <v>15</v>
      </c>
      <c r="B9" s="1041"/>
      <c r="C9" s="1042"/>
      <c r="D9" s="870">
        <f>E9+F9</f>
        <v>571078</v>
      </c>
      <c r="E9" s="870">
        <f>SUM(E10:E145)</f>
        <v>32593</v>
      </c>
      <c r="F9" s="870">
        <f>SUM(G9:H9)</f>
        <v>538485</v>
      </c>
      <c r="G9" s="870">
        <f>SUM(G10:G145)</f>
        <v>94686</v>
      </c>
      <c r="H9" s="870">
        <f>SUM(H10:H145)</f>
        <v>443799</v>
      </c>
    </row>
    <row r="10" spans="1:8" x14ac:dyDescent="0.25">
      <c r="A10" s="326">
        <v>1</v>
      </c>
      <c r="B10" s="327" t="s">
        <v>16</v>
      </c>
      <c r="C10" s="328" t="s">
        <v>17</v>
      </c>
      <c r="D10" s="869">
        <f t="shared" ref="D10:D73" si="2">E10+F10</f>
        <v>0</v>
      </c>
      <c r="E10" s="869">
        <v>0</v>
      </c>
      <c r="F10" s="869">
        <f t="shared" ref="F10:F73" si="3">SUM(G10:H10)</f>
        <v>0</v>
      </c>
      <c r="G10" s="869">
        <v>0</v>
      </c>
      <c r="H10" s="869">
        <v>0</v>
      </c>
    </row>
    <row r="11" spans="1:8" x14ac:dyDescent="0.25">
      <c r="A11" s="326">
        <v>2</v>
      </c>
      <c r="B11" s="329" t="s">
        <v>18</v>
      </c>
      <c r="C11" s="328" t="s">
        <v>19</v>
      </c>
      <c r="D11" s="869">
        <f t="shared" si="2"/>
        <v>2852</v>
      </c>
      <c r="E11" s="869">
        <v>0</v>
      </c>
      <c r="F11" s="869">
        <f t="shared" si="3"/>
        <v>2852</v>
      </c>
      <c r="G11" s="869">
        <v>0</v>
      </c>
      <c r="H11" s="869">
        <v>2852</v>
      </c>
    </row>
    <row r="12" spans="1:8" x14ac:dyDescent="0.25">
      <c r="A12" s="326">
        <v>3</v>
      </c>
      <c r="B12" s="330" t="s">
        <v>20</v>
      </c>
      <c r="C12" s="331" t="s">
        <v>21</v>
      </c>
      <c r="D12" s="869">
        <f t="shared" si="2"/>
        <v>24850</v>
      </c>
      <c r="E12" s="869">
        <v>0</v>
      </c>
      <c r="F12" s="869">
        <f t="shared" si="3"/>
        <v>24850</v>
      </c>
      <c r="G12" s="869">
        <v>285</v>
      </c>
      <c r="H12" s="869">
        <v>24565</v>
      </c>
    </row>
    <row r="13" spans="1:8" x14ac:dyDescent="0.25">
      <c r="A13" s="326">
        <v>4</v>
      </c>
      <c r="B13" s="327" t="s">
        <v>22</v>
      </c>
      <c r="C13" s="328" t="s">
        <v>23</v>
      </c>
      <c r="D13" s="869">
        <f t="shared" si="2"/>
        <v>2387</v>
      </c>
      <c r="E13" s="869">
        <v>0</v>
      </c>
      <c r="F13" s="869">
        <f t="shared" si="3"/>
        <v>2387</v>
      </c>
      <c r="G13" s="869">
        <v>0</v>
      </c>
      <c r="H13" s="869">
        <v>2387</v>
      </c>
    </row>
    <row r="14" spans="1:8" x14ac:dyDescent="0.25">
      <c r="A14" s="326">
        <v>5</v>
      </c>
      <c r="B14" s="327" t="s">
        <v>24</v>
      </c>
      <c r="C14" s="328" t="s">
        <v>25</v>
      </c>
      <c r="D14" s="869">
        <f t="shared" si="2"/>
        <v>6201</v>
      </c>
      <c r="E14" s="869">
        <v>0</v>
      </c>
      <c r="F14" s="869">
        <f t="shared" si="3"/>
        <v>6201</v>
      </c>
      <c r="G14" s="869">
        <v>1500</v>
      </c>
      <c r="H14" s="869">
        <v>4701</v>
      </c>
    </row>
    <row r="15" spans="1:8" x14ac:dyDescent="0.25">
      <c r="A15" s="326">
        <v>6</v>
      </c>
      <c r="B15" s="330" t="s">
        <v>26</v>
      </c>
      <c r="C15" s="331" t="s">
        <v>27</v>
      </c>
      <c r="D15" s="869">
        <f t="shared" si="2"/>
        <v>3660</v>
      </c>
      <c r="E15" s="869">
        <v>0</v>
      </c>
      <c r="F15" s="869">
        <f t="shared" si="3"/>
        <v>3660</v>
      </c>
      <c r="G15" s="869">
        <v>2320</v>
      </c>
      <c r="H15" s="869">
        <v>1340</v>
      </c>
    </row>
    <row r="16" spans="1:8" x14ac:dyDescent="0.25">
      <c r="A16" s="326">
        <v>7</v>
      </c>
      <c r="B16" s="332" t="s">
        <v>28</v>
      </c>
      <c r="C16" s="333" t="s">
        <v>29</v>
      </c>
      <c r="D16" s="869">
        <f t="shared" si="2"/>
        <v>7165</v>
      </c>
      <c r="E16" s="869">
        <v>0</v>
      </c>
      <c r="F16" s="869">
        <f t="shared" si="3"/>
        <v>7165</v>
      </c>
      <c r="G16" s="869">
        <v>2012</v>
      </c>
      <c r="H16" s="869">
        <v>5153</v>
      </c>
    </row>
    <row r="17" spans="1:8" x14ac:dyDescent="0.25">
      <c r="A17" s="326">
        <v>8</v>
      </c>
      <c r="B17" s="330" t="s">
        <v>30</v>
      </c>
      <c r="C17" s="331" t="s">
        <v>31</v>
      </c>
      <c r="D17" s="869">
        <f t="shared" si="2"/>
        <v>6000</v>
      </c>
      <c r="E17" s="869">
        <v>0</v>
      </c>
      <c r="F17" s="869">
        <f t="shared" si="3"/>
        <v>6000</v>
      </c>
      <c r="G17" s="869">
        <v>3000</v>
      </c>
      <c r="H17" s="869">
        <v>3000</v>
      </c>
    </row>
    <row r="18" spans="1:8" x14ac:dyDescent="0.25">
      <c r="A18" s="326">
        <v>9</v>
      </c>
      <c r="B18" s="330" t="s">
        <v>32</v>
      </c>
      <c r="C18" s="331" t="s">
        <v>33</v>
      </c>
      <c r="D18" s="869">
        <f t="shared" si="2"/>
        <v>0</v>
      </c>
      <c r="E18" s="869">
        <v>0</v>
      </c>
      <c r="F18" s="869">
        <f t="shared" si="3"/>
        <v>0</v>
      </c>
      <c r="G18" s="869">
        <v>0</v>
      </c>
      <c r="H18" s="869">
        <v>0</v>
      </c>
    </row>
    <row r="19" spans="1:8" x14ac:dyDescent="0.25">
      <c r="A19" s="326">
        <v>10</v>
      </c>
      <c r="B19" s="330" t="s">
        <v>34</v>
      </c>
      <c r="C19" s="331" t="s">
        <v>35</v>
      </c>
      <c r="D19" s="869">
        <f t="shared" si="2"/>
        <v>5206</v>
      </c>
      <c r="E19" s="869">
        <v>0</v>
      </c>
      <c r="F19" s="869">
        <f t="shared" si="3"/>
        <v>5206</v>
      </c>
      <c r="G19" s="869">
        <v>1206</v>
      </c>
      <c r="H19" s="869">
        <v>4000</v>
      </c>
    </row>
    <row r="20" spans="1:8" x14ac:dyDescent="0.25">
      <c r="A20" s="326">
        <v>11</v>
      </c>
      <c r="B20" s="330" t="s">
        <v>36</v>
      </c>
      <c r="C20" s="331" t="s">
        <v>37</v>
      </c>
      <c r="D20" s="869">
        <f t="shared" si="2"/>
        <v>11105</v>
      </c>
      <c r="E20" s="869">
        <v>0</v>
      </c>
      <c r="F20" s="869">
        <f t="shared" si="3"/>
        <v>11105</v>
      </c>
      <c r="G20" s="869">
        <v>2520</v>
      </c>
      <c r="H20" s="869">
        <v>8585</v>
      </c>
    </row>
    <row r="21" spans="1:8" x14ac:dyDescent="0.25">
      <c r="A21" s="326">
        <v>12</v>
      </c>
      <c r="B21" s="330" t="s">
        <v>38</v>
      </c>
      <c r="C21" s="331" t="s">
        <v>39</v>
      </c>
      <c r="D21" s="869">
        <f t="shared" si="2"/>
        <v>2010</v>
      </c>
      <c r="E21" s="869">
        <v>0</v>
      </c>
      <c r="F21" s="869">
        <f t="shared" si="3"/>
        <v>2010</v>
      </c>
      <c r="G21" s="869">
        <v>10</v>
      </c>
      <c r="H21" s="869">
        <v>2000</v>
      </c>
    </row>
    <row r="22" spans="1:8" x14ac:dyDescent="0.25">
      <c r="A22" s="334">
        <v>13</v>
      </c>
      <c r="B22" s="330" t="s">
        <v>40</v>
      </c>
      <c r="C22" s="331" t="s">
        <v>41</v>
      </c>
      <c r="D22" s="869">
        <f t="shared" si="2"/>
        <v>0</v>
      </c>
      <c r="E22" s="869">
        <v>0</v>
      </c>
      <c r="F22" s="869">
        <f t="shared" si="3"/>
        <v>0</v>
      </c>
      <c r="G22" s="869">
        <v>0</v>
      </c>
      <c r="H22" s="869">
        <v>0</v>
      </c>
    </row>
    <row r="23" spans="1:8" x14ac:dyDescent="0.25">
      <c r="A23" s="326">
        <v>14</v>
      </c>
      <c r="B23" s="327" t="s">
        <v>42</v>
      </c>
      <c r="C23" s="331" t="s">
        <v>43</v>
      </c>
      <c r="D23" s="869">
        <f t="shared" si="2"/>
        <v>0</v>
      </c>
      <c r="E23" s="869">
        <v>0</v>
      </c>
      <c r="F23" s="869">
        <f t="shared" si="3"/>
        <v>0</v>
      </c>
      <c r="G23" s="869">
        <v>0</v>
      </c>
      <c r="H23" s="869">
        <v>0</v>
      </c>
    </row>
    <row r="24" spans="1:8" x14ac:dyDescent="0.25">
      <c r="A24" s="334">
        <v>15</v>
      </c>
      <c r="B24" s="330" t="s">
        <v>44</v>
      </c>
      <c r="C24" s="331" t="s">
        <v>45</v>
      </c>
      <c r="D24" s="869">
        <f t="shared" si="2"/>
        <v>5107</v>
      </c>
      <c r="E24" s="869">
        <v>0</v>
      </c>
      <c r="F24" s="869">
        <f t="shared" si="3"/>
        <v>5107</v>
      </c>
      <c r="G24" s="869">
        <v>602</v>
      </c>
      <c r="H24" s="869">
        <v>4505</v>
      </c>
    </row>
    <row r="25" spans="1:8" x14ac:dyDescent="0.25">
      <c r="A25" s="326">
        <v>16</v>
      </c>
      <c r="B25" s="330" t="s">
        <v>46</v>
      </c>
      <c r="C25" s="331" t="s">
        <v>47</v>
      </c>
      <c r="D25" s="869">
        <f t="shared" si="2"/>
        <v>0</v>
      </c>
      <c r="E25" s="869">
        <v>0</v>
      </c>
      <c r="F25" s="869">
        <f t="shared" si="3"/>
        <v>0</v>
      </c>
      <c r="G25" s="869">
        <v>0</v>
      </c>
      <c r="H25" s="869">
        <v>0</v>
      </c>
    </row>
    <row r="26" spans="1:8" x14ac:dyDescent="0.25">
      <c r="A26" s="334">
        <v>17</v>
      </c>
      <c r="B26" s="330" t="s">
        <v>48</v>
      </c>
      <c r="C26" s="331" t="s">
        <v>49</v>
      </c>
      <c r="D26" s="869">
        <f t="shared" si="2"/>
        <v>8866</v>
      </c>
      <c r="E26" s="869">
        <v>0</v>
      </c>
      <c r="F26" s="869">
        <f t="shared" si="3"/>
        <v>8866</v>
      </c>
      <c r="G26" s="869">
        <v>2272</v>
      </c>
      <c r="H26" s="869">
        <v>6594</v>
      </c>
    </row>
    <row r="27" spans="1:8" x14ac:dyDescent="0.25">
      <c r="A27" s="326">
        <v>18</v>
      </c>
      <c r="B27" s="330" t="s">
        <v>50</v>
      </c>
      <c r="C27" s="331" t="s">
        <v>51</v>
      </c>
      <c r="D27" s="869">
        <f t="shared" si="2"/>
        <v>52300</v>
      </c>
      <c r="E27" s="869">
        <v>0</v>
      </c>
      <c r="F27" s="869">
        <f t="shared" si="3"/>
        <v>52300</v>
      </c>
      <c r="G27" s="869">
        <v>800</v>
      </c>
      <c r="H27" s="869">
        <v>51500</v>
      </c>
    </row>
    <row r="28" spans="1:8" x14ac:dyDescent="0.25">
      <c r="A28" s="334">
        <v>19</v>
      </c>
      <c r="B28" s="327" t="s">
        <v>52</v>
      </c>
      <c r="C28" s="328" t="s">
        <v>53</v>
      </c>
      <c r="D28" s="869">
        <f t="shared" si="2"/>
        <v>1600</v>
      </c>
      <c r="E28" s="869">
        <v>0</v>
      </c>
      <c r="F28" s="869">
        <f t="shared" si="3"/>
        <v>1600</v>
      </c>
      <c r="G28" s="869">
        <v>1200</v>
      </c>
      <c r="H28" s="869">
        <v>400</v>
      </c>
    </row>
    <row r="29" spans="1:8" x14ac:dyDescent="0.25">
      <c r="A29" s="326">
        <v>20</v>
      </c>
      <c r="B29" s="327" t="s">
        <v>54</v>
      </c>
      <c r="C29" s="328" t="s">
        <v>55</v>
      </c>
      <c r="D29" s="869">
        <f t="shared" si="2"/>
        <v>0</v>
      </c>
      <c r="E29" s="869">
        <v>0</v>
      </c>
      <c r="F29" s="869">
        <f t="shared" si="3"/>
        <v>0</v>
      </c>
      <c r="G29" s="869">
        <v>0</v>
      </c>
      <c r="H29" s="869">
        <v>0</v>
      </c>
    </row>
    <row r="30" spans="1:8" x14ac:dyDescent="0.25">
      <c r="A30" s="334">
        <v>21</v>
      </c>
      <c r="B30" s="327" t="s">
        <v>56</v>
      </c>
      <c r="C30" s="328" t="s">
        <v>57</v>
      </c>
      <c r="D30" s="869">
        <f t="shared" si="2"/>
        <v>3033</v>
      </c>
      <c r="E30" s="869">
        <v>0</v>
      </c>
      <c r="F30" s="869">
        <f t="shared" si="3"/>
        <v>3033</v>
      </c>
      <c r="G30" s="869">
        <v>1981</v>
      </c>
      <c r="H30" s="869">
        <v>1052</v>
      </c>
    </row>
    <row r="31" spans="1:8" x14ac:dyDescent="0.25">
      <c r="A31" s="326">
        <v>22</v>
      </c>
      <c r="B31" s="327" t="s">
        <v>58</v>
      </c>
      <c r="C31" s="328" t="s">
        <v>59</v>
      </c>
      <c r="D31" s="869">
        <f t="shared" si="2"/>
        <v>1800</v>
      </c>
      <c r="E31" s="869">
        <v>0</v>
      </c>
      <c r="F31" s="869">
        <f t="shared" si="3"/>
        <v>1800</v>
      </c>
      <c r="G31" s="869">
        <v>1800</v>
      </c>
      <c r="H31" s="869">
        <v>0</v>
      </c>
    </row>
    <row r="32" spans="1:8" x14ac:dyDescent="0.25">
      <c r="A32" s="334">
        <v>23</v>
      </c>
      <c r="B32" s="330" t="s">
        <v>60</v>
      </c>
      <c r="C32" s="331" t="s">
        <v>61</v>
      </c>
      <c r="D32" s="869">
        <f t="shared" si="2"/>
        <v>1693</v>
      </c>
      <c r="E32" s="869">
        <v>0</v>
      </c>
      <c r="F32" s="869">
        <f t="shared" si="3"/>
        <v>1693</v>
      </c>
      <c r="G32" s="869">
        <v>1200</v>
      </c>
      <c r="H32" s="869">
        <v>493</v>
      </c>
    </row>
    <row r="33" spans="1:8" x14ac:dyDescent="0.25">
      <c r="A33" s="326">
        <v>24</v>
      </c>
      <c r="B33" s="330" t="s">
        <v>62</v>
      </c>
      <c r="C33" s="331" t="s">
        <v>63</v>
      </c>
      <c r="D33" s="869">
        <f t="shared" si="2"/>
        <v>0</v>
      </c>
      <c r="E33" s="869">
        <v>0</v>
      </c>
      <c r="F33" s="869">
        <f t="shared" si="3"/>
        <v>0</v>
      </c>
      <c r="G33" s="869">
        <v>0</v>
      </c>
      <c r="H33" s="869">
        <v>0</v>
      </c>
    </row>
    <row r="34" spans="1:8" x14ac:dyDescent="0.25">
      <c r="A34" s="334">
        <v>25</v>
      </c>
      <c r="B34" s="330" t="s">
        <v>64</v>
      </c>
      <c r="C34" s="331" t="s">
        <v>65</v>
      </c>
      <c r="D34" s="869">
        <f t="shared" si="2"/>
        <v>0</v>
      </c>
      <c r="E34" s="869">
        <v>0</v>
      </c>
      <c r="F34" s="869">
        <f t="shared" si="3"/>
        <v>0</v>
      </c>
      <c r="G34" s="869">
        <v>0</v>
      </c>
      <c r="H34" s="869">
        <v>0</v>
      </c>
    </row>
    <row r="35" spans="1:8" x14ac:dyDescent="0.25">
      <c r="A35" s="326">
        <v>26</v>
      </c>
      <c r="B35" s="327" t="s">
        <v>66</v>
      </c>
      <c r="C35" s="333" t="s">
        <v>67</v>
      </c>
      <c r="D35" s="869">
        <f t="shared" si="2"/>
        <v>33289</v>
      </c>
      <c r="E35" s="869">
        <v>0</v>
      </c>
      <c r="F35" s="869">
        <f t="shared" si="3"/>
        <v>33289</v>
      </c>
      <c r="G35" s="869">
        <v>1987</v>
      </c>
      <c r="H35" s="869">
        <v>31302</v>
      </c>
    </row>
    <row r="36" spans="1:8" x14ac:dyDescent="0.25">
      <c r="A36" s="334">
        <v>27</v>
      </c>
      <c r="B36" s="330" t="s">
        <v>68</v>
      </c>
      <c r="C36" s="331" t="s">
        <v>69</v>
      </c>
      <c r="D36" s="869">
        <f t="shared" si="2"/>
        <v>46307</v>
      </c>
      <c r="E36" s="869">
        <v>0</v>
      </c>
      <c r="F36" s="869">
        <f t="shared" si="3"/>
        <v>46307</v>
      </c>
      <c r="G36" s="869">
        <v>2063</v>
      </c>
      <c r="H36" s="869">
        <v>44244</v>
      </c>
    </row>
    <row r="37" spans="1:8" x14ac:dyDescent="0.25">
      <c r="A37" s="326">
        <v>28</v>
      </c>
      <c r="B37" s="330" t="s">
        <v>70</v>
      </c>
      <c r="C37" s="331" t="s">
        <v>71</v>
      </c>
      <c r="D37" s="869">
        <f t="shared" si="2"/>
        <v>58000</v>
      </c>
      <c r="E37" s="869">
        <v>0</v>
      </c>
      <c r="F37" s="869">
        <f t="shared" si="3"/>
        <v>58000</v>
      </c>
      <c r="G37" s="869">
        <v>0</v>
      </c>
      <c r="H37" s="869">
        <v>58000</v>
      </c>
    </row>
    <row r="38" spans="1:8" x14ac:dyDescent="0.25">
      <c r="A38" s="334">
        <v>29</v>
      </c>
      <c r="B38" s="329" t="s">
        <v>72</v>
      </c>
      <c r="C38" s="333" t="s">
        <v>73</v>
      </c>
      <c r="D38" s="869">
        <f t="shared" si="2"/>
        <v>3050</v>
      </c>
      <c r="E38" s="869">
        <v>3050</v>
      </c>
      <c r="F38" s="869">
        <f t="shared" si="3"/>
        <v>0</v>
      </c>
      <c r="G38" s="869">
        <v>0</v>
      </c>
      <c r="H38" s="869">
        <v>0</v>
      </c>
    </row>
    <row r="39" spans="1:8" x14ac:dyDescent="0.25">
      <c r="A39" s="326">
        <v>30</v>
      </c>
      <c r="B39" s="327" t="s">
        <v>74</v>
      </c>
      <c r="C39" s="328" t="s">
        <v>357</v>
      </c>
      <c r="D39" s="869">
        <f t="shared" si="2"/>
        <v>0</v>
      </c>
      <c r="E39" s="869">
        <v>0</v>
      </c>
      <c r="F39" s="869">
        <f t="shared" si="3"/>
        <v>0</v>
      </c>
      <c r="G39" s="869">
        <v>0</v>
      </c>
      <c r="H39" s="869">
        <v>0</v>
      </c>
    </row>
    <row r="40" spans="1:8" x14ac:dyDescent="0.25">
      <c r="A40" s="334">
        <v>31</v>
      </c>
      <c r="B40" s="330" t="s">
        <v>75</v>
      </c>
      <c r="C40" s="331" t="s">
        <v>76</v>
      </c>
      <c r="D40" s="869">
        <f t="shared" si="2"/>
        <v>300</v>
      </c>
      <c r="E40" s="869">
        <v>0</v>
      </c>
      <c r="F40" s="869">
        <f t="shared" si="3"/>
        <v>300</v>
      </c>
      <c r="G40" s="869">
        <v>0</v>
      </c>
      <c r="H40" s="869">
        <v>300</v>
      </c>
    </row>
    <row r="41" spans="1:8" x14ac:dyDescent="0.25">
      <c r="A41" s="326">
        <v>32</v>
      </c>
      <c r="B41" s="329" t="s">
        <v>77</v>
      </c>
      <c r="C41" s="328" t="s">
        <v>78</v>
      </c>
      <c r="D41" s="869">
        <f t="shared" si="2"/>
        <v>12060</v>
      </c>
      <c r="E41" s="869">
        <v>0</v>
      </c>
      <c r="F41" s="869">
        <f t="shared" si="3"/>
        <v>12060</v>
      </c>
      <c r="G41" s="869">
        <v>5400</v>
      </c>
      <c r="H41" s="869">
        <v>6660</v>
      </c>
    </row>
    <row r="42" spans="1:8" x14ac:dyDescent="0.25">
      <c r="A42" s="334">
        <v>33</v>
      </c>
      <c r="B42" s="332" t="s">
        <v>79</v>
      </c>
      <c r="C42" s="333" t="s">
        <v>80</v>
      </c>
      <c r="D42" s="869">
        <f t="shared" si="2"/>
        <v>22540</v>
      </c>
      <c r="E42" s="869">
        <v>0</v>
      </c>
      <c r="F42" s="869">
        <f t="shared" si="3"/>
        <v>22540</v>
      </c>
      <c r="G42" s="869">
        <v>8900</v>
      </c>
      <c r="H42" s="869">
        <v>13640</v>
      </c>
    </row>
    <row r="43" spans="1:8" x14ac:dyDescent="0.25">
      <c r="A43" s="326">
        <v>34</v>
      </c>
      <c r="B43" s="329" t="s">
        <v>81</v>
      </c>
      <c r="C43" s="328" t="s">
        <v>82</v>
      </c>
      <c r="D43" s="869">
        <f t="shared" si="2"/>
        <v>7025</v>
      </c>
      <c r="E43" s="869">
        <v>0</v>
      </c>
      <c r="F43" s="869">
        <f t="shared" si="3"/>
        <v>7025</v>
      </c>
      <c r="G43" s="869">
        <v>1030</v>
      </c>
      <c r="H43" s="869">
        <v>5995</v>
      </c>
    </row>
    <row r="44" spans="1:8" x14ac:dyDescent="0.25">
      <c r="A44" s="334">
        <v>35</v>
      </c>
      <c r="B44" s="330" t="s">
        <v>83</v>
      </c>
      <c r="C44" s="331" t="s">
        <v>84</v>
      </c>
      <c r="D44" s="869">
        <f t="shared" si="2"/>
        <v>34180</v>
      </c>
      <c r="E44" s="869">
        <v>0</v>
      </c>
      <c r="F44" s="869">
        <f t="shared" si="3"/>
        <v>34180</v>
      </c>
      <c r="G44" s="869">
        <v>8000</v>
      </c>
      <c r="H44" s="869">
        <v>26180</v>
      </c>
    </row>
    <row r="45" spans="1:8" x14ac:dyDescent="0.25">
      <c r="A45" s="326">
        <v>36</v>
      </c>
      <c r="B45" s="329" t="s">
        <v>85</v>
      </c>
      <c r="C45" s="328" t="s">
        <v>86</v>
      </c>
      <c r="D45" s="869">
        <f t="shared" si="2"/>
        <v>7791</v>
      </c>
      <c r="E45" s="869">
        <v>0</v>
      </c>
      <c r="F45" s="869">
        <f t="shared" si="3"/>
        <v>7791</v>
      </c>
      <c r="G45" s="869">
        <v>1246</v>
      </c>
      <c r="H45" s="869">
        <v>6545</v>
      </c>
    </row>
    <row r="46" spans="1:8" x14ac:dyDescent="0.25">
      <c r="A46" s="334">
        <v>37</v>
      </c>
      <c r="B46" s="327" t="s">
        <v>87</v>
      </c>
      <c r="C46" s="328" t="s">
        <v>88</v>
      </c>
      <c r="D46" s="869">
        <f t="shared" si="2"/>
        <v>6000</v>
      </c>
      <c r="E46" s="869">
        <v>0</v>
      </c>
      <c r="F46" s="869">
        <f t="shared" si="3"/>
        <v>6000</v>
      </c>
      <c r="G46" s="869">
        <v>6000</v>
      </c>
      <c r="H46" s="869">
        <v>0</v>
      </c>
    </row>
    <row r="47" spans="1:8" x14ac:dyDescent="0.25">
      <c r="A47" s="326">
        <v>38</v>
      </c>
      <c r="B47" s="335" t="s">
        <v>89</v>
      </c>
      <c r="C47" s="336" t="s">
        <v>90</v>
      </c>
      <c r="D47" s="869">
        <f t="shared" si="2"/>
        <v>8350</v>
      </c>
      <c r="E47" s="869">
        <v>0</v>
      </c>
      <c r="F47" s="869">
        <f t="shared" si="3"/>
        <v>8350</v>
      </c>
      <c r="G47" s="869">
        <v>0</v>
      </c>
      <c r="H47" s="869">
        <v>8350</v>
      </c>
    </row>
    <row r="48" spans="1:8" x14ac:dyDescent="0.25">
      <c r="A48" s="334">
        <v>39</v>
      </c>
      <c r="B48" s="327" t="s">
        <v>91</v>
      </c>
      <c r="C48" s="328" t="s">
        <v>92</v>
      </c>
      <c r="D48" s="869">
        <f t="shared" si="2"/>
        <v>2400</v>
      </c>
      <c r="E48" s="869">
        <v>0</v>
      </c>
      <c r="F48" s="869">
        <f t="shared" si="3"/>
        <v>2400</v>
      </c>
      <c r="G48" s="869">
        <v>2400</v>
      </c>
      <c r="H48" s="869">
        <v>0</v>
      </c>
    </row>
    <row r="49" spans="1:8" x14ac:dyDescent="0.25">
      <c r="A49" s="326">
        <v>40</v>
      </c>
      <c r="B49" s="332" t="s">
        <v>93</v>
      </c>
      <c r="C49" s="333" t="s">
        <v>94</v>
      </c>
      <c r="D49" s="869">
        <f t="shared" si="2"/>
        <v>1400</v>
      </c>
      <c r="E49" s="869">
        <v>0</v>
      </c>
      <c r="F49" s="869">
        <f t="shared" si="3"/>
        <v>1400</v>
      </c>
      <c r="G49" s="869">
        <v>400</v>
      </c>
      <c r="H49" s="869">
        <v>1000</v>
      </c>
    </row>
    <row r="50" spans="1:8" x14ac:dyDescent="0.25">
      <c r="A50" s="334">
        <v>41</v>
      </c>
      <c r="B50" s="330" t="s">
        <v>95</v>
      </c>
      <c r="C50" s="331" t="s">
        <v>96</v>
      </c>
      <c r="D50" s="869">
        <f t="shared" si="2"/>
        <v>4032</v>
      </c>
      <c r="E50" s="869">
        <v>0</v>
      </c>
      <c r="F50" s="869">
        <f t="shared" si="3"/>
        <v>4032</v>
      </c>
      <c r="G50" s="869">
        <v>1000</v>
      </c>
      <c r="H50" s="869">
        <v>3032</v>
      </c>
    </row>
    <row r="51" spans="1:8" x14ac:dyDescent="0.25">
      <c r="A51" s="326">
        <v>42</v>
      </c>
      <c r="B51" s="329" t="s">
        <v>97</v>
      </c>
      <c r="C51" s="328" t="s">
        <v>98</v>
      </c>
      <c r="D51" s="869">
        <f t="shared" si="2"/>
        <v>0</v>
      </c>
      <c r="E51" s="869">
        <v>0</v>
      </c>
      <c r="F51" s="869">
        <f t="shared" si="3"/>
        <v>0</v>
      </c>
      <c r="G51" s="869">
        <v>0</v>
      </c>
      <c r="H51" s="869">
        <v>0</v>
      </c>
    </row>
    <row r="52" spans="1:8" x14ac:dyDescent="0.25">
      <c r="A52" s="334">
        <v>43</v>
      </c>
      <c r="B52" s="330" t="s">
        <v>99</v>
      </c>
      <c r="C52" s="331" t="s">
        <v>100</v>
      </c>
      <c r="D52" s="869">
        <f t="shared" si="2"/>
        <v>19718</v>
      </c>
      <c r="E52" s="869">
        <v>0</v>
      </c>
      <c r="F52" s="869">
        <f t="shared" si="3"/>
        <v>19718</v>
      </c>
      <c r="G52" s="869">
        <v>5939</v>
      </c>
      <c r="H52" s="869">
        <v>13779</v>
      </c>
    </row>
    <row r="53" spans="1:8" x14ac:dyDescent="0.25">
      <c r="A53" s="326">
        <v>44</v>
      </c>
      <c r="B53" s="327" t="s">
        <v>101</v>
      </c>
      <c r="C53" s="328" t="s">
        <v>102</v>
      </c>
      <c r="D53" s="869">
        <f t="shared" si="2"/>
        <v>7396</v>
      </c>
      <c r="E53" s="869">
        <v>0</v>
      </c>
      <c r="F53" s="869">
        <f t="shared" si="3"/>
        <v>7396</v>
      </c>
      <c r="G53" s="869">
        <v>360</v>
      </c>
      <c r="H53" s="869">
        <v>7036</v>
      </c>
    </row>
    <row r="54" spans="1:8" x14ac:dyDescent="0.25">
      <c r="A54" s="334">
        <v>45</v>
      </c>
      <c r="B54" s="327" t="s">
        <v>103</v>
      </c>
      <c r="C54" s="328" t="s">
        <v>104</v>
      </c>
      <c r="D54" s="869">
        <f t="shared" si="2"/>
        <v>5084</v>
      </c>
      <c r="E54" s="869">
        <v>0</v>
      </c>
      <c r="F54" s="869">
        <f t="shared" si="3"/>
        <v>5084</v>
      </c>
      <c r="G54" s="869">
        <v>1426</v>
      </c>
      <c r="H54" s="869">
        <v>3658</v>
      </c>
    </row>
    <row r="55" spans="1:8" x14ac:dyDescent="0.25">
      <c r="A55" s="326">
        <v>46</v>
      </c>
      <c r="B55" s="330" t="s">
        <v>105</v>
      </c>
      <c r="C55" s="331" t="s">
        <v>106</v>
      </c>
      <c r="D55" s="869">
        <f t="shared" si="2"/>
        <v>2742</v>
      </c>
      <c r="E55" s="869">
        <v>0</v>
      </c>
      <c r="F55" s="869">
        <f t="shared" si="3"/>
        <v>2742</v>
      </c>
      <c r="G55" s="869">
        <v>0</v>
      </c>
      <c r="H55" s="869">
        <v>2742</v>
      </c>
    </row>
    <row r="56" spans="1:8" x14ac:dyDescent="0.25">
      <c r="A56" s="334">
        <v>47</v>
      </c>
      <c r="B56" s="330" t="s">
        <v>107</v>
      </c>
      <c r="C56" s="331" t="s">
        <v>108</v>
      </c>
      <c r="D56" s="869">
        <f t="shared" si="2"/>
        <v>2650</v>
      </c>
      <c r="E56" s="869">
        <v>0</v>
      </c>
      <c r="F56" s="869">
        <f t="shared" si="3"/>
        <v>2650</v>
      </c>
      <c r="G56" s="869">
        <v>2500</v>
      </c>
      <c r="H56" s="869">
        <v>150</v>
      </c>
    </row>
    <row r="57" spans="1:8" x14ac:dyDescent="0.25">
      <c r="A57" s="326">
        <v>48</v>
      </c>
      <c r="B57" s="329" t="s">
        <v>109</v>
      </c>
      <c r="C57" s="328" t="s">
        <v>110</v>
      </c>
      <c r="D57" s="869">
        <f t="shared" si="2"/>
        <v>0</v>
      </c>
      <c r="E57" s="869">
        <v>0</v>
      </c>
      <c r="F57" s="869">
        <f t="shared" si="3"/>
        <v>0</v>
      </c>
      <c r="G57" s="869">
        <v>0</v>
      </c>
      <c r="H57" s="869">
        <v>0</v>
      </c>
    </row>
    <row r="58" spans="1:8" x14ac:dyDescent="0.25">
      <c r="A58" s="334">
        <v>49</v>
      </c>
      <c r="B58" s="330" t="s">
        <v>111</v>
      </c>
      <c r="C58" s="331" t="s">
        <v>112</v>
      </c>
      <c r="D58" s="869">
        <f t="shared" si="2"/>
        <v>317</v>
      </c>
      <c r="E58" s="869">
        <v>0</v>
      </c>
      <c r="F58" s="869">
        <f t="shared" si="3"/>
        <v>317</v>
      </c>
      <c r="G58" s="869">
        <v>0</v>
      </c>
      <c r="H58" s="869">
        <v>317</v>
      </c>
    </row>
    <row r="59" spans="1:8" x14ac:dyDescent="0.25">
      <c r="A59" s="326">
        <v>50</v>
      </c>
      <c r="B59" s="329" t="s">
        <v>113</v>
      </c>
      <c r="C59" s="328" t="s">
        <v>114</v>
      </c>
      <c r="D59" s="869">
        <f t="shared" si="2"/>
        <v>4940</v>
      </c>
      <c r="E59" s="869">
        <v>0</v>
      </c>
      <c r="F59" s="869">
        <f t="shared" si="3"/>
        <v>4940</v>
      </c>
      <c r="G59" s="869">
        <v>200</v>
      </c>
      <c r="H59" s="869">
        <v>4740</v>
      </c>
    </row>
    <row r="60" spans="1:8" x14ac:dyDescent="0.25">
      <c r="A60" s="334">
        <v>51</v>
      </c>
      <c r="B60" s="330" t="s">
        <v>115</v>
      </c>
      <c r="C60" s="331" t="s">
        <v>116</v>
      </c>
      <c r="D60" s="869">
        <f t="shared" si="2"/>
        <v>3360</v>
      </c>
      <c r="E60" s="869">
        <v>0</v>
      </c>
      <c r="F60" s="869">
        <f t="shared" si="3"/>
        <v>3360</v>
      </c>
      <c r="G60" s="869">
        <v>160</v>
      </c>
      <c r="H60" s="869">
        <v>3200</v>
      </c>
    </row>
    <row r="61" spans="1:8" x14ac:dyDescent="0.25">
      <c r="A61" s="326">
        <v>52</v>
      </c>
      <c r="B61" s="330" t="s">
        <v>117</v>
      </c>
      <c r="C61" s="331" t="s">
        <v>118</v>
      </c>
      <c r="D61" s="869">
        <f t="shared" si="2"/>
        <v>16336</v>
      </c>
      <c r="E61" s="869">
        <v>0</v>
      </c>
      <c r="F61" s="869">
        <f t="shared" si="3"/>
        <v>16336</v>
      </c>
      <c r="G61" s="869">
        <v>506</v>
      </c>
      <c r="H61" s="869">
        <v>15830</v>
      </c>
    </row>
    <row r="62" spans="1:8" x14ac:dyDescent="0.25">
      <c r="A62" s="334">
        <v>53</v>
      </c>
      <c r="B62" s="330" t="s">
        <v>119</v>
      </c>
      <c r="C62" s="331" t="s">
        <v>120</v>
      </c>
      <c r="D62" s="869">
        <f t="shared" si="2"/>
        <v>3951</v>
      </c>
      <c r="E62" s="869">
        <v>0</v>
      </c>
      <c r="F62" s="869">
        <f t="shared" si="3"/>
        <v>3951</v>
      </c>
      <c r="G62" s="869">
        <v>2150</v>
      </c>
      <c r="H62" s="869">
        <v>1801</v>
      </c>
    </row>
    <row r="63" spans="1:8" x14ac:dyDescent="0.25">
      <c r="A63" s="326">
        <v>54</v>
      </c>
      <c r="B63" s="330" t="s">
        <v>121</v>
      </c>
      <c r="C63" s="331" t="s">
        <v>122</v>
      </c>
      <c r="D63" s="869">
        <f t="shared" si="2"/>
        <v>0</v>
      </c>
      <c r="E63" s="869">
        <v>0</v>
      </c>
      <c r="F63" s="869">
        <f t="shared" si="3"/>
        <v>0</v>
      </c>
      <c r="G63" s="869">
        <v>0</v>
      </c>
      <c r="H63" s="869">
        <v>0</v>
      </c>
    </row>
    <row r="64" spans="1:8" x14ac:dyDescent="0.25">
      <c r="A64" s="334">
        <v>55</v>
      </c>
      <c r="B64" s="330" t="s">
        <v>123</v>
      </c>
      <c r="C64" s="331" t="s">
        <v>124</v>
      </c>
      <c r="D64" s="869">
        <f t="shared" si="2"/>
        <v>0</v>
      </c>
      <c r="E64" s="869">
        <v>0</v>
      </c>
      <c r="F64" s="869">
        <f t="shared" si="3"/>
        <v>0</v>
      </c>
      <c r="G64" s="869">
        <v>0</v>
      </c>
      <c r="H64" s="869">
        <v>0</v>
      </c>
    </row>
    <row r="65" spans="1:8" x14ac:dyDescent="0.25">
      <c r="A65" s="326">
        <v>56</v>
      </c>
      <c r="B65" s="337" t="s">
        <v>125</v>
      </c>
      <c r="C65" s="333" t="s">
        <v>126</v>
      </c>
      <c r="D65" s="869">
        <f t="shared" si="2"/>
        <v>0</v>
      </c>
      <c r="E65" s="869">
        <v>0</v>
      </c>
      <c r="F65" s="869">
        <f t="shared" si="3"/>
        <v>0</v>
      </c>
      <c r="G65" s="869">
        <v>0</v>
      </c>
      <c r="H65" s="869">
        <v>0</v>
      </c>
    </row>
    <row r="66" spans="1:8" x14ac:dyDescent="0.25">
      <c r="A66" s="334">
        <v>57</v>
      </c>
      <c r="B66" s="330" t="s">
        <v>127</v>
      </c>
      <c r="C66" s="331" t="s">
        <v>128</v>
      </c>
      <c r="D66" s="869">
        <f t="shared" si="2"/>
        <v>0</v>
      </c>
      <c r="E66" s="869">
        <v>0</v>
      </c>
      <c r="F66" s="869">
        <f t="shared" si="3"/>
        <v>0</v>
      </c>
      <c r="G66" s="869">
        <v>0</v>
      </c>
      <c r="H66" s="869">
        <v>0</v>
      </c>
    </row>
    <row r="67" spans="1:8" x14ac:dyDescent="0.25">
      <c r="A67" s="326">
        <v>58</v>
      </c>
      <c r="B67" s="329" t="s">
        <v>129</v>
      </c>
      <c r="C67" s="331" t="s">
        <v>130</v>
      </c>
      <c r="D67" s="869">
        <f t="shared" si="2"/>
        <v>0</v>
      </c>
      <c r="E67" s="869">
        <v>0</v>
      </c>
      <c r="F67" s="869">
        <f t="shared" si="3"/>
        <v>0</v>
      </c>
      <c r="G67" s="869">
        <v>0</v>
      </c>
      <c r="H67" s="869">
        <v>0</v>
      </c>
    </row>
    <row r="68" spans="1:8" x14ac:dyDescent="0.25">
      <c r="A68" s="334">
        <v>59</v>
      </c>
      <c r="B68" s="332" t="s">
        <v>131</v>
      </c>
      <c r="C68" s="333" t="s">
        <v>132</v>
      </c>
      <c r="D68" s="869">
        <f t="shared" si="2"/>
        <v>1600</v>
      </c>
      <c r="E68" s="869">
        <v>0</v>
      </c>
      <c r="F68" s="869">
        <f t="shared" si="3"/>
        <v>1600</v>
      </c>
      <c r="G68" s="869">
        <v>800</v>
      </c>
      <c r="H68" s="869">
        <v>800</v>
      </c>
    </row>
    <row r="69" spans="1:8" x14ac:dyDescent="0.25">
      <c r="A69" s="326">
        <v>60</v>
      </c>
      <c r="B69" s="329" t="s">
        <v>133</v>
      </c>
      <c r="C69" s="331" t="s">
        <v>134</v>
      </c>
      <c r="D69" s="869">
        <f t="shared" si="2"/>
        <v>0</v>
      </c>
      <c r="E69" s="869">
        <v>0</v>
      </c>
      <c r="F69" s="869">
        <f t="shared" si="3"/>
        <v>0</v>
      </c>
      <c r="G69" s="869">
        <v>0</v>
      </c>
      <c r="H69" s="869">
        <v>0</v>
      </c>
    </row>
    <row r="70" spans="1:8" x14ac:dyDescent="0.25">
      <c r="A70" s="334">
        <v>61</v>
      </c>
      <c r="B70" s="330" t="s">
        <v>135</v>
      </c>
      <c r="C70" s="331" t="s">
        <v>136</v>
      </c>
      <c r="D70" s="869">
        <f t="shared" si="2"/>
        <v>0</v>
      </c>
      <c r="E70" s="869">
        <v>0</v>
      </c>
      <c r="F70" s="869">
        <f t="shared" si="3"/>
        <v>0</v>
      </c>
      <c r="G70" s="869">
        <v>0</v>
      </c>
      <c r="H70" s="869">
        <v>0</v>
      </c>
    </row>
    <row r="71" spans="1:8" x14ac:dyDescent="0.25">
      <c r="A71" s="326">
        <v>62</v>
      </c>
      <c r="B71" s="327" t="s">
        <v>137</v>
      </c>
      <c r="C71" s="331" t="s">
        <v>138</v>
      </c>
      <c r="D71" s="869">
        <f t="shared" si="2"/>
        <v>6102</v>
      </c>
      <c r="E71" s="869">
        <v>6102</v>
      </c>
      <c r="F71" s="869">
        <f t="shared" si="3"/>
        <v>0</v>
      </c>
      <c r="G71" s="869">
        <v>0</v>
      </c>
      <c r="H71" s="869">
        <v>0</v>
      </c>
    </row>
    <row r="72" spans="1:8" x14ac:dyDescent="0.25">
      <c r="A72" s="334">
        <v>63</v>
      </c>
      <c r="B72" s="327" t="s">
        <v>139</v>
      </c>
      <c r="C72" s="331" t="s">
        <v>140</v>
      </c>
      <c r="D72" s="869">
        <f t="shared" si="2"/>
        <v>18904</v>
      </c>
      <c r="E72" s="869">
        <v>18904</v>
      </c>
      <c r="F72" s="869">
        <f t="shared" si="3"/>
        <v>0</v>
      </c>
      <c r="G72" s="869">
        <v>0</v>
      </c>
      <c r="H72" s="869">
        <v>0</v>
      </c>
    </row>
    <row r="73" spans="1:8" x14ac:dyDescent="0.25">
      <c r="A73" s="326">
        <v>64</v>
      </c>
      <c r="B73" s="329" t="s">
        <v>141</v>
      </c>
      <c r="C73" s="331" t="s">
        <v>142</v>
      </c>
      <c r="D73" s="869">
        <f t="shared" si="2"/>
        <v>0</v>
      </c>
      <c r="E73" s="869">
        <v>0</v>
      </c>
      <c r="F73" s="869">
        <f t="shared" si="3"/>
        <v>0</v>
      </c>
      <c r="G73" s="869">
        <v>0</v>
      </c>
      <c r="H73" s="869">
        <v>0</v>
      </c>
    </row>
    <row r="74" spans="1:8" x14ac:dyDescent="0.25">
      <c r="A74" s="334">
        <v>65</v>
      </c>
      <c r="B74" s="329" t="s">
        <v>143</v>
      </c>
      <c r="C74" s="328" t="s">
        <v>144</v>
      </c>
      <c r="D74" s="869">
        <f t="shared" ref="D74:D137" si="4">E74+F74</f>
        <v>0</v>
      </c>
      <c r="E74" s="869">
        <v>0</v>
      </c>
      <c r="F74" s="869">
        <f t="shared" ref="F74:F137" si="5">SUM(G74:H74)</f>
        <v>0</v>
      </c>
      <c r="G74" s="869">
        <v>0</v>
      </c>
      <c r="H74" s="869">
        <v>0</v>
      </c>
    </row>
    <row r="75" spans="1:8" x14ac:dyDescent="0.25">
      <c r="A75" s="326">
        <v>66</v>
      </c>
      <c r="B75" s="329" t="s">
        <v>145</v>
      </c>
      <c r="C75" s="331" t="s">
        <v>146</v>
      </c>
      <c r="D75" s="869">
        <f t="shared" si="4"/>
        <v>0</v>
      </c>
      <c r="E75" s="869">
        <v>0</v>
      </c>
      <c r="F75" s="869">
        <f t="shared" si="5"/>
        <v>0</v>
      </c>
      <c r="G75" s="869">
        <v>0</v>
      </c>
      <c r="H75" s="869">
        <v>0</v>
      </c>
    </row>
    <row r="76" spans="1:8" x14ac:dyDescent="0.25">
      <c r="A76" s="334">
        <v>67</v>
      </c>
      <c r="B76" s="329" t="s">
        <v>147</v>
      </c>
      <c r="C76" s="331" t="s">
        <v>148</v>
      </c>
      <c r="D76" s="869">
        <f t="shared" si="4"/>
        <v>200</v>
      </c>
      <c r="E76" s="869">
        <v>200</v>
      </c>
      <c r="F76" s="869">
        <f t="shared" si="5"/>
        <v>0</v>
      </c>
      <c r="G76" s="869">
        <v>0</v>
      </c>
      <c r="H76" s="869">
        <v>0</v>
      </c>
    </row>
    <row r="77" spans="1:8" x14ac:dyDescent="0.25">
      <c r="A77" s="326">
        <v>68</v>
      </c>
      <c r="B77" s="327" t="s">
        <v>149</v>
      </c>
      <c r="C77" s="331" t="s">
        <v>150</v>
      </c>
      <c r="D77" s="869">
        <f t="shared" si="4"/>
        <v>0</v>
      </c>
      <c r="E77" s="869">
        <v>0</v>
      </c>
      <c r="F77" s="869">
        <f t="shared" si="5"/>
        <v>0</v>
      </c>
      <c r="G77" s="869">
        <v>0</v>
      </c>
      <c r="H77" s="869">
        <v>0</v>
      </c>
    </row>
    <row r="78" spans="1:8" x14ac:dyDescent="0.25">
      <c r="A78" s="334">
        <v>69</v>
      </c>
      <c r="B78" s="329" t="s">
        <v>151</v>
      </c>
      <c r="C78" s="331" t="s">
        <v>152</v>
      </c>
      <c r="D78" s="869">
        <f t="shared" si="4"/>
        <v>50</v>
      </c>
      <c r="E78" s="869">
        <v>50</v>
      </c>
      <c r="F78" s="869">
        <f t="shared" si="5"/>
        <v>0</v>
      </c>
      <c r="G78" s="869">
        <v>0</v>
      </c>
      <c r="H78" s="869">
        <v>0</v>
      </c>
    </row>
    <row r="79" spans="1:8" x14ac:dyDescent="0.25">
      <c r="A79" s="326">
        <v>70</v>
      </c>
      <c r="B79" s="329" t="s">
        <v>153</v>
      </c>
      <c r="C79" s="331" t="s">
        <v>154</v>
      </c>
      <c r="D79" s="869">
        <f t="shared" si="4"/>
        <v>0</v>
      </c>
      <c r="E79" s="869">
        <v>0</v>
      </c>
      <c r="F79" s="869">
        <f t="shared" si="5"/>
        <v>0</v>
      </c>
      <c r="G79" s="869">
        <v>0</v>
      </c>
      <c r="H79" s="869">
        <v>0</v>
      </c>
    </row>
    <row r="80" spans="1:8" x14ac:dyDescent="0.25">
      <c r="A80" s="334">
        <v>71</v>
      </c>
      <c r="B80" s="327" t="s">
        <v>155</v>
      </c>
      <c r="C80" s="331" t="s">
        <v>156</v>
      </c>
      <c r="D80" s="869">
        <f t="shared" si="4"/>
        <v>4000</v>
      </c>
      <c r="E80" s="869">
        <v>4000</v>
      </c>
      <c r="F80" s="869">
        <f t="shared" si="5"/>
        <v>0</v>
      </c>
      <c r="G80" s="869">
        <v>0</v>
      </c>
      <c r="H80" s="869">
        <v>0</v>
      </c>
    </row>
    <row r="81" spans="1:8" x14ac:dyDescent="0.25">
      <c r="A81" s="326">
        <v>72</v>
      </c>
      <c r="B81" s="327" t="s">
        <v>157</v>
      </c>
      <c r="C81" s="331" t="s">
        <v>158</v>
      </c>
      <c r="D81" s="869">
        <f t="shared" si="4"/>
        <v>163</v>
      </c>
      <c r="E81" s="869">
        <v>163</v>
      </c>
      <c r="F81" s="869">
        <f t="shared" si="5"/>
        <v>0</v>
      </c>
      <c r="G81" s="869">
        <v>0</v>
      </c>
      <c r="H81" s="869">
        <v>0</v>
      </c>
    </row>
    <row r="82" spans="1:8" x14ac:dyDescent="0.25">
      <c r="A82" s="334">
        <v>73</v>
      </c>
      <c r="B82" s="327" t="s">
        <v>159</v>
      </c>
      <c r="C82" s="331" t="s">
        <v>160</v>
      </c>
      <c r="D82" s="869">
        <f t="shared" si="4"/>
        <v>124</v>
      </c>
      <c r="E82" s="869">
        <v>124</v>
      </c>
      <c r="F82" s="869">
        <f t="shared" si="5"/>
        <v>0</v>
      </c>
      <c r="G82" s="869">
        <v>0</v>
      </c>
      <c r="H82" s="869">
        <v>0</v>
      </c>
    </row>
    <row r="83" spans="1:8" x14ac:dyDescent="0.25">
      <c r="A83" s="326">
        <v>74</v>
      </c>
      <c r="B83" s="330" t="s">
        <v>161</v>
      </c>
      <c r="C83" s="331" t="s">
        <v>162</v>
      </c>
      <c r="D83" s="869">
        <f t="shared" si="4"/>
        <v>3940</v>
      </c>
      <c r="E83" s="869">
        <v>0</v>
      </c>
      <c r="F83" s="869">
        <f t="shared" si="5"/>
        <v>3940</v>
      </c>
      <c r="G83" s="869">
        <v>0</v>
      </c>
      <c r="H83" s="869">
        <v>3940</v>
      </c>
    </row>
    <row r="84" spans="1:8" x14ac:dyDescent="0.25">
      <c r="A84" s="334">
        <v>75</v>
      </c>
      <c r="B84" s="327" t="s">
        <v>163</v>
      </c>
      <c r="C84" s="331" t="s">
        <v>164</v>
      </c>
      <c r="D84" s="869">
        <f t="shared" si="4"/>
        <v>960</v>
      </c>
      <c r="E84" s="869">
        <v>0</v>
      </c>
      <c r="F84" s="869">
        <f t="shared" si="5"/>
        <v>960</v>
      </c>
      <c r="G84" s="869">
        <v>0</v>
      </c>
      <c r="H84" s="869">
        <v>960</v>
      </c>
    </row>
    <row r="85" spans="1:8" x14ac:dyDescent="0.25">
      <c r="A85" s="326">
        <v>76</v>
      </c>
      <c r="B85" s="330" t="s">
        <v>165</v>
      </c>
      <c r="C85" s="331" t="s">
        <v>166</v>
      </c>
      <c r="D85" s="869">
        <f t="shared" si="4"/>
        <v>4300</v>
      </c>
      <c r="E85" s="869">
        <v>0</v>
      </c>
      <c r="F85" s="869">
        <f t="shared" si="5"/>
        <v>4300</v>
      </c>
      <c r="G85" s="869">
        <v>0</v>
      </c>
      <c r="H85" s="869">
        <v>4300</v>
      </c>
    </row>
    <row r="86" spans="1:8" x14ac:dyDescent="0.25">
      <c r="A86" s="334">
        <v>77</v>
      </c>
      <c r="B86" s="332" t="s">
        <v>167</v>
      </c>
      <c r="C86" s="333" t="s">
        <v>168</v>
      </c>
      <c r="D86" s="869">
        <f t="shared" si="4"/>
        <v>0</v>
      </c>
      <c r="E86" s="869">
        <v>0</v>
      </c>
      <c r="F86" s="869">
        <f t="shared" si="5"/>
        <v>0</v>
      </c>
      <c r="G86" s="869">
        <v>0</v>
      </c>
      <c r="H86" s="869">
        <v>0</v>
      </c>
    </row>
    <row r="87" spans="1:8" x14ac:dyDescent="0.25">
      <c r="A87" s="326">
        <v>78</v>
      </c>
      <c r="B87" s="327" t="s">
        <v>169</v>
      </c>
      <c r="C87" s="331" t="s">
        <v>170</v>
      </c>
      <c r="D87" s="869">
        <f t="shared" si="4"/>
        <v>0</v>
      </c>
      <c r="E87" s="869">
        <v>0</v>
      </c>
      <c r="F87" s="869">
        <f t="shared" si="5"/>
        <v>0</v>
      </c>
      <c r="G87" s="869">
        <v>0</v>
      </c>
      <c r="H87" s="869">
        <v>0</v>
      </c>
    </row>
    <row r="88" spans="1:8" x14ac:dyDescent="0.25">
      <c r="A88" s="334">
        <v>79</v>
      </c>
      <c r="B88" s="332" t="s">
        <v>171</v>
      </c>
      <c r="C88" s="333" t="s">
        <v>172</v>
      </c>
      <c r="D88" s="869">
        <f t="shared" si="4"/>
        <v>0</v>
      </c>
      <c r="E88" s="869">
        <v>0</v>
      </c>
      <c r="F88" s="869">
        <f t="shared" si="5"/>
        <v>0</v>
      </c>
      <c r="G88" s="869">
        <v>0</v>
      </c>
      <c r="H88" s="869">
        <v>0</v>
      </c>
    </row>
    <row r="89" spans="1:8" x14ac:dyDescent="0.25">
      <c r="A89" s="326">
        <v>80</v>
      </c>
      <c r="B89" s="327" t="s">
        <v>173</v>
      </c>
      <c r="C89" s="331" t="s">
        <v>174</v>
      </c>
      <c r="D89" s="869">
        <f t="shared" si="4"/>
        <v>1500</v>
      </c>
      <c r="E89" s="869">
        <v>0</v>
      </c>
      <c r="F89" s="869">
        <f t="shared" si="5"/>
        <v>1500</v>
      </c>
      <c r="G89" s="869">
        <v>0</v>
      </c>
      <c r="H89" s="869">
        <v>1500</v>
      </c>
    </row>
    <row r="90" spans="1:8" x14ac:dyDescent="0.25">
      <c r="A90" s="334">
        <v>81</v>
      </c>
      <c r="B90" s="332" t="s">
        <v>175</v>
      </c>
      <c r="C90" s="50" t="s">
        <v>749</v>
      </c>
      <c r="D90" s="869">
        <f t="shared" si="4"/>
        <v>0</v>
      </c>
      <c r="E90" s="869">
        <v>0</v>
      </c>
      <c r="F90" s="869">
        <f t="shared" si="5"/>
        <v>0</v>
      </c>
      <c r="G90" s="869">
        <v>0</v>
      </c>
      <c r="H90" s="869">
        <v>0</v>
      </c>
    </row>
    <row r="91" spans="1:8" x14ac:dyDescent="0.25">
      <c r="A91" s="326">
        <v>82</v>
      </c>
      <c r="B91" s="329" t="s">
        <v>177</v>
      </c>
      <c r="C91" s="331" t="s">
        <v>358</v>
      </c>
      <c r="D91" s="869">
        <f t="shared" si="4"/>
        <v>0</v>
      </c>
      <c r="E91" s="869">
        <v>0</v>
      </c>
      <c r="F91" s="869">
        <f t="shared" si="5"/>
        <v>0</v>
      </c>
      <c r="G91" s="869">
        <v>0</v>
      </c>
      <c r="H91" s="869">
        <v>0</v>
      </c>
    </row>
    <row r="92" spans="1:8" ht="24" x14ac:dyDescent="0.25">
      <c r="A92" s="1043">
        <v>83</v>
      </c>
      <c r="B92" s="1046" t="s">
        <v>178</v>
      </c>
      <c r="C92" s="338" t="s">
        <v>747</v>
      </c>
      <c r="D92" s="869">
        <f t="shared" si="4"/>
        <v>0</v>
      </c>
      <c r="E92" s="869">
        <v>0</v>
      </c>
      <c r="F92" s="869">
        <f t="shared" si="5"/>
        <v>0</v>
      </c>
      <c r="G92" s="869">
        <v>0</v>
      </c>
      <c r="H92" s="869">
        <v>0</v>
      </c>
    </row>
    <row r="93" spans="1:8" x14ac:dyDescent="0.25">
      <c r="A93" s="1044"/>
      <c r="B93" s="1047"/>
      <c r="C93" s="331" t="s">
        <v>180</v>
      </c>
      <c r="D93" s="869">
        <f t="shared" si="4"/>
        <v>0</v>
      </c>
      <c r="E93" s="869">
        <v>0</v>
      </c>
      <c r="F93" s="869">
        <f t="shared" si="5"/>
        <v>0</v>
      </c>
      <c r="G93" s="869">
        <v>0</v>
      </c>
      <c r="H93" s="869">
        <v>0</v>
      </c>
    </row>
    <row r="94" spans="1:8" ht="24" x14ac:dyDescent="0.25">
      <c r="A94" s="1045"/>
      <c r="B94" s="1048"/>
      <c r="C94" s="339" t="s">
        <v>748</v>
      </c>
      <c r="D94" s="869">
        <f t="shared" si="4"/>
        <v>0</v>
      </c>
      <c r="E94" s="869">
        <v>0</v>
      </c>
      <c r="F94" s="869">
        <f t="shared" si="5"/>
        <v>0</v>
      </c>
      <c r="G94" s="869">
        <v>0</v>
      </c>
      <c r="H94" s="869">
        <v>0</v>
      </c>
    </row>
    <row r="95" spans="1:8" x14ac:dyDescent="0.25">
      <c r="A95" s="326">
        <v>84</v>
      </c>
      <c r="B95" s="329" t="s">
        <v>181</v>
      </c>
      <c r="C95" s="328" t="s">
        <v>182</v>
      </c>
      <c r="D95" s="869">
        <f t="shared" si="4"/>
        <v>0</v>
      </c>
      <c r="E95" s="869">
        <v>0</v>
      </c>
      <c r="F95" s="869">
        <f t="shared" si="5"/>
        <v>0</v>
      </c>
      <c r="G95" s="869">
        <v>0</v>
      </c>
      <c r="H95" s="869">
        <v>0</v>
      </c>
    </row>
    <row r="96" spans="1:8" x14ac:dyDescent="0.25">
      <c r="A96" s="326">
        <v>85</v>
      </c>
      <c r="B96" s="329" t="s">
        <v>183</v>
      </c>
      <c r="C96" s="333" t="s">
        <v>184</v>
      </c>
      <c r="D96" s="869">
        <f t="shared" si="4"/>
        <v>0</v>
      </c>
      <c r="E96" s="869">
        <v>0</v>
      </c>
      <c r="F96" s="869">
        <f t="shared" si="5"/>
        <v>0</v>
      </c>
      <c r="G96" s="869">
        <v>0</v>
      </c>
      <c r="H96" s="869">
        <v>0</v>
      </c>
    </row>
    <row r="97" spans="1:8" x14ac:dyDescent="0.25">
      <c r="A97" s="326">
        <v>86</v>
      </c>
      <c r="B97" s="330" t="s">
        <v>185</v>
      </c>
      <c r="C97" s="331" t="s">
        <v>186</v>
      </c>
      <c r="D97" s="869">
        <f t="shared" si="4"/>
        <v>1000</v>
      </c>
      <c r="E97" s="869">
        <v>0</v>
      </c>
      <c r="F97" s="869">
        <f t="shared" si="5"/>
        <v>1000</v>
      </c>
      <c r="G97" s="869">
        <v>0</v>
      </c>
      <c r="H97" s="869">
        <v>1000</v>
      </c>
    </row>
    <row r="98" spans="1:8" x14ac:dyDescent="0.25">
      <c r="A98" s="326">
        <v>87</v>
      </c>
      <c r="B98" s="329" t="s">
        <v>187</v>
      </c>
      <c r="C98" s="328" t="s">
        <v>188</v>
      </c>
      <c r="D98" s="869">
        <f t="shared" si="4"/>
        <v>0</v>
      </c>
      <c r="E98" s="869">
        <v>0</v>
      </c>
      <c r="F98" s="869">
        <f t="shared" si="5"/>
        <v>0</v>
      </c>
      <c r="G98" s="869">
        <v>0</v>
      </c>
      <c r="H98" s="869">
        <v>0</v>
      </c>
    </row>
    <row r="99" spans="1:8" x14ac:dyDescent="0.25">
      <c r="A99" s="326">
        <v>88</v>
      </c>
      <c r="B99" s="330" t="s">
        <v>189</v>
      </c>
      <c r="C99" s="331" t="s">
        <v>190</v>
      </c>
      <c r="D99" s="869">
        <f t="shared" si="4"/>
        <v>2960</v>
      </c>
      <c r="E99" s="869">
        <v>0</v>
      </c>
      <c r="F99" s="869">
        <f t="shared" si="5"/>
        <v>2960</v>
      </c>
      <c r="G99" s="869">
        <v>0</v>
      </c>
      <c r="H99" s="869">
        <v>2960</v>
      </c>
    </row>
    <row r="100" spans="1:8" x14ac:dyDescent="0.25">
      <c r="A100" s="326">
        <v>89</v>
      </c>
      <c r="B100" s="330" t="s">
        <v>191</v>
      </c>
      <c r="C100" s="331" t="s">
        <v>192</v>
      </c>
      <c r="D100" s="869">
        <f t="shared" si="4"/>
        <v>8000</v>
      </c>
      <c r="E100" s="869">
        <v>0</v>
      </c>
      <c r="F100" s="869">
        <f t="shared" si="5"/>
        <v>8000</v>
      </c>
      <c r="G100" s="869">
        <v>2000</v>
      </c>
      <c r="H100" s="869">
        <v>6000</v>
      </c>
    </row>
    <row r="101" spans="1:8" x14ac:dyDescent="0.25">
      <c r="A101" s="326">
        <v>90</v>
      </c>
      <c r="B101" s="329" t="s">
        <v>193</v>
      </c>
      <c r="C101" s="333" t="s">
        <v>194</v>
      </c>
      <c r="D101" s="869">
        <f t="shared" si="4"/>
        <v>6620</v>
      </c>
      <c r="E101" s="869">
        <v>0</v>
      </c>
      <c r="F101" s="869">
        <f t="shared" si="5"/>
        <v>6620</v>
      </c>
      <c r="G101" s="869">
        <v>0</v>
      </c>
      <c r="H101" s="869">
        <v>6620</v>
      </c>
    </row>
    <row r="102" spans="1:8" x14ac:dyDescent="0.25">
      <c r="A102" s="326">
        <v>91</v>
      </c>
      <c r="B102" s="329" t="s">
        <v>195</v>
      </c>
      <c r="C102" s="328" t="s">
        <v>196</v>
      </c>
      <c r="D102" s="869">
        <f t="shared" si="4"/>
        <v>0</v>
      </c>
      <c r="E102" s="869">
        <v>0</v>
      </c>
      <c r="F102" s="869">
        <f t="shared" si="5"/>
        <v>0</v>
      </c>
      <c r="G102" s="869">
        <v>0</v>
      </c>
      <c r="H102" s="869">
        <v>0</v>
      </c>
    </row>
    <row r="103" spans="1:8" x14ac:dyDescent="0.25">
      <c r="A103" s="326">
        <v>92</v>
      </c>
      <c r="B103" s="327" t="s">
        <v>197</v>
      </c>
      <c r="C103" s="328" t="s">
        <v>198</v>
      </c>
      <c r="D103" s="869">
        <f t="shared" si="4"/>
        <v>2300</v>
      </c>
      <c r="E103" s="869">
        <v>0</v>
      </c>
      <c r="F103" s="869">
        <f t="shared" si="5"/>
        <v>2300</v>
      </c>
      <c r="G103" s="869">
        <v>2300</v>
      </c>
      <c r="H103" s="869">
        <v>0</v>
      </c>
    </row>
    <row r="104" spans="1:8" x14ac:dyDescent="0.25">
      <c r="A104" s="326">
        <v>93</v>
      </c>
      <c r="B104" s="327" t="s">
        <v>199</v>
      </c>
      <c r="C104" s="328" t="s">
        <v>200</v>
      </c>
      <c r="D104" s="869">
        <f t="shared" si="4"/>
        <v>7477</v>
      </c>
      <c r="E104" s="869">
        <v>0</v>
      </c>
      <c r="F104" s="869">
        <f t="shared" si="5"/>
        <v>7477</v>
      </c>
      <c r="G104" s="869">
        <v>1440</v>
      </c>
      <c r="H104" s="869">
        <v>6037</v>
      </c>
    </row>
    <row r="105" spans="1:8" x14ac:dyDescent="0.25">
      <c r="A105" s="326">
        <v>94</v>
      </c>
      <c r="B105" s="330" t="s">
        <v>201</v>
      </c>
      <c r="C105" s="331" t="s">
        <v>202</v>
      </c>
      <c r="D105" s="869">
        <f t="shared" si="4"/>
        <v>2277</v>
      </c>
      <c r="E105" s="869">
        <v>0</v>
      </c>
      <c r="F105" s="869">
        <f t="shared" si="5"/>
        <v>2277</v>
      </c>
      <c r="G105" s="869">
        <v>2277</v>
      </c>
      <c r="H105" s="869">
        <v>0</v>
      </c>
    </row>
    <row r="106" spans="1:8" x14ac:dyDescent="0.25">
      <c r="A106" s="326">
        <v>95</v>
      </c>
      <c r="B106" s="332" t="s">
        <v>203</v>
      </c>
      <c r="C106" s="333" t="s">
        <v>204</v>
      </c>
      <c r="D106" s="869">
        <f t="shared" si="4"/>
        <v>4000</v>
      </c>
      <c r="E106" s="869">
        <v>0</v>
      </c>
      <c r="F106" s="869">
        <f t="shared" si="5"/>
        <v>4000</v>
      </c>
      <c r="G106" s="869">
        <v>0</v>
      </c>
      <c r="H106" s="869">
        <v>4000</v>
      </c>
    </row>
    <row r="107" spans="1:8" x14ac:dyDescent="0.25">
      <c r="A107" s="326">
        <v>96</v>
      </c>
      <c r="B107" s="327" t="s">
        <v>205</v>
      </c>
      <c r="C107" s="328" t="s">
        <v>206</v>
      </c>
      <c r="D107" s="869">
        <f t="shared" si="4"/>
        <v>5961</v>
      </c>
      <c r="E107" s="869">
        <v>0</v>
      </c>
      <c r="F107" s="869">
        <f t="shared" si="5"/>
        <v>5961</v>
      </c>
      <c r="G107" s="869">
        <v>1170</v>
      </c>
      <c r="H107" s="869">
        <v>4791</v>
      </c>
    </row>
    <row r="108" spans="1:8" x14ac:dyDescent="0.25">
      <c r="A108" s="326">
        <v>97</v>
      </c>
      <c r="B108" s="329" t="s">
        <v>207</v>
      </c>
      <c r="C108" s="328" t="s">
        <v>208</v>
      </c>
      <c r="D108" s="869">
        <f t="shared" si="4"/>
        <v>9780</v>
      </c>
      <c r="E108" s="869">
        <v>0</v>
      </c>
      <c r="F108" s="869">
        <f t="shared" si="5"/>
        <v>9780</v>
      </c>
      <c r="G108" s="869">
        <v>2700</v>
      </c>
      <c r="H108" s="869">
        <v>7080</v>
      </c>
    </row>
    <row r="109" spans="1:8" x14ac:dyDescent="0.25">
      <c r="A109" s="326">
        <v>98</v>
      </c>
      <c r="B109" s="330" t="s">
        <v>209</v>
      </c>
      <c r="C109" s="331" t="s">
        <v>210</v>
      </c>
      <c r="D109" s="869">
        <f t="shared" si="4"/>
        <v>1113</v>
      </c>
      <c r="E109" s="869">
        <v>0</v>
      </c>
      <c r="F109" s="869">
        <f t="shared" si="5"/>
        <v>1113</v>
      </c>
      <c r="G109" s="869">
        <v>1000</v>
      </c>
      <c r="H109" s="869">
        <v>113</v>
      </c>
    </row>
    <row r="110" spans="1:8" x14ac:dyDescent="0.25">
      <c r="A110" s="326">
        <v>99</v>
      </c>
      <c r="B110" s="330" t="s">
        <v>211</v>
      </c>
      <c r="C110" s="331" t="s">
        <v>212</v>
      </c>
      <c r="D110" s="869">
        <f t="shared" si="4"/>
        <v>6150</v>
      </c>
      <c r="E110" s="869">
        <v>0</v>
      </c>
      <c r="F110" s="869">
        <f t="shared" si="5"/>
        <v>6150</v>
      </c>
      <c r="G110" s="869">
        <v>2150</v>
      </c>
      <c r="H110" s="869">
        <v>4000</v>
      </c>
    </row>
    <row r="111" spans="1:8" x14ac:dyDescent="0.25">
      <c r="A111" s="326">
        <v>100</v>
      </c>
      <c r="B111" s="327" t="s">
        <v>213</v>
      </c>
      <c r="C111" s="328" t="s">
        <v>214</v>
      </c>
      <c r="D111" s="869">
        <f t="shared" si="4"/>
        <v>4600</v>
      </c>
      <c r="E111" s="869">
        <v>0</v>
      </c>
      <c r="F111" s="869">
        <f t="shared" si="5"/>
        <v>4600</v>
      </c>
      <c r="G111" s="869">
        <v>2600</v>
      </c>
      <c r="H111" s="869">
        <v>2000</v>
      </c>
    </row>
    <row r="112" spans="1:8" x14ac:dyDescent="0.25">
      <c r="A112" s="326">
        <v>101</v>
      </c>
      <c r="B112" s="329" t="s">
        <v>215</v>
      </c>
      <c r="C112" s="328" t="s">
        <v>216</v>
      </c>
      <c r="D112" s="869">
        <f t="shared" si="4"/>
        <v>5174</v>
      </c>
      <c r="E112" s="869">
        <v>0</v>
      </c>
      <c r="F112" s="869">
        <f t="shared" si="5"/>
        <v>5174</v>
      </c>
      <c r="G112" s="869">
        <v>1874</v>
      </c>
      <c r="H112" s="869">
        <v>3300</v>
      </c>
    </row>
    <row r="113" spans="1:8" x14ac:dyDescent="0.25">
      <c r="A113" s="326">
        <v>102</v>
      </c>
      <c r="B113" s="327" t="s">
        <v>217</v>
      </c>
      <c r="C113" s="331" t="s">
        <v>218</v>
      </c>
      <c r="D113" s="869">
        <f t="shared" si="4"/>
        <v>0</v>
      </c>
      <c r="E113" s="869">
        <v>0</v>
      </c>
      <c r="F113" s="869">
        <f t="shared" si="5"/>
        <v>0</v>
      </c>
      <c r="G113" s="869">
        <v>0</v>
      </c>
      <c r="H113" s="869">
        <v>0</v>
      </c>
    </row>
    <row r="114" spans="1:8" x14ac:dyDescent="0.25">
      <c r="A114" s="326">
        <v>103</v>
      </c>
      <c r="B114" s="327" t="s">
        <v>219</v>
      </c>
      <c r="C114" s="328" t="s">
        <v>220</v>
      </c>
      <c r="D114" s="869">
        <f t="shared" si="4"/>
        <v>0</v>
      </c>
      <c r="E114" s="869">
        <v>0</v>
      </c>
      <c r="F114" s="869">
        <f t="shared" si="5"/>
        <v>0</v>
      </c>
      <c r="G114" s="869">
        <v>0</v>
      </c>
      <c r="H114" s="869">
        <v>0</v>
      </c>
    </row>
    <row r="115" spans="1:8" x14ac:dyDescent="0.25">
      <c r="A115" s="326">
        <v>104</v>
      </c>
      <c r="B115" s="330" t="s">
        <v>221</v>
      </c>
      <c r="C115" s="331" t="s">
        <v>222</v>
      </c>
      <c r="D115" s="869">
        <f t="shared" si="4"/>
        <v>0</v>
      </c>
      <c r="E115" s="869">
        <v>0</v>
      </c>
      <c r="F115" s="869">
        <f t="shared" si="5"/>
        <v>0</v>
      </c>
      <c r="G115" s="869">
        <v>0</v>
      </c>
      <c r="H115" s="869">
        <v>0</v>
      </c>
    </row>
    <row r="116" spans="1:8" x14ac:dyDescent="0.25">
      <c r="A116" s="326">
        <v>105</v>
      </c>
      <c r="B116" s="330" t="s">
        <v>223</v>
      </c>
      <c r="C116" s="331" t="s">
        <v>224</v>
      </c>
      <c r="D116" s="869">
        <f t="shared" si="4"/>
        <v>0</v>
      </c>
      <c r="E116" s="869">
        <v>0</v>
      </c>
      <c r="F116" s="869">
        <f t="shared" si="5"/>
        <v>0</v>
      </c>
      <c r="G116" s="869">
        <v>0</v>
      </c>
      <c r="H116" s="869">
        <v>0</v>
      </c>
    </row>
    <row r="117" spans="1:8" x14ac:dyDescent="0.25">
      <c r="A117" s="326">
        <v>106</v>
      </c>
      <c r="B117" s="330" t="s">
        <v>225</v>
      </c>
      <c r="C117" s="331" t="s">
        <v>226</v>
      </c>
      <c r="D117" s="869">
        <f t="shared" si="4"/>
        <v>0</v>
      </c>
      <c r="E117" s="869">
        <v>0</v>
      </c>
      <c r="F117" s="869">
        <f t="shared" si="5"/>
        <v>0</v>
      </c>
      <c r="G117" s="869">
        <v>0</v>
      </c>
      <c r="H117" s="869">
        <v>0</v>
      </c>
    </row>
    <row r="118" spans="1:8" x14ac:dyDescent="0.25">
      <c r="A118" s="326">
        <v>107</v>
      </c>
      <c r="B118" s="330" t="s">
        <v>227</v>
      </c>
      <c r="C118" s="331" t="s">
        <v>228</v>
      </c>
      <c r="D118" s="869">
        <f t="shared" si="4"/>
        <v>0</v>
      </c>
      <c r="E118" s="869">
        <v>0</v>
      </c>
      <c r="F118" s="869">
        <f t="shared" si="5"/>
        <v>0</v>
      </c>
      <c r="G118" s="869">
        <v>0</v>
      </c>
      <c r="H118" s="869">
        <v>0</v>
      </c>
    </row>
    <row r="119" spans="1:8" x14ac:dyDescent="0.25">
      <c r="A119" s="326">
        <v>108</v>
      </c>
      <c r="B119" s="330" t="s">
        <v>229</v>
      </c>
      <c r="C119" s="331" t="s">
        <v>230</v>
      </c>
      <c r="D119" s="869">
        <f t="shared" si="4"/>
        <v>0</v>
      </c>
      <c r="E119" s="869">
        <v>0</v>
      </c>
      <c r="F119" s="869">
        <f t="shared" si="5"/>
        <v>0</v>
      </c>
      <c r="G119" s="869">
        <v>0</v>
      </c>
      <c r="H119" s="869">
        <v>0</v>
      </c>
    </row>
    <row r="120" spans="1:8" x14ac:dyDescent="0.25">
      <c r="A120" s="326">
        <v>109</v>
      </c>
      <c r="B120" s="330" t="s">
        <v>231</v>
      </c>
      <c r="C120" s="331" t="s">
        <v>232</v>
      </c>
      <c r="D120" s="869">
        <f t="shared" si="4"/>
        <v>0</v>
      </c>
      <c r="E120" s="869">
        <v>0</v>
      </c>
      <c r="F120" s="869">
        <f t="shared" si="5"/>
        <v>0</v>
      </c>
      <c r="G120" s="869">
        <v>0</v>
      </c>
      <c r="H120" s="869">
        <v>0</v>
      </c>
    </row>
    <row r="121" spans="1:8" x14ac:dyDescent="0.25">
      <c r="A121" s="326">
        <v>110</v>
      </c>
      <c r="B121" s="340" t="s">
        <v>233</v>
      </c>
      <c r="C121" s="341" t="s">
        <v>234</v>
      </c>
      <c r="D121" s="869">
        <f t="shared" si="4"/>
        <v>0</v>
      </c>
      <c r="E121" s="869">
        <v>0</v>
      </c>
      <c r="F121" s="869">
        <f t="shared" si="5"/>
        <v>0</v>
      </c>
      <c r="G121" s="869">
        <v>0</v>
      </c>
      <c r="H121" s="869">
        <v>0</v>
      </c>
    </row>
    <row r="122" spans="1:8" x14ac:dyDescent="0.25">
      <c r="A122" s="326">
        <v>111</v>
      </c>
      <c r="B122" s="340" t="s">
        <v>235</v>
      </c>
      <c r="C122" s="341" t="s">
        <v>236</v>
      </c>
      <c r="D122" s="869">
        <f t="shared" si="4"/>
        <v>0</v>
      </c>
      <c r="E122" s="869">
        <v>0</v>
      </c>
      <c r="F122" s="869">
        <f t="shared" si="5"/>
        <v>0</v>
      </c>
      <c r="G122" s="869">
        <v>0</v>
      </c>
      <c r="H122" s="869">
        <v>0</v>
      </c>
    </row>
    <row r="123" spans="1:8" x14ac:dyDescent="0.25">
      <c r="A123" s="326">
        <v>112</v>
      </c>
      <c r="B123" s="329" t="s">
        <v>237</v>
      </c>
      <c r="C123" s="328" t="s">
        <v>238</v>
      </c>
      <c r="D123" s="869">
        <f t="shared" si="4"/>
        <v>0</v>
      </c>
      <c r="E123" s="869">
        <v>0</v>
      </c>
      <c r="F123" s="869">
        <f t="shared" si="5"/>
        <v>0</v>
      </c>
      <c r="G123" s="869">
        <v>0</v>
      </c>
      <c r="H123" s="869">
        <v>0</v>
      </c>
    </row>
    <row r="124" spans="1:8" x14ac:dyDescent="0.25">
      <c r="A124" s="326">
        <v>113</v>
      </c>
      <c r="B124" s="330" t="s">
        <v>239</v>
      </c>
      <c r="C124" s="331" t="s">
        <v>240</v>
      </c>
      <c r="D124" s="869">
        <f t="shared" si="4"/>
        <v>0</v>
      </c>
      <c r="E124" s="869">
        <v>0</v>
      </c>
      <c r="F124" s="869">
        <f t="shared" si="5"/>
        <v>0</v>
      </c>
      <c r="G124" s="869">
        <v>0</v>
      </c>
      <c r="H124" s="869">
        <v>0</v>
      </c>
    </row>
    <row r="125" spans="1:8" x14ac:dyDescent="0.25">
      <c r="A125" s="326">
        <v>114</v>
      </c>
      <c r="B125" s="327" t="s">
        <v>241</v>
      </c>
      <c r="C125" s="342" t="s">
        <v>242</v>
      </c>
      <c r="D125" s="869">
        <f t="shared" si="4"/>
        <v>0</v>
      </c>
      <c r="E125" s="869">
        <v>0</v>
      </c>
      <c r="F125" s="869">
        <f t="shared" si="5"/>
        <v>0</v>
      </c>
      <c r="G125" s="869">
        <v>0</v>
      </c>
      <c r="H125" s="869">
        <v>0</v>
      </c>
    </row>
    <row r="126" spans="1:8" x14ac:dyDescent="0.25">
      <c r="A126" s="326">
        <v>115</v>
      </c>
      <c r="B126" s="330" t="s">
        <v>243</v>
      </c>
      <c r="C126" s="333" t="s">
        <v>385</v>
      </c>
      <c r="D126" s="869">
        <f t="shared" si="4"/>
        <v>0</v>
      </c>
      <c r="E126" s="869">
        <v>0</v>
      </c>
      <c r="F126" s="869">
        <f t="shared" si="5"/>
        <v>0</v>
      </c>
      <c r="G126" s="869">
        <v>0</v>
      </c>
      <c r="H126" s="869">
        <v>0</v>
      </c>
    </row>
    <row r="127" spans="1:8" x14ac:dyDescent="0.25">
      <c r="A127" s="326">
        <v>116</v>
      </c>
      <c r="B127" s="329" t="s">
        <v>244</v>
      </c>
      <c r="C127" s="331" t="s">
        <v>245</v>
      </c>
      <c r="D127" s="869">
        <f t="shared" si="4"/>
        <v>0</v>
      </c>
      <c r="E127" s="869">
        <v>0</v>
      </c>
      <c r="F127" s="869">
        <f t="shared" si="5"/>
        <v>0</v>
      </c>
      <c r="G127" s="869">
        <v>0</v>
      </c>
      <c r="H127" s="869">
        <v>0</v>
      </c>
    </row>
    <row r="128" spans="1:8" x14ac:dyDescent="0.25">
      <c r="A128" s="326">
        <v>117</v>
      </c>
      <c r="B128" s="329" t="s">
        <v>246</v>
      </c>
      <c r="C128" s="331" t="s">
        <v>247</v>
      </c>
      <c r="D128" s="869">
        <f t="shared" si="4"/>
        <v>0</v>
      </c>
      <c r="E128" s="869">
        <v>0</v>
      </c>
      <c r="F128" s="869">
        <f t="shared" si="5"/>
        <v>0</v>
      </c>
      <c r="G128" s="869">
        <v>0</v>
      </c>
      <c r="H128" s="869">
        <v>0</v>
      </c>
    </row>
    <row r="129" spans="1:8" x14ac:dyDescent="0.25">
      <c r="A129" s="326">
        <v>118</v>
      </c>
      <c r="B129" s="329" t="s">
        <v>248</v>
      </c>
      <c r="C129" s="331" t="s">
        <v>249</v>
      </c>
      <c r="D129" s="869">
        <f t="shared" si="4"/>
        <v>0</v>
      </c>
      <c r="E129" s="869">
        <v>0</v>
      </c>
      <c r="F129" s="869">
        <f t="shared" si="5"/>
        <v>0</v>
      </c>
      <c r="G129" s="869">
        <v>0</v>
      </c>
      <c r="H129" s="869">
        <v>0</v>
      </c>
    </row>
    <row r="130" spans="1:8" x14ac:dyDescent="0.25">
      <c r="A130" s="326">
        <v>119</v>
      </c>
      <c r="B130" s="327" t="s">
        <v>250</v>
      </c>
      <c r="C130" s="328" t="s">
        <v>251</v>
      </c>
      <c r="D130" s="869">
        <f t="shared" si="4"/>
        <v>0</v>
      </c>
      <c r="E130" s="869">
        <v>0</v>
      </c>
      <c r="F130" s="869">
        <f t="shared" si="5"/>
        <v>0</v>
      </c>
      <c r="G130" s="869">
        <v>0</v>
      </c>
      <c r="H130" s="869">
        <v>0</v>
      </c>
    </row>
    <row r="131" spans="1:8" x14ac:dyDescent="0.25">
      <c r="A131" s="326">
        <v>120</v>
      </c>
      <c r="B131" s="329" t="s">
        <v>252</v>
      </c>
      <c r="C131" s="328" t="s">
        <v>253</v>
      </c>
      <c r="D131" s="869">
        <f t="shared" si="4"/>
        <v>0</v>
      </c>
      <c r="E131" s="869">
        <v>0</v>
      </c>
      <c r="F131" s="869">
        <f t="shared" si="5"/>
        <v>0</v>
      </c>
      <c r="G131" s="869">
        <v>0</v>
      </c>
      <c r="H131" s="869">
        <v>0</v>
      </c>
    </row>
    <row r="132" spans="1:8" x14ac:dyDescent="0.25">
      <c r="A132" s="326">
        <v>121</v>
      </c>
      <c r="B132" s="330" t="s">
        <v>254</v>
      </c>
      <c r="C132" s="331" t="s">
        <v>255</v>
      </c>
      <c r="D132" s="869">
        <f t="shared" si="4"/>
        <v>0</v>
      </c>
      <c r="E132" s="869">
        <v>0</v>
      </c>
      <c r="F132" s="869">
        <f t="shared" si="5"/>
        <v>0</v>
      </c>
      <c r="G132" s="869">
        <v>0</v>
      </c>
      <c r="H132" s="869">
        <v>0</v>
      </c>
    </row>
    <row r="133" spans="1:8" x14ac:dyDescent="0.25">
      <c r="A133" s="326">
        <v>122</v>
      </c>
      <c r="B133" s="330" t="s">
        <v>256</v>
      </c>
      <c r="C133" s="331" t="s">
        <v>257</v>
      </c>
      <c r="D133" s="869">
        <f t="shared" si="4"/>
        <v>0</v>
      </c>
      <c r="E133" s="869">
        <v>0</v>
      </c>
      <c r="F133" s="869">
        <f t="shared" si="5"/>
        <v>0</v>
      </c>
      <c r="G133" s="869">
        <v>0</v>
      </c>
      <c r="H133" s="869">
        <v>0</v>
      </c>
    </row>
    <row r="134" spans="1:8" x14ac:dyDescent="0.25">
      <c r="A134" s="326">
        <v>123</v>
      </c>
      <c r="B134" s="330" t="s">
        <v>258</v>
      </c>
      <c r="C134" s="331" t="s">
        <v>259</v>
      </c>
      <c r="D134" s="869">
        <f t="shared" si="4"/>
        <v>0</v>
      </c>
      <c r="E134" s="869">
        <v>0</v>
      </c>
      <c r="F134" s="869">
        <f t="shared" si="5"/>
        <v>0</v>
      </c>
      <c r="G134" s="869">
        <v>0</v>
      </c>
      <c r="H134" s="869">
        <v>0</v>
      </c>
    </row>
    <row r="135" spans="1:8" x14ac:dyDescent="0.25">
      <c r="A135" s="326">
        <v>124</v>
      </c>
      <c r="B135" s="330" t="s">
        <v>260</v>
      </c>
      <c r="C135" s="331" t="s">
        <v>261</v>
      </c>
      <c r="D135" s="869">
        <f t="shared" si="4"/>
        <v>0</v>
      </c>
      <c r="E135" s="869">
        <v>0</v>
      </c>
      <c r="F135" s="869">
        <f t="shared" si="5"/>
        <v>0</v>
      </c>
      <c r="G135" s="869">
        <v>0</v>
      </c>
      <c r="H135" s="869">
        <v>0</v>
      </c>
    </row>
    <row r="136" spans="1:8" x14ac:dyDescent="0.25">
      <c r="A136" s="326">
        <v>125</v>
      </c>
      <c r="B136" s="330" t="s">
        <v>262</v>
      </c>
      <c r="C136" s="331" t="s">
        <v>263</v>
      </c>
      <c r="D136" s="869">
        <f t="shared" si="4"/>
        <v>0</v>
      </c>
      <c r="E136" s="869">
        <v>0</v>
      </c>
      <c r="F136" s="869">
        <f t="shared" si="5"/>
        <v>0</v>
      </c>
      <c r="G136" s="869">
        <v>0</v>
      </c>
      <c r="H136" s="869">
        <v>0</v>
      </c>
    </row>
    <row r="137" spans="1:8" x14ac:dyDescent="0.25">
      <c r="A137" s="326">
        <v>126</v>
      </c>
      <c r="B137" s="327" t="s">
        <v>264</v>
      </c>
      <c r="C137" s="328" t="s">
        <v>265</v>
      </c>
      <c r="D137" s="869">
        <f t="shared" si="4"/>
        <v>0</v>
      </c>
      <c r="E137" s="869">
        <v>0</v>
      </c>
      <c r="F137" s="869">
        <f t="shared" si="5"/>
        <v>0</v>
      </c>
      <c r="G137" s="869">
        <v>0</v>
      </c>
      <c r="H137" s="869">
        <v>0</v>
      </c>
    </row>
    <row r="138" spans="1:8" x14ac:dyDescent="0.25">
      <c r="A138" s="326">
        <v>127</v>
      </c>
      <c r="B138" s="327" t="s">
        <v>266</v>
      </c>
      <c r="C138" s="331" t="s">
        <v>267</v>
      </c>
      <c r="D138" s="869">
        <f t="shared" ref="D138:D151" si="6">E138+F138</f>
        <v>0</v>
      </c>
      <c r="E138" s="869">
        <v>0</v>
      </c>
      <c r="F138" s="869">
        <f t="shared" ref="F138:F151" si="7">SUM(G138:H138)</f>
        <v>0</v>
      </c>
      <c r="G138" s="869">
        <v>0</v>
      </c>
      <c r="H138" s="869">
        <v>0</v>
      </c>
    </row>
    <row r="139" spans="1:8" x14ac:dyDescent="0.25">
      <c r="A139" s="326">
        <v>128</v>
      </c>
      <c r="B139" s="332" t="s">
        <v>268</v>
      </c>
      <c r="C139" s="333" t="s">
        <v>269</v>
      </c>
      <c r="D139" s="869">
        <f t="shared" si="6"/>
        <v>0</v>
      </c>
      <c r="E139" s="869">
        <v>0</v>
      </c>
      <c r="F139" s="869">
        <f t="shared" si="7"/>
        <v>0</v>
      </c>
      <c r="G139" s="869">
        <v>0</v>
      </c>
      <c r="H139" s="869">
        <v>0</v>
      </c>
    </row>
    <row r="140" spans="1:8" x14ac:dyDescent="0.25">
      <c r="A140" s="326">
        <v>129</v>
      </c>
      <c r="B140" s="330" t="s">
        <v>270</v>
      </c>
      <c r="C140" s="331" t="s">
        <v>271</v>
      </c>
      <c r="D140" s="869">
        <f t="shared" si="6"/>
        <v>0</v>
      </c>
      <c r="E140" s="869">
        <v>0</v>
      </c>
      <c r="F140" s="869">
        <f t="shared" si="7"/>
        <v>0</v>
      </c>
      <c r="G140" s="869">
        <v>0</v>
      </c>
      <c r="H140" s="869">
        <v>0</v>
      </c>
    </row>
    <row r="141" spans="1:8" x14ac:dyDescent="0.25">
      <c r="A141" s="326">
        <v>130</v>
      </c>
      <c r="B141" s="330" t="s">
        <v>272</v>
      </c>
      <c r="C141" s="331" t="s">
        <v>273</v>
      </c>
      <c r="D141" s="869">
        <f t="shared" si="6"/>
        <v>0</v>
      </c>
      <c r="E141" s="869">
        <v>0</v>
      </c>
      <c r="F141" s="869">
        <f t="shared" si="7"/>
        <v>0</v>
      </c>
      <c r="G141" s="869">
        <v>0</v>
      </c>
      <c r="H141" s="869">
        <v>0</v>
      </c>
    </row>
    <row r="142" spans="1:8" x14ac:dyDescent="0.25">
      <c r="A142" s="326">
        <v>131</v>
      </c>
      <c r="B142" s="330" t="s">
        <v>274</v>
      </c>
      <c r="C142" s="331" t="s">
        <v>275</v>
      </c>
      <c r="D142" s="869">
        <f t="shared" si="6"/>
        <v>0</v>
      </c>
      <c r="E142" s="869">
        <v>0</v>
      </c>
      <c r="F142" s="869">
        <f t="shared" si="7"/>
        <v>0</v>
      </c>
      <c r="G142" s="869">
        <v>0</v>
      </c>
      <c r="H142" s="869">
        <v>0</v>
      </c>
    </row>
    <row r="143" spans="1:8" x14ac:dyDescent="0.25">
      <c r="A143" s="326">
        <v>132</v>
      </c>
      <c r="B143" s="332" t="s">
        <v>276</v>
      </c>
      <c r="C143" s="333" t="s">
        <v>277</v>
      </c>
      <c r="D143" s="869">
        <f t="shared" si="6"/>
        <v>0</v>
      </c>
      <c r="E143" s="869">
        <v>0</v>
      </c>
      <c r="F143" s="869">
        <f t="shared" si="7"/>
        <v>0</v>
      </c>
      <c r="G143" s="869">
        <v>0</v>
      </c>
      <c r="H143" s="869">
        <v>0</v>
      </c>
    </row>
    <row r="144" spans="1:8" x14ac:dyDescent="0.25">
      <c r="A144" s="326">
        <v>133</v>
      </c>
      <c r="B144" s="329" t="s">
        <v>278</v>
      </c>
      <c r="C144" s="333" t="s">
        <v>279</v>
      </c>
      <c r="D144" s="869">
        <f t="shared" si="6"/>
        <v>2770</v>
      </c>
      <c r="E144" s="869">
        <v>0</v>
      </c>
      <c r="F144" s="869">
        <f t="shared" si="7"/>
        <v>2770</v>
      </c>
      <c r="G144" s="869">
        <v>0</v>
      </c>
      <c r="H144" s="869">
        <v>2770</v>
      </c>
    </row>
    <row r="145" spans="1:8" x14ac:dyDescent="0.25">
      <c r="A145" s="326">
        <v>134</v>
      </c>
      <c r="B145" s="330" t="s">
        <v>280</v>
      </c>
      <c r="C145" s="331" t="s">
        <v>281</v>
      </c>
      <c r="D145" s="869">
        <f t="shared" si="6"/>
        <v>0</v>
      </c>
      <c r="E145" s="869">
        <v>0</v>
      </c>
      <c r="F145" s="869">
        <f t="shared" si="7"/>
        <v>0</v>
      </c>
      <c r="G145" s="869">
        <v>0</v>
      </c>
      <c r="H145" s="869">
        <v>0</v>
      </c>
    </row>
    <row r="146" spans="1:8" x14ac:dyDescent="0.25">
      <c r="A146" s="326">
        <v>135</v>
      </c>
      <c r="B146" s="327" t="s">
        <v>282</v>
      </c>
      <c r="C146" s="328" t="s">
        <v>283</v>
      </c>
      <c r="D146" s="869">
        <f t="shared" si="6"/>
        <v>0</v>
      </c>
      <c r="E146" s="869">
        <v>0</v>
      </c>
      <c r="F146" s="869">
        <f t="shared" si="7"/>
        <v>0</v>
      </c>
      <c r="G146" s="869">
        <v>0</v>
      </c>
      <c r="H146" s="869">
        <v>0</v>
      </c>
    </row>
    <row r="147" spans="1:8" x14ac:dyDescent="0.25">
      <c r="A147" s="326">
        <v>136</v>
      </c>
      <c r="B147" s="343" t="s">
        <v>284</v>
      </c>
      <c r="C147" s="344" t="s">
        <v>285</v>
      </c>
      <c r="D147" s="869">
        <f t="shared" si="6"/>
        <v>0</v>
      </c>
      <c r="E147" s="869">
        <v>0</v>
      </c>
      <c r="F147" s="869">
        <f t="shared" si="7"/>
        <v>0</v>
      </c>
      <c r="G147" s="869">
        <v>0</v>
      </c>
      <c r="H147" s="869">
        <v>0</v>
      </c>
    </row>
    <row r="148" spans="1:8" x14ac:dyDescent="0.25">
      <c r="A148" s="326">
        <v>137</v>
      </c>
      <c r="B148" s="345" t="s">
        <v>387</v>
      </c>
      <c r="C148" s="346" t="s">
        <v>388</v>
      </c>
      <c r="D148" s="869">
        <f t="shared" si="6"/>
        <v>0</v>
      </c>
      <c r="E148" s="869"/>
      <c r="F148" s="869">
        <f t="shared" si="7"/>
        <v>0</v>
      </c>
      <c r="G148" s="869"/>
      <c r="H148" s="869"/>
    </row>
    <row r="149" spans="1:8" x14ac:dyDescent="0.25">
      <c r="A149" s="326">
        <v>138</v>
      </c>
      <c r="B149" s="347" t="s">
        <v>389</v>
      </c>
      <c r="C149" s="348" t="s">
        <v>390</v>
      </c>
      <c r="D149" s="869">
        <f t="shared" si="6"/>
        <v>0</v>
      </c>
      <c r="E149" s="869"/>
      <c r="F149" s="869">
        <f t="shared" si="7"/>
        <v>0</v>
      </c>
      <c r="G149" s="869"/>
      <c r="H149" s="869"/>
    </row>
    <row r="150" spans="1:8" x14ac:dyDescent="0.25">
      <c r="A150" s="326">
        <v>139</v>
      </c>
      <c r="B150" s="638" t="s">
        <v>391</v>
      </c>
      <c r="C150" s="639" t="s">
        <v>392</v>
      </c>
      <c r="D150" s="869">
        <f t="shared" si="6"/>
        <v>0</v>
      </c>
      <c r="E150" s="869"/>
      <c r="F150" s="869">
        <f t="shared" si="7"/>
        <v>0</v>
      </c>
      <c r="G150" s="869"/>
      <c r="H150" s="869"/>
    </row>
    <row r="151" spans="1:8" x14ac:dyDescent="0.25">
      <c r="A151" s="326">
        <v>140</v>
      </c>
      <c r="B151" s="326" t="s">
        <v>393</v>
      </c>
      <c r="C151" s="349" t="s">
        <v>394</v>
      </c>
      <c r="D151" s="869">
        <f t="shared" si="6"/>
        <v>0</v>
      </c>
      <c r="E151" s="869"/>
      <c r="F151" s="869">
        <f t="shared" si="7"/>
        <v>0</v>
      </c>
      <c r="G151" s="869"/>
      <c r="H151" s="869"/>
    </row>
    <row r="155" spans="1:8" x14ac:dyDescent="0.25">
      <c r="D155" s="350"/>
      <c r="E155" s="350"/>
      <c r="F155" s="350"/>
      <c r="G155" s="350"/>
      <c r="H155" s="350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13-23</vt:lpstr>
      <vt:lpstr>ВМП КС Пр.13-23</vt:lpstr>
      <vt:lpstr>ДС (пр.13-23)</vt:lpstr>
      <vt:lpstr>ВМП ДС (пр.20-22)</vt:lpstr>
      <vt:lpstr>Проф.Свод Пр.13-23 </vt:lpstr>
      <vt:lpstr>Дисп. наблюдение Свод Пр.13-23</vt:lpstr>
      <vt:lpstr>Раз.пос.Пр.13-23  </vt:lpstr>
      <vt:lpstr>Пос с др.целями Пр13-23 </vt:lpstr>
      <vt:lpstr>Посещения СМП Пр.13-23 </vt:lpstr>
      <vt:lpstr>ШСД Пр. 11-23</vt:lpstr>
      <vt:lpstr>Диспан.набл.взрослых Пр.11-23</vt:lpstr>
      <vt:lpstr>Углуб.дисп.Пр. 11-23 </vt:lpstr>
      <vt:lpstr>Центры здоровья Пр.20-22</vt:lpstr>
      <vt:lpstr>ДВН центр.исслед.Пр.11-23</vt:lpstr>
      <vt:lpstr>Посещения неотл. 13-23</vt:lpstr>
      <vt:lpstr>Обращения 13-23  </vt:lpstr>
      <vt:lpstr>Мед.реаб. в АПУ 13-23</vt:lpstr>
      <vt:lpstr>Долечивание, кибер-нож Пр.20-22</vt:lpstr>
      <vt:lpstr>Венерология Пр. 13-23</vt:lpstr>
      <vt:lpstr>Паллиативная МП Пр. 13-23</vt:lpstr>
      <vt:lpstr>Психотерапия Пр. 9-23</vt:lpstr>
      <vt:lpstr>Наркология Пр. 13-23</vt:lpstr>
      <vt:lpstr>Фтизиатрия Пр.13-23</vt:lpstr>
      <vt:lpstr>КТ, МРТ  Пр. 13-23</vt:lpstr>
      <vt:lpstr>УЗИ ССС 13-23</vt:lpstr>
      <vt:lpstr>ЭИ, ПАИ, МГИ Пр. 13-23</vt:lpstr>
      <vt:lpstr>ПЦР 13-23</vt:lpstr>
      <vt:lpstr>РД, ПЭТ, УЗИ 13-23</vt:lpstr>
      <vt:lpstr>гемодиализ (пр.11-23) </vt:lpstr>
      <vt:lpstr>Объемы ОРВИ, Грипп 13-23</vt:lpstr>
      <vt:lpstr>СМП (13-23)</vt:lpstr>
      <vt:lpstr>'ВМП КС Пр.13-23'!Заголовки_для_печати</vt:lpstr>
      <vt:lpstr>'Дисп. наблюдение Свод Пр.13-23'!Заголовки_для_печати</vt:lpstr>
      <vt:lpstr>'Диспан.набл.взрослых Пр.11-23'!Заголовки_для_печати</vt:lpstr>
      <vt:lpstr>'КС Пр. 13-23'!Заголовки_для_печати</vt:lpstr>
      <vt:lpstr>'Пос с др.целями Пр13-23 '!Заголовки_для_печати</vt:lpstr>
      <vt:lpstr>'Проф.Свод Пр.13-23 '!Заголовки_для_печати</vt:lpstr>
      <vt:lpstr>'Раз.пос.Пр.13-23  '!Заголовки_для_печати</vt:lpstr>
      <vt:lpstr>'СМП (13-23)'!Заголовки_для_печати</vt:lpstr>
      <vt:lpstr>'ШСД Пр. 11-23'!Заголовки_для_печати</vt:lpstr>
      <vt:lpstr>'Центры здоровья Пр.20-22'!Область_печати</vt:lpstr>
      <vt:lpstr>'ЭИ, ПАИ, МГИ Пр. 13-23'!Область_печати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2023-07-25T04:49:56Z</dcterms:modified>
</cp:coreProperties>
</file>